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5506" windowWidth="11340" windowHeight="6795" firstSheet="15" activeTab="22"/>
  </bookViews>
  <sheets>
    <sheet name="IntroNotes" sheetId="1" r:id="rId1"/>
    <sheet name="Baseline" sheetId="2" r:id="rId2"/>
    <sheet name="inc_pct" sheetId="3" r:id="rId3"/>
    <sheet name="emis_fac" sheetId="4" r:id="rId4"/>
    <sheet name="ann_fac" sheetId="5" r:id="rId5"/>
    <sheet name="FwySpeed" sheetId="6" r:id="rId6"/>
    <sheet name="ArtSpeed" sheetId="7" r:id="rId7"/>
    <sheet name="CCTV" sheetId="8" r:id="rId8"/>
    <sheet name="Detection" sheetId="9" r:id="rId9"/>
    <sheet name="HAR" sheetId="10" r:id="rId10"/>
    <sheet name="VMS" sheetId="11" r:id="rId11"/>
    <sheet name="Pager" sheetId="12" r:id="rId12"/>
    <sheet name="Kiosks" sheetId="13" r:id="rId13"/>
    <sheet name="CVOKiosk" sheetId="14" r:id="rId14"/>
    <sheet name="Intnet" sheetId="15" r:id="rId15"/>
    <sheet name="Bus AVL" sheetId="16" r:id="rId16"/>
    <sheet name="BusFare" sheetId="17" r:id="rId17"/>
    <sheet name="Bus Priority" sheetId="18" r:id="rId18"/>
    <sheet name="ETC" sheetId="19" r:id="rId19"/>
    <sheet name="Meter" sheetId="20" r:id="rId20"/>
    <sheet name="WIM" sheetId="21" r:id="rId21"/>
    <sheet name="RR Cross" sheetId="22" r:id="rId22"/>
    <sheet name="Signals" sheetId="23" r:id="rId23"/>
  </sheets>
  <definedNames>
    <definedName name="_xlnm.Print_Area" localSheetId="15">'Bus AVL'!$A$1:$C$30</definedName>
    <definedName name="_xlnm.Print_Area" localSheetId="17">'Bus Priority'!$A$1:$C$49</definedName>
    <definedName name="_xlnm.Print_Area" localSheetId="16">'BusFare'!$A$1:$C$46</definedName>
    <definedName name="_xlnm.Print_Area" localSheetId="7">'CCTV'!$A$1:$C$39</definedName>
    <definedName name="_xlnm.Print_Area" localSheetId="8">'Detection'!$A$1:$C$38</definedName>
    <definedName name="_xlnm.Print_Area" localSheetId="3">'emis_fac'!$A$36:$B$50</definedName>
    <definedName name="_xlnm.Print_Area" localSheetId="18">'ETC'!$A$1:$C$45</definedName>
    <definedName name="_xlnm.Print_Area" localSheetId="9">'HAR'!$A$1:$C$40</definedName>
    <definedName name="_xlnm.Print_Area" localSheetId="21">'RR Cross'!$A$1:$C$23</definedName>
    <definedName name="_xlnm.Print_Area" localSheetId="22">'Signals'!$A$1:$C$44</definedName>
    <definedName name="_xlnm.Print_Area" localSheetId="20">'WIM'!$A$1:$C$27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  <author>Steve A. Smith</author>
  </authors>
  <commentList>
    <comment ref="B9" authorId="0">
      <text>
        <r>
          <rPr>
            <sz val="8"/>
            <rFont val="Tahoma"/>
            <family val="0"/>
          </rPr>
          <t>Assumes HAR units are targeted to specific areas.</t>
        </r>
      </text>
    </comment>
    <comment ref="B11" authorId="0">
      <text>
        <r>
          <rPr>
            <sz val="8"/>
            <rFont val="Tahoma"/>
            <family val="0"/>
          </rPr>
          <t>Will depend on agency operating practice.</t>
        </r>
      </text>
    </comment>
    <comment ref="B12" authorId="0">
      <text>
        <r>
          <rPr>
            <sz val="8"/>
            <rFont val="Tahoma"/>
            <family val="0"/>
          </rPr>
          <t>Will depend on how aggressively agencies use HAR units.</t>
        </r>
      </text>
    </comment>
    <comment ref="B13" authorId="0">
      <text>
        <r>
          <rPr>
            <sz val="8"/>
            <rFont val="Tahoma"/>
            <family val="0"/>
          </rPr>
          <t>Probably no greater than 25 percent.  Depends on severity of average incident assumed above.</t>
        </r>
      </text>
    </comment>
    <comment ref="B15" authorId="0">
      <text>
        <r>
          <rPr>
            <sz val="8"/>
            <rFont val="Tahoma"/>
            <family val="0"/>
          </rPr>
          <t>Will depend on availability of alternate routes, level of congestion on alternate routes, etc.  Little definitive information available.</t>
        </r>
      </text>
    </comment>
    <comment ref="B21" authorId="0">
      <text>
        <r>
          <rPr>
            <sz val="8"/>
            <rFont val="Tahoma"/>
            <family val="0"/>
          </rPr>
          <t xml:space="preserve">Assumes reduction proportionate to % reduction in non-recurring delay.
</t>
        </r>
      </text>
    </comment>
    <comment ref="A13" authorId="1">
      <text>
        <r>
          <rPr>
            <sz val="8"/>
            <rFont val="Tahoma"/>
            <family val="0"/>
          </rPr>
          <t>Motorists must make specific choice to tune to the HAR broadcast.  Some may still get their information through other sources.</t>
        </r>
      </text>
    </comment>
    <comment ref="A11" authorId="1">
      <text>
        <r>
          <rPr>
            <sz val="8"/>
            <rFont val="Tahoma"/>
            <family val="0"/>
          </rPr>
          <t>Estimates average amount of time HAR unit is providing information that can save motorists' time.</t>
        </r>
      </text>
    </comment>
    <comment ref="A12" authorId="1">
      <text>
        <r>
          <rPr>
            <b/>
            <sz val="8"/>
            <rFont val="Tahoma"/>
            <family val="0"/>
          </rPr>
          <t>That is, activated when there is potential to provide useful diversion information.</t>
        </r>
      </text>
    </comment>
    <comment ref="C17" authorId="0">
      <text>
        <r>
          <rPr>
            <sz val="8"/>
            <rFont val="Tahoma"/>
            <family val="0"/>
          </rPr>
          <t xml:space="preserve">= hours saved per day x number of HAR units
</t>
        </r>
      </text>
    </comment>
    <comment ref="C18" authorId="0">
      <text>
        <r>
          <rPr>
            <sz val="8"/>
            <rFont val="Tahoma"/>
            <family val="0"/>
          </rPr>
          <t xml:space="preserve">= vehicle hrs saved per day divided by hours of non-recurring VHT from baseline
</t>
        </r>
      </text>
    </comment>
    <comment ref="C22" authorId="0">
      <text>
        <r>
          <rPr>
            <sz val="8"/>
            <rFont val="Tahoma"/>
            <family val="0"/>
          </rPr>
          <t>Based on percentage of secondary accidents, accident rate, and VMT.</t>
        </r>
      </text>
    </comment>
    <comment ref="C23" authorId="0">
      <text>
        <r>
          <rPr>
            <sz val="8"/>
            <rFont val="Tahoma"/>
            <family val="0"/>
          </rPr>
          <t xml:space="preserve">=percent of accidents reduced (B26) x number of accidents (C27)
</t>
        </r>
      </text>
    </comment>
    <comment ref="C24" authorId="0">
      <text>
        <r>
          <rPr>
            <sz val="8"/>
            <rFont val="Tahoma"/>
            <family val="0"/>
          </rPr>
          <t xml:space="preserve">=accidents reduced per day (C28) x days per year from Baseline Data sheet (B10)
</t>
        </r>
      </text>
    </comment>
    <comment ref="B14" authorId="1">
      <text>
        <r>
          <rPr>
            <b/>
            <sz val="8"/>
            <rFont val="Tahoma"/>
            <family val="0"/>
          </rPr>
          <t>Depends on availability of alternate routes, among other factors.  Little definitive data available.</t>
        </r>
      </text>
    </comment>
    <comment ref="C16" authorId="1">
      <text>
        <r>
          <rPr>
            <b/>
            <sz val="8"/>
            <rFont val="Tahoma"/>
            <family val="0"/>
          </rPr>
          <t>Product of the prior six cells in the B column.</t>
        </r>
      </text>
    </comment>
    <comment ref="B34" authorId="1">
      <text>
        <r>
          <rPr>
            <b/>
            <sz val="8"/>
            <rFont val="Tahoma"/>
            <family val="0"/>
          </rPr>
          <t>Should include estimate of cost for operating HAR units during incidents.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  <author>Steve A. Smith</author>
  </authors>
  <commentList>
    <comment ref="B9" authorId="0">
      <text>
        <r>
          <rPr>
            <sz val="8"/>
            <rFont val="Tahoma"/>
            <family val="0"/>
          </rPr>
          <t>Signs on arterials could also be analyzed, if arterial-level data are also provided.</t>
        </r>
      </text>
    </comment>
    <comment ref="B11" authorId="0">
      <text>
        <r>
          <rPr>
            <sz val="8"/>
            <rFont val="Tahoma"/>
            <family val="0"/>
          </rPr>
          <t>Analyst may consider basing this value on specific agency experience with sign use and/or frequency of major incident occurrence.</t>
        </r>
      </text>
    </comment>
    <comment ref="B12" authorId="0">
      <text>
        <r>
          <rPr>
            <sz val="8"/>
            <rFont val="Tahoma"/>
            <family val="0"/>
          </rPr>
          <t>Based on agency experience and past/expected operational practices.</t>
        </r>
      </text>
    </comment>
    <comment ref="B13" authorId="0">
      <text>
        <r>
          <rPr>
            <sz val="8"/>
            <rFont val="Tahoma"/>
            <family val="0"/>
          </rPr>
          <t>Little information available as basis for assumption.  Likely varies by severity of incident.</t>
        </r>
      </text>
    </comment>
    <comment ref="B14" authorId="0">
      <text>
        <r>
          <rPr>
            <sz val="8"/>
            <rFont val="Tahoma"/>
            <family val="0"/>
          </rPr>
          <t>Little information available.  Likely varies with incident severity, time of day, etc.  Analyst needs to make judgment on average over typical day.</t>
        </r>
      </text>
    </comment>
    <comment ref="C21" authorId="0">
      <text>
        <r>
          <rPr>
            <sz val="8"/>
            <rFont val="Tahoma"/>
            <family val="0"/>
          </rPr>
          <t>Based on accident rate, percentage of secondary accidents, and VMT.</t>
        </r>
      </text>
    </comment>
    <comment ref="B10" authorId="1">
      <text>
        <r>
          <rPr>
            <b/>
            <sz val="8"/>
            <rFont val="Tahoma"/>
            <family val="0"/>
          </rPr>
          <t>Analyst must determine time period over which to average the volumes.  Suggest that nighttime period be omitted.</t>
        </r>
      </text>
    </comment>
    <comment ref="C15" authorId="1">
      <text>
        <r>
          <rPr>
            <b/>
            <sz val="8"/>
            <rFont val="Tahoma"/>
            <family val="0"/>
          </rPr>
          <t>Product of prior five cells in B column.</t>
        </r>
      </text>
    </comment>
    <comment ref="C17" authorId="1">
      <text>
        <r>
          <rPr>
            <sz val="8"/>
            <rFont val="Tahoma"/>
            <family val="0"/>
          </rPr>
          <t xml:space="preserve">Vehicle hrs saved per day divided by hours of non-recurring VHT from baseline.
</t>
        </r>
      </text>
    </comment>
    <comment ref="C20" authorId="1">
      <text>
        <r>
          <rPr>
            <b/>
            <sz val="8"/>
            <rFont val="Tahoma"/>
            <family val="0"/>
          </rPr>
          <t>Assumes reduction is proportional to reduction in VHT</t>
        </r>
      </text>
    </comment>
    <comment ref="B29" authorId="1">
      <text>
        <r>
          <rPr>
            <sz val="8"/>
            <rFont val="Tahoma"/>
            <family val="0"/>
          </rPr>
          <t xml:space="preserve">User will need to determine how much of communications cost and central control costs to include in VMS cost.
</t>
        </r>
      </text>
    </comment>
    <comment ref="B31" authorId="1">
      <text>
        <r>
          <rPr>
            <b/>
            <sz val="8"/>
            <rFont val="Tahoma"/>
            <family val="0"/>
          </rPr>
          <t>Cost should include operation of signs.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Steve A. Smith</author>
    <author>A satisfied Microsoft Office user</author>
  </authors>
  <commentList>
    <comment ref="A10" authorId="0">
      <text>
        <r>
          <rPr>
            <sz val="8"/>
            <rFont val="Tahoma"/>
            <family val="0"/>
          </rPr>
          <t>User input.  Suggest using average hourly volume during hours exclusive of nighttime (e.g. 6 a.m. to midnight)</t>
        </r>
      </text>
    </comment>
    <comment ref="A11" authorId="0">
      <text>
        <r>
          <rPr>
            <sz val="8"/>
            <rFont val="Tahoma"/>
            <family val="0"/>
          </rPr>
          <t>Estimates average amount of time HAR unit is providing information that can save time</t>
        </r>
      </text>
    </comment>
    <comment ref="B11" authorId="1">
      <text>
        <r>
          <rPr>
            <sz val="8"/>
            <rFont val="Tahoma"/>
            <family val="0"/>
          </rPr>
          <t>Market penetration will vary over time.  Analyst may wish to test sensitivity to market penetration.</t>
        </r>
      </text>
    </comment>
    <comment ref="A12" authorId="0">
      <text>
        <r>
          <rPr>
            <b/>
            <sz val="8"/>
            <rFont val="Tahoma"/>
            <family val="0"/>
          </rPr>
          <t>That is, activated when there is potential to provide useful diversion information.</t>
        </r>
      </text>
    </comment>
    <comment ref="B12" authorId="1">
      <text>
        <r>
          <rPr>
            <sz val="8"/>
            <rFont val="Tahoma"/>
            <family val="0"/>
          </rPr>
          <t xml:space="preserve">User Input
</t>
        </r>
      </text>
    </comment>
    <comment ref="C18" authorId="1">
      <text>
        <r>
          <rPr>
            <sz val="8"/>
            <rFont val="Tahoma"/>
            <family val="0"/>
          </rPr>
          <t xml:space="preserve">= hours saved per day (B18) x number of signs (B11)
</t>
        </r>
      </text>
    </comment>
    <comment ref="C22" authorId="1">
      <text>
        <r>
          <rPr>
            <sz val="8"/>
            <rFont val="Tahoma"/>
            <family val="0"/>
          </rPr>
          <t xml:space="preserve">Based on accident rate, percentage of secondary accidents, and VMT.
</t>
        </r>
      </text>
    </comment>
    <comment ref="C21" authorId="0">
      <text>
        <r>
          <rPr>
            <b/>
            <sz val="8"/>
            <rFont val="Tahoma"/>
            <family val="0"/>
          </rPr>
          <t>Estimated as the percent of drivers that have systems activated</t>
        </r>
      </text>
    </comment>
    <comment ref="A9" authorId="0">
      <text>
        <r>
          <rPr>
            <b/>
            <sz val="8"/>
            <rFont val="Tahoma"/>
            <family val="0"/>
          </rPr>
          <t>This is an area-wide strategy, not a facility-specific strategy.  Analysis is founded on number of trips.</t>
        </r>
      </text>
    </comment>
    <comment ref="C9" authorId="0">
      <text>
        <r>
          <rPr>
            <b/>
            <sz val="8"/>
            <rFont val="Tahoma"/>
            <family val="0"/>
          </rPr>
          <t>No. of trips from baseline worksheet.</t>
        </r>
      </text>
    </comment>
  </commentList>
</comments>
</file>

<file path=xl/comments13.xml><?xml version="1.0" encoding="utf-8"?>
<comments xmlns="http://schemas.openxmlformats.org/spreadsheetml/2006/main">
  <authors>
    <author>Steve A. Smith</author>
  </authors>
  <commentList>
    <comment ref="C22" authorId="0">
      <text>
        <r>
          <rPr>
            <b/>
            <sz val="8"/>
            <rFont val="Tahoma"/>
            <family val="0"/>
          </rPr>
          <t>Estimated as the percent of drivers that have systems activated</t>
        </r>
      </text>
    </comment>
    <comment ref="C9" authorId="0">
      <text>
        <r>
          <rPr>
            <b/>
            <sz val="8"/>
            <rFont val="Tahoma"/>
            <family val="0"/>
          </rPr>
          <t>Number of trips in study area from baseline worksheet.</t>
        </r>
      </text>
    </comment>
    <comment ref="C12" authorId="0">
      <text>
        <r>
          <rPr>
            <b/>
            <sz val="8"/>
            <rFont val="Tahoma"/>
            <family val="0"/>
          </rPr>
          <t>No. of kiosks times average number of departing trips.</t>
        </r>
      </text>
    </comment>
    <comment ref="C16" authorId="0">
      <text>
        <r>
          <rPr>
            <b/>
            <sz val="8"/>
            <rFont val="Tahoma"/>
            <family val="0"/>
          </rPr>
          <t>From baseline worksheet</t>
        </r>
      </text>
    </comment>
    <comment ref="C17" authorId="0">
      <text>
        <r>
          <rPr>
            <b/>
            <sz val="8"/>
            <rFont val="Tahoma"/>
            <family val="0"/>
          </rPr>
          <t>No. of trips times average trip time.</t>
        </r>
      </text>
    </comment>
    <comment ref="C18" authorId="0">
      <text>
        <r>
          <rPr>
            <b/>
            <sz val="8"/>
            <rFont val="Tahoma"/>
            <family val="0"/>
          </rPr>
          <t>Weekday trips at kiosk sites times no. persons looking at information times % able to save time, times amount of time saved by each person saving time.</t>
        </r>
      </text>
    </comment>
    <comment ref="C19" authorId="0">
      <text>
        <r>
          <rPr>
            <b/>
            <sz val="8"/>
            <rFont val="Tahoma"/>
            <family val="0"/>
          </rPr>
          <t>Hours saved divided by weekday regional vehicle hours.</t>
        </r>
      </text>
    </comment>
    <comment ref="B11" authorId="0">
      <text>
        <r>
          <rPr>
            <b/>
            <sz val="8"/>
            <rFont val="Tahoma"/>
            <family val="0"/>
          </rPr>
          <t>Can estimate based on typical trip generation rates.</t>
        </r>
      </text>
    </comment>
    <comment ref="B13" authorId="0">
      <text>
        <r>
          <rPr>
            <b/>
            <sz val="8"/>
            <rFont val="Tahoma"/>
            <family val="0"/>
          </rPr>
          <t>May consider placement of kiosks, and types of trips made from that location.</t>
        </r>
      </text>
    </comment>
    <comment ref="B14" authorId="0">
      <text>
        <r>
          <rPr>
            <b/>
            <sz val="8"/>
            <rFont val="Tahoma"/>
            <family val="0"/>
          </rPr>
          <t>Will likely be a function of types of trips and likelihood of encountering an incident.</t>
        </r>
      </text>
    </comment>
  </commentList>
</comments>
</file>

<file path=xl/comments14.xml><?xml version="1.0" encoding="utf-8"?>
<comments xmlns="http://schemas.openxmlformats.org/spreadsheetml/2006/main">
  <authors>
    <author>Steve A. Smith</author>
  </authors>
  <commentList>
    <comment ref="B10" authorId="0">
      <text>
        <r>
          <rPr>
            <b/>
            <sz val="8"/>
            <rFont val="Tahoma"/>
            <family val="0"/>
          </rPr>
          <t>Average No. truck trips departing trucking facilities.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Default value is typical cost for trucks as reported in FHWA's </t>
        </r>
        <r>
          <rPr>
            <b/>
            <i/>
            <sz val="8"/>
            <rFont val="Tahoma"/>
            <family val="2"/>
          </rPr>
          <t xml:space="preserve">Estimating the Impacts of Urban Transportation Alternatives, </t>
        </r>
        <r>
          <rPr>
            <b/>
            <sz val="8"/>
            <rFont val="Tahoma"/>
            <family val="2"/>
          </rPr>
          <t>page VI-21.</t>
        </r>
      </text>
    </comment>
  </commentList>
</comments>
</file>

<file path=xl/comments15.xml><?xml version="1.0" encoding="utf-8"?>
<comments xmlns="http://schemas.openxmlformats.org/spreadsheetml/2006/main">
  <authors>
    <author>Steve A. Smith</author>
  </authors>
  <commentList>
    <comment ref="C9" authorId="0">
      <text>
        <r>
          <rPr>
            <b/>
            <sz val="8"/>
            <rFont val="Tahoma"/>
            <family val="0"/>
          </rPr>
          <t>Daily trips in region from baseline worksheet.</t>
        </r>
      </text>
    </comment>
    <comment ref="C15" authorId="0">
      <text>
        <r>
          <rPr>
            <b/>
            <sz val="8"/>
            <rFont val="Tahoma"/>
            <family val="0"/>
          </rPr>
          <t>From baseline worksheet.</t>
        </r>
      </text>
    </comment>
    <comment ref="C16" authorId="0">
      <text>
        <r>
          <rPr>
            <b/>
            <sz val="8"/>
            <rFont val="Tahoma"/>
            <family val="0"/>
          </rPr>
          <t>Regional trips times average trip time.</t>
        </r>
      </text>
    </comment>
  </commentList>
</comments>
</file>

<file path=xl/comments16.xml><?xml version="1.0" encoding="utf-8"?>
<comments xmlns="http://schemas.openxmlformats.org/spreadsheetml/2006/main">
  <authors>
    <author>Steve A. Smith</author>
  </authors>
  <commentList>
    <comment ref="B9" authorId="0">
      <text>
        <r>
          <rPr>
            <b/>
            <sz val="8"/>
            <rFont val="Tahoma"/>
            <family val="0"/>
          </rPr>
          <t>From time arriving at bus stop to time of bus arrival.</t>
        </r>
      </text>
    </comment>
    <comment ref="B10" authorId="0">
      <text>
        <r>
          <rPr>
            <b/>
            <sz val="8"/>
            <rFont val="Tahoma"/>
            <family val="0"/>
          </rPr>
          <t>Average wait time for those who use the AVL information.</t>
        </r>
      </text>
    </comment>
    <comment ref="C14" authorId="0">
      <text>
        <r>
          <rPr>
            <b/>
            <sz val="8"/>
            <rFont val="Tahoma"/>
            <family val="0"/>
          </rPr>
          <t>Difference in wait times, multiplied by the weekday patronage and percentage of passengers using the information.</t>
        </r>
      </text>
    </comment>
    <comment ref="C15" authorId="0">
      <text>
        <r>
          <rPr>
            <b/>
            <sz val="8"/>
            <rFont val="Tahoma"/>
            <family val="0"/>
          </rPr>
          <t>Difference in wait times, multiplied by the average daily patronage (full week) and percentage of passengers using the information.</t>
        </r>
      </text>
    </comment>
    <comment ref="B24" authorId="0">
      <text>
        <r>
          <rPr>
            <b/>
            <sz val="8"/>
            <rFont val="Tahoma"/>
            <family val="0"/>
          </rPr>
          <t>Allows analyst to account for savings in internal operating efficiencies.  This is subtracted from total annualized cost.</t>
        </r>
      </text>
    </comment>
  </commentList>
</comments>
</file>

<file path=xl/comments17.xml><?xml version="1.0" encoding="utf-8"?>
<comments xmlns="http://schemas.openxmlformats.org/spreadsheetml/2006/main">
  <authors>
    <author>Steve A. Smith</author>
  </authors>
  <commentList>
    <comment ref="C16" authorId="0">
      <text>
        <r>
          <rPr>
            <b/>
            <sz val="8"/>
            <rFont val="Tahoma"/>
            <family val="0"/>
          </rPr>
          <t>Computes reduction in boarding time and resulting decrease in minutes per mile.</t>
        </r>
      </text>
    </comment>
    <comment ref="B21" authorId="0">
      <text>
        <r>
          <rPr>
            <b/>
            <sz val="8"/>
            <rFont val="Tahoma"/>
            <family val="0"/>
          </rPr>
          <t>Average passenger trip length on the bus trip only.  This should represent local buses, for the most part.</t>
        </r>
      </text>
    </comment>
    <comment ref="B30" authorId="0">
      <text>
        <r>
          <rPr>
            <b/>
            <sz val="8"/>
            <rFont val="Tahoma"/>
            <family val="0"/>
          </rPr>
          <t>Represents the estimated percentage increase in transit ridership for each one percent increase in bus speed.</t>
        </r>
      </text>
    </comment>
    <comment ref="C33" authorId="0">
      <text>
        <r>
          <rPr>
            <b/>
            <sz val="8"/>
            <rFont val="Tahoma"/>
            <family val="0"/>
          </rPr>
          <t>This value is calculated only to illustrate the vehicle trip reduction potential.</t>
        </r>
      </text>
    </comment>
    <comment ref="C22" authorId="0">
      <text>
        <r>
          <rPr>
            <b/>
            <sz val="8"/>
            <rFont val="Tahoma"/>
            <family val="0"/>
          </rPr>
          <t>Patronage times trip length divided by speed.</t>
        </r>
      </text>
    </comment>
    <comment ref="B40" authorId="0">
      <text>
        <r>
          <rPr>
            <b/>
            <sz val="8"/>
            <rFont val="Tahoma"/>
            <family val="0"/>
          </rPr>
          <t>Allows analyst to account for savings in internal operating efficiencies.  This is subtracted from total annualized cost.</t>
        </r>
      </text>
    </comment>
  </commentList>
</comments>
</file>

<file path=xl/comments18.xml><?xml version="1.0" encoding="utf-8"?>
<comments xmlns="http://schemas.openxmlformats.org/spreadsheetml/2006/main">
  <authors>
    <author>Steve A. Smith</author>
  </authors>
  <commentList>
    <comment ref="B13" authorId="0">
      <text>
        <r>
          <rPr>
            <b/>
            <sz val="8"/>
            <rFont val="Tahoma"/>
            <family val="0"/>
          </rPr>
          <t xml:space="preserve">Pre-emption will eliminate only a portion of signal delay.  </t>
        </r>
      </text>
    </comment>
    <comment ref="B12" authorId="0">
      <text>
        <r>
          <rPr>
            <b/>
            <sz val="8"/>
            <rFont val="Tahoma"/>
            <family val="0"/>
          </rPr>
          <t>May be able to estimate from schedule information, no. of passengers, and boarding and alighting times.</t>
        </r>
      </text>
    </comment>
    <comment ref="B26" authorId="0">
      <text>
        <r>
          <rPr>
            <b/>
            <sz val="8"/>
            <rFont val="Tahoma"/>
            <family val="0"/>
          </rPr>
          <t>Represents the estimated percentage increase in transit ridership for each one percent increase in bus speed.</t>
        </r>
      </text>
    </comment>
    <comment ref="B32" authorId="0">
      <text>
        <r>
          <rPr>
            <b/>
            <sz val="8"/>
            <rFont val="Tahoma"/>
            <family val="0"/>
          </rPr>
          <t>Sum daily volumes of major crossing streets</t>
        </r>
      </text>
    </comment>
    <comment ref="B33" authorId="0">
      <text>
        <r>
          <rPr>
            <b/>
            <sz val="8"/>
            <rFont val="Tahoma"/>
            <family val="0"/>
          </rPr>
          <t>Will be related to frequency of buses.  More buses means greater chance of pre-emption.</t>
        </r>
      </text>
    </comment>
  </commentList>
</comments>
</file>

<file path=xl/comments19.xml><?xml version="1.0" encoding="utf-8"?>
<comments xmlns="http://schemas.openxmlformats.org/spreadsheetml/2006/main">
  <authors>
    <author>Steve A. Smith</author>
  </authors>
  <commentList>
    <comment ref="C15" authorId="0">
      <text>
        <r>
          <rPr>
            <b/>
            <sz val="8"/>
            <rFont val="Tahoma"/>
            <family val="0"/>
          </rPr>
          <t>Above three rows must sum to 100 percent.</t>
        </r>
      </text>
    </comment>
    <comment ref="C21" authorId="0">
      <text>
        <r>
          <rPr>
            <b/>
            <sz val="8"/>
            <rFont val="Tahoma"/>
            <family val="0"/>
          </rPr>
          <t>Above three rows must sum to 100 percent.</t>
        </r>
      </text>
    </comment>
    <comment ref="B24" authorId="0">
      <text>
        <r>
          <rPr>
            <b/>
            <sz val="8"/>
            <rFont val="Tahoma"/>
            <family val="0"/>
          </rPr>
          <t>Values need to relate to intended local operations.</t>
        </r>
      </text>
    </comment>
    <comment ref="B25" authorId="0">
      <text>
        <r>
          <rPr>
            <b/>
            <sz val="8"/>
            <rFont val="Tahoma"/>
            <family val="0"/>
          </rPr>
          <t>Values need to relate to intended local operations.</t>
        </r>
      </text>
    </comment>
    <comment ref="B26" authorId="0">
      <text>
        <r>
          <rPr>
            <b/>
            <sz val="8"/>
            <rFont val="Tahoma"/>
            <family val="0"/>
          </rPr>
          <t>Values need to relate to intended local operations.</t>
        </r>
      </text>
    </comment>
    <comment ref="B27" authorId="0">
      <text>
        <r>
          <rPr>
            <b/>
            <sz val="8"/>
            <rFont val="Tahoma"/>
            <family val="0"/>
          </rPr>
          <t>Values need to relate to intended local operations.</t>
        </r>
      </text>
    </comment>
    <comment ref="C29" authorId="0">
      <text>
        <r>
          <rPr>
            <b/>
            <sz val="8"/>
            <rFont val="Tahoma"/>
            <family val="0"/>
          </rPr>
          <t>Sum of the product of the volume of each toll type times the processing time for each toll type for the current condition.</t>
        </r>
      </text>
    </comment>
    <comment ref="C30" authorId="0">
      <text>
        <r>
          <rPr>
            <b/>
            <sz val="8"/>
            <rFont val="Tahoma"/>
            <family val="0"/>
          </rPr>
          <t>Sum of the product of the volume of each toll type times the processing time for each toll type for the condition with ETC.</t>
        </r>
      </text>
    </comment>
    <comment ref="B39" authorId="0">
      <text>
        <r>
          <rPr>
            <b/>
            <sz val="8"/>
            <rFont val="Tahoma"/>
            <family val="0"/>
          </rPr>
          <t>Allows analyst to account for savings in internal operating efficiencies.  This is subtracted from total annualized cost.</t>
        </r>
      </text>
    </comment>
    <comment ref="C41" authorId="0">
      <text>
        <r>
          <rPr>
            <b/>
            <sz val="8"/>
            <rFont val="Tahoma"/>
            <family val="0"/>
          </rPr>
          <t>Could become negative if agency labor cost savings exceeds other costs.</t>
        </r>
      </text>
    </comment>
    <comment ref="C44" authorId="0">
      <text>
        <r>
          <rPr>
            <b/>
            <sz val="8"/>
            <rFont val="Tahoma"/>
            <family val="0"/>
          </rPr>
          <t>Will not be meaningful if costs become negative.</t>
        </r>
      </text>
    </comment>
    <comment ref="C45" authorId="0">
      <text>
        <r>
          <rPr>
            <b/>
            <sz val="8"/>
            <rFont val="Tahoma"/>
            <family val="0"/>
          </rPr>
          <t>Will not be meaningful if costs become negative.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Steve A. Smith</author>
  </authors>
  <commentList>
    <comment ref="B11" authorId="0">
      <text>
        <r>
          <rPr>
            <sz val="8"/>
            <rFont val="Tahoma"/>
            <family val="0"/>
          </rPr>
          <t xml:space="preserve">User Input
</t>
        </r>
      </text>
    </comment>
    <comment ref="B18" authorId="1">
      <text>
        <r>
          <rPr>
            <b/>
            <sz val="8"/>
            <rFont val="Tahoma"/>
            <family val="0"/>
          </rPr>
          <t>Enter to the nearest tenth</t>
        </r>
      </text>
    </comment>
    <comment ref="B19" authorId="1">
      <text>
        <r>
          <rPr>
            <b/>
            <sz val="8"/>
            <rFont val="Tahoma"/>
            <family val="0"/>
          </rPr>
          <t>Enter to the nearest tenth</t>
        </r>
      </text>
    </comment>
    <comment ref="B10" authorId="1">
      <text>
        <r>
          <rPr>
            <b/>
            <sz val="8"/>
            <rFont val="Tahoma"/>
            <family val="0"/>
          </rPr>
          <t>Used in calculation of non-recurring delay</t>
        </r>
      </text>
    </comment>
    <comment ref="B14" authorId="1">
      <text>
        <r>
          <rPr>
            <b/>
            <sz val="8"/>
            <rFont val="Tahoma"/>
            <family val="0"/>
          </rPr>
          <t>Use a source consistent with any other analyses being conducted</t>
        </r>
      </text>
    </comment>
    <comment ref="B15" authorId="1">
      <text>
        <r>
          <rPr>
            <b/>
            <sz val="8"/>
            <rFont val="Tahoma"/>
            <family val="0"/>
          </rPr>
          <t>Use a source consistent with other analyses being conducted.</t>
        </r>
      </text>
    </comment>
    <comment ref="C18" authorId="1">
      <text>
        <r>
          <rPr>
            <b/>
            <sz val="8"/>
            <rFont val="Tahoma"/>
            <family val="0"/>
          </rPr>
          <t>Derived from FwySpeed lookup table</t>
        </r>
      </text>
    </comment>
    <comment ref="C19" authorId="1">
      <text>
        <r>
          <rPr>
            <b/>
            <sz val="8"/>
            <rFont val="Tahoma"/>
            <family val="0"/>
          </rPr>
          <t>Derived from ArtSpeed lookup table</t>
        </r>
      </text>
    </comment>
    <comment ref="B21" authorId="1">
      <text>
        <r>
          <rPr>
            <b/>
            <sz val="8"/>
            <rFont val="Tahoma"/>
            <family val="0"/>
          </rPr>
          <t>Enter C if you want the value calculated for you, I if you want to use your own input value</t>
        </r>
      </text>
    </comment>
    <comment ref="B26" authorId="1">
      <text>
        <r>
          <rPr>
            <b/>
            <sz val="8"/>
            <rFont val="Tahoma"/>
            <family val="0"/>
          </rPr>
          <t>If you have your own source of recurring VHT, such as from a travel mode, input it here.</t>
        </r>
      </text>
    </comment>
    <comment ref="B27" authorId="1">
      <text>
        <r>
          <rPr>
            <b/>
            <sz val="8"/>
            <rFont val="Tahoma"/>
            <family val="0"/>
          </rPr>
          <t>If you have your own source of arterial VHT data, such as from a model, input it here.</t>
        </r>
      </text>
    </comment>
    <comment ref="C23" authorId="1">
      <text>
        <r>
          <rPr>
            <b/>
            <sz val="8"/>
            <rFont val="Tahoma"/>
            <family val="0"/>
          </rPr>
          <t>Calculated based on calculated speed in C18 and VMT</t>
        </r>
      </text>
    </comment>
    <comment ref="C24" authorId="1">
      <text>
        <r>
          <rPr>
            <b/>
            <sz val="8"/>
            <rFont val="Tahoma"/>
            <family val="0"/>
          </rPr>
          <t>Based on calculated speed in C19 plus arterial VMT</t>
        </r>
      </text>
    </comment>
    <comment ref="C26" authorId="1">
      <text>
        <r>
          <rPr>
            <b/>
            <sz val="8"/>
            <rFont val="Tahoma"/>
            <family val="0"/>
          </rPr>
          <t>This is the value of VHT that will be used in later calculations, based on your choice of C or I</t>
        </r>
      </text>
    </comment>
    <comment ref="C27" authorId="1">
      <text>
        <r>
          <rPr>
            <b/>
            <sz val="8"/>
            <rFont val="Tahoma"/>
            <family val="0"/>
          </rPr>
          <t>This is the value of arterial VHT that will be used in later calculations, based on your choice of C or I</t>
        </r>
      </text>
    </comment>
    <comment ref="B29" authorId="1">
      <text>
        <r>
          <rPr>
            <b/>
            <sz val="8"/>
            <rFont val="Tahoma"/>
            <family val="0"/>
          </rPr>
          <t>Enter C if you want the value calculated for you, I if you want to use your own input value</t>
        </r>
      </text>
    </comment>
    <comment ref="B31" authorId="1">
      <text>
        <r>
          <rPr>
            <b/>
            <sz val="8"/>
            <rFont val="Tahoma"/>
            <family val="0"/>
          </rPr>
          <t>If you have your own ratio, put it in here.</t>
        </r>
      </text>
    </comment>
    <comment ref="C32" authorId="1">
      <text>
        <r>
          <rPr>
            <b/>
            <sz val="8"/>
            <rFont val="Tahoma"/>
            <family val="0"/>
          </rPr>
          <t>Calculated based on ratio of non-recurring VHT to recurring VHT</t>
        </r>
      </text>
    </comment>
    <comment ref="C35" authorId="1">
      <text>
        <r>
          <rPr>
            <b/>
            <sz val="8"/>
            <rFont val="Tahoma"/>
            <family val="0"/>
          </rPr>
          <t>VMT divided by recurring VHT for freeway</t>
        </r>
      </text>
    </comment>
    <comment ref="C36" authorId="1">
      <text>
        <r>
          <rPr>
            <b/>
            <sz val="8"/>
            <rFont val="Tahoma"/>
            <family val="0"/>
          </rPr>
          <t>VMT divided by recurring VHT for arterial</t>
        </r>
      </text>
    </comment>
    <comment ref="C38" authorId="1">
      <text>
        <r>
          <rPr>
            <b/>
            <sz val="8"/>
            <rFont val="Tahoma"/>
            <family val="0"/>
          </rPr>
          <t>VMT divided by recurring plus non-recurring VHT for freeways</t>
        </r>
      </text>
    </comment>
    <comment ref="C45" authorId="1">
      <text>
        <r>
          <rPr>
            <b/>
            <sz val="8"/>
            <rFont val="Tahoma"/>
            <family val="0"/>
          </rPr>
          <t>Calculated based on cost per person hour times average vehicle occupancy</t>
        </r>
      </text>
    </comment>
    <comment ref="B47" authorId="1">
      <text>
        <r>
          <rPr>
            <b/>
            <sz val="8"/>
            <rFont val="Tahoma"/>
            <family val="0"/>
          </rPr>
          <t>Should be consistent with values used in your region</t>
        </r>
      </text>
    </comment>
    <comment ref="B48" authorId="1">
      <text>
        <r>
          <rPr>
            <b/>
            <sz val="8"/>
            <rFont val="Tahoma"/>
            <family val="0"/>
          </rPr>
          <t>Should be consistent with values used in your region</t>
        </r>
      </text>
    </comment>
    <comment ref="B49" authorId="1">
      <text>
        <r>
          <rPr>
            <b/>
            <sz val="8"/>
            <rFont val="Tahoma"/>
            <family val="0"/>
          </rPr>
          <t>Should be consistent with VMT being used for area-wide analysis.  May not be consistent with facility-specific VMT.</t>
        </r>
      </text>
    </comment>
    <comment ref="B62" authorId="1">
      <text>
        <r>
          <rPr>
            <b/>
            <sz val="8"/>
            <rFont val="Tahoma"/>
            <family val="0"/>
          </rPr>
          <t>Use a value accepted in your area.  Default value represents an approximate weighted average of fatal, injury, and property damage accidents.</t>
        </r>
      </text>
    </comment>
    <comment ref="B58" authorId="1">
      <text>
        <r>
          <rPr>
            <b/>
            <sz val="8"/>
            <rFont val="Tahoma"/>
            <family val="0"/>
          </rPr>
          <t>A secondary accident is one that occurs in a queue upstream of another accident or incident.</t>
        </r>
      </text>
    </comment>
    <comment ref="C57" authorId="1">
      <text>
        <r>
          <rPr>
            <b/>
            <sz val="8"/>
            <rFont val="Tahoma"/>
            <family val="0"/>
          </rPr>
          <t>Accident rate times VMT for freeways</t>
        </r>
      </text>
    </comment>
    <comment ref="C61" authorId="1">
      <text>
        <r>
          <rPr>
            <b/>
            <sz val="8"/>
            <rFont val="Tahoma"/>
            <family val="0"/>
          </rPr>
          <t>Accident rate times VMT for arterials</t>
        </r>
      </text>
    </comment>
    <comment ref="C30" authorId="1">
      <text>
        <r>
          <rPr>
            <b/>
            <sz val="8"/>
            <rFont val="Tahoma"/>
            <family val="0"/>
          </rPr>
          <t>Based on AWDT/C ratio and inc_pct lookup table</t>
        </r>
      </text>
    </comment>
    <comment ref="B44" authorId="1">
      <text>
        <r>
          <rPr>
            <b/>
            <sz val="8"/>
            <rFont val="Tahoma"/>
            <family val="0"/>
          </rPr>
          <t xml:space="preserve">Input from locally accepted source.  Default value approximated from data in FTA document: </t>
        </r>
        <r>
          <rPr>
            <b/>
            <i/>
            <sz val="8"/>
            <rFont val="Tahoma"/>
            <family val="2"/>
          </rPr>
          <t>Technical Guidance on Section 5309 New Starts Criteria, Sept. 1997.</t>
        </r>
      </text>
    </comment>
    <comment ref="B41" authorId="1">
      <text>
        <r>
          <rPr>
            <b/>
            <sz val="8"/>
            <rFont val="Tahoma"/>
            <family val="0"/>
          </rPr>
          <t>Input typical value for daily trips.</t>
        </r>
      </text>
    </comment>
    <comment ref="B60" authorId="1">
      <text>
        <r>
          <rPr>
            <b/>
            <sz val="8"/>
            <rFont val="Tahoma"/>
            <family val="0"/>
          </rPr>
          <t xml:space="preserve">Use value representative of local area.  Default value is Urban Other Principal Arterial rate from FHWA's </t>
        </r>
        <r>
          <rPr>
            <b/>
            <i/>
            <sz val="8"/>
            <rFont val="Tahoma"/>
            <family val="2"/>
          </rPr>
          <t>Estimating the Impacts of Urban Transportation Alternatives</t>
        </r>
      </text>
    </comment>
    <comment ref="B56" authorId="1">
      <text>
        <r>
          <rPr>
            <b/>
            <sz val="8"/>
            <rFont val="Tahoma"/>
            <family val="0"/>
          </rPr>
          <t>Use value accepted in local area.  Default value is Urban Freeway rate from FHWA's Estimating the Impacts of Urban Transportation Alternatives</t>
        </r>
      </text>
    </comment>
    <comment ref="B52" authorId="1">
      <text>
        <r>
          <rPr>
            <b/>
            <sz val="8"/>
            <rFont val="Tahoma"/>
            <family val="0"/>
          </rPr>
          <t xml:space="preserve">Use local data, if available.  Default value is typical of durations reported in FHWA report entitled </t>
        </r>
        <r>
          <rPr>
            <b/>
            <i/>
            <sz val="8"/>
            <rFont val="Tahoma"/>
            <family val="2"/>
          </rPr>
          <t xml:space="preserve">A Methodology for Measurement and Reporting of Incidents and the Prediction of Incident Impacts on Freeways, </t>
        </r>
        <r>
          <rPr>
            <b/>
            <sz val="8"/>
            <rFont val="Tahoma"/>
            <family val="2"/>
          </rPr>
          <t>Ball Systems, April 1995.</t>
        </r>
      </text>
    </comment>
  </commentList>
</comments>
</file>

<file path=xl/comments20.xml><?xml version="1.0" encoding="utf-8"?>
<comments xmlns="http://schemas.openxmlformats.org/spreadsheetml/2006/main">
  <authors>
    <author>Steve A. Smith</author>
  </authors>
  <commentList>
    <comment ref="C16" authorId="0">
      <text>
        <r>
          <rPr>
            <b/>
            <sz val="8"/>
            <rFont val="Tahoma"/>
            <family val="0"/>
          </rPr>
          <t>Calculated from percentages in the above three rows times freeway VMT in baseline worksheet.</t>
        </r>
      </text>
    </comment>
    <comment ref="B18" authorId="0">
      <text>
        <r>
          <rPr>
            <b/>
            <sz val="8"/>
            <rFont val="Tahoma"/>
            <family val="0"/>
          </rPr>
          <t>Analyst can base judgment on prior evaluations of metering referenced in ITE or FHWA documents.  Speed should apply to entire section for which meters are being added.</t>
        </r>
      </text>
    </comment>
    <comment ref="B17" authorId="0">
      <text>
        <r>
          <rPr>
            <b/>
            <sz val="8"/>
            <rFont val="Tahoma"/>
            <family val="0"/>
          </rPr>
          <t>Speed should apply to entire section for which meters are being added.</t>
        </r>
      </text>
    </comment>
    <comment ref="C19" authorId="0">
      <text>
        <r>
          <rPr>
            <b/>
            <sz val="8"/>
            <rFont val="Tahoma"/>
            <family val="0"/>
          </rPr>
          <t>VMT divided by average speed</t>
        </r>
      </text>
    </comment>
    <comment ref="C20" authorId="0">
      <text>
        <r>
          <rPr>
            <b/>
            <sz val="8"/>
            <rFont val="Tahoma"/>
            <family val="0"/>
          </rPr>
          <t>VMT divided by average speed</t>
        </r>
      </text>
    </comment>
    <comment ref="B25" authorId="0">
      <text>
        <r>
          <rPr>
            <b/>
            <sz val="8"/>
            <rFont val="Tahoma"/>
            <family val="0"/>
          </rPr>
          <t>Over entire metering period, as defined by user, not per hour.</t>
        </r>
      </text>
    </comment>
    <comment ref="B26" authorId="0">
      <text>
        <r>
          <rPr>
            <b/>
            <sz val="8"/>
            <rFont val="Tahoma"/>
            <family val="0"/>
          </rPr>
          <t>Analyst may get some sense of this from volume on ramp and degree to which volume restriction is needed.</t>
        </r>
      </text>
    </comment>
    <comment ref="C27" authorId="0">
      <text>
        <r>
          <rPr>
            <b/>
            <sz val="8"/>
            <rFont val="Tahoma"/>
            <family val="0"/>
          </rPr>
          <t>Result will be an increase in delay, or negative savings.</t>
        </r>
      </text>
    </comment>
    <comment ref="C30" authorId="0">
      <text>
        <r>
          <rPr>
            <b/>
            <sz val="8"/>
            <rFont val="Tahoma"/>
            <family val="0"/>
          </rPr>
          <t>Assumed to be same length as metered section of freeway.</t>
        </r>
      </text>
    </comment>
    <comment ref="C33" authorId="0">
      <text>
        <r>
          <rPr>
            <b/>
            <sz val="8"/>
            <rFont val="Tahoma"/>
            <family val="0"/>
          </rPr>
          <t>Calculated from percentages in the above two rows times arterial VMT in baseline worksheet.</t>
        </r>
      </text>
    </comment>
    <comment ref="C47" authorId="0">
      <text>
        <r>
          <rPr>
            <b/>
            <sz val="8"/>
            <rFont val="Tahoma"/>
            <family val="0"/>
          </rPr>
          <t>Same notes as above, but for other direction of travel and different time period.</t>
        </r>
      </text>
    </comment>
    <comment ref="C75" authorId="0">
      <text>
        <r>
          <rPr>
            <b/>
            <sz val="8"/>
            <rFont val="Tahoma"/>
            <family val="0"/>
          </rPr>
          <t>For weekdays only.</t>
        </r>
      </text>
    </comment>
    <comment ref="A80" authorId="0">
      <text>
        <r>
          <rPr>
            <b/>
            <sz val="8"/>
            <rFont val="Tahoma"/>
            <family val="0"/>
          </rPr>
          <t>Difficult to estimate air quality impacts also.  Air quality impacts not analyzed.</t>
        </r>
      </text>
    </comment>
  </commentList>
</comments>
</file>

<file path=xl/comments21.xml><?xml version="1.0" encoding="utf-8"?>
<comments xmlns="http://schemas.openxmlformats.org/spreadsheetml/2006/main">
  <authors>
    <author>A satisfied Microsoft Office user</author>
    <author>Steve A. Smith</author>
  </authors>
  <commentList>
    <comment ref="C13" authorId="0">
      <text>
        <r>
          <rPr>
            <sz val="8"/>
            <rFont val="Tahoma"/>
            <family val="0"/>
          </rPr>
          <t xml:space="preserve">#Weigh Stations X # Veh. Thru X Time/Veh  X Percent Veh Not Weighed/60 Min.
</t>
        </r>
      </text>
    </comment>
    <comment ref="C17" authorId="0">
      <text>
        <r>
          <rPr>
            <sz val="8"/>
            <rFont val="Tahoma"/>
            <family val="0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0"/>
          </rPr>
          <t>Default value is typical cost for trucks as reported in FHWA's Estimating the Impacts of Urban Transportation Alternatives, page VI-21.</t>
        </r>
      </text>
    </comment>
  </commentList>
</comments>
</file>

<file path=xl/comments22.xml><?xml version="1.0" encoding="utf-8"?>
<comments xmlns="http://schemas.openxmlformats.org/spreadsheetml/2006/main">
  <authors>
    <author>Steve A. Smith</author>
  </authors>
  <commentList>
    <comment ref="B15" authorId="0">
      <text>
        <r>
          <rPr>
            <b/>
            <sz val="8"/>
            <rFont val="Tahoma"/>
            <family val="0"/>
          </rPr>
          <t>Use locally-derived value.  Will be higher than average for all accidents.</t>
        </r>
      </text>
    </comment>
  </commentList>
</comments>
</file>

<file path=xl/comments23.xml><?xml version="1.0" encoding="utf-8"?>
<comments xmlns="http://schemas.openxmlformats.org/spreadsheetml/2006/main">
  <authors>
    <author>david register</author>
    <author>Steve A. Smith</author>
  </authors>
  <commentList>
    <comment ref="C17" authorId="0">
      <text>
        <r>
          <rPr>
            <sz val="8"/>
            <rFont val="Tahoma"/>
            <family val="0"/>
          </rPr>
          <t>No. stops per VMT times VMT</t>
        </r>
      </text>
    </comment>
    <comment ref="C8" authorId="1">
      <text>
        <r>
          <rPr>
            <b/>
            <sz val="8"/>
            <rFont val="Tahoma"/>
            <family val="0"/>
          </rPr>
          <t>From baseline worksheet.</t>
        </r>
      </text>
    </comment>
    <comment ref="C9" authorId="1">
      <text>
        <r>
          <rPr>
            <b/>
            <sz val="8"/>
            <rFont val="Tahoma"/>
            <family val="0"/>
          </rPr>
          <t>From baseline worksheet.</t>
        </r>
      </text>
    </comment>
    <comment ref="C10" authorId="1">
      <text>
        <r>
          <rPr>
            <b/>
            <sz val="8"/>
            <rFont val="Tahoma"/>
            <family val="0"/>
          </rPr>
          <t>VMT divided by VHT</t>
        </r>
      </text>
    </comment>
    <comment ref="B11" authorId="1">
      <text>
        <r>
          <rPr>
            <b/>
            <sz val="8"/>
            <rFont val="Tahoma"/>
            <family val="0"/>
          </rPr>
          <t xml:space="preserve">See ITE's </t>
        </r>
        <r>
          <rPr>
            <b/>
            <i/>
            <sz val="8"/>
            <rFont val="Tahoma"/>
            <family val="2"/>
          </rPr>
          <t>Strategies for Alleviating Traffic Congestion.</t>
        </r>
      </text>
    </comment>
    <comment ref="C12" authorId="1">
      <text>
        <r>
          <rPr>
            <b/>
            <sz val="8"/>
            <rFont val="Tahoma"/>
            <family val="0"/>
          </rPr>
          <t>Based on percentage improvement in average speed.</t>
        </r>
      </text>
    </comment>
    <comment ref="B16" authorId="1">
      <text>
        <r>
          <rPr>
            <b/>
            <sz val="8"/>
            <rFont val="Tahoma"/>
            <family val="0"/>
          </rPr>
          <t>Locally derived estimate may be best obtained from moving car runs in several time periods.</t>
        </r>
      </text>
    </comment>
    <comment ref="B18" authorId="1">
      <text>
        <r>
          <rPr>
            <b/>
            <sz val="8"/>
            <rFont val="Tahoma"/>
            <family val="0"/>
          </rPr>
          <t xml:space="preserve">See ITE's </t>
        </r>
        <r>
          <rPr>
            <b/>
            <i/>
            <sz val="8"/>
            <rFont val="Tahoma"/>
            <family val="2"/>
          </rPr>
          <t>Strategies for Alleviating Traffic Congestion.</t>
        </r>
      </text>
    </comment>
    <comment ref="C19" authorId="1">
      <text>
        <r>
          <rPr>
            <b/>
            <sz val="8"/>
            <rFont val="Tahoma"/>
            <family val="0"/>
          </rPr>
          <t>No. of stops times percent reduction in stops.</t>
        </r>
      </text>
    </comment>
    <comment ref="C26" authorId="1">
      <text>
        <r>
          <rPr>
            <b/>
            <sz val="8"/>
            <rFont val="Tahoma"/>
            <family val="0"/>
          </rPr>
          <t>Arterial accident rate times arterial VMT from baseline worksheet</t>
        </r>
      </text>
    </comment>
    <comment ref="C27" authorId="1">
      <text>
        <r>
          <rPr>
            <b/>
            <sz val="8"/>
            <rFont val="Tahoma"/>
            <family val="0"/>
          </rPr>
          <t>Assumed proportional to percent reduction in stops.</t>
        </r>
      </text>
    </comment>
    <comment ref="C21" authorId="1">
      <text>
        <r>
          <rPr>
            <b/>
            <sz val="8"/>
            <rFont val="Tahoma"/>
            <family val="0"/>
          </rPr>
          <t>Based on number of stops and amount of fuel consumed per stop.</t>
        </r>
      </text>
    </comment>
    <comment ref="C22" authorId="1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C23" authorId="1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C24" authorId="1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C32" authorId="1">
      <text>
        <r>
          <rPr>
            <b/>
            <sz val="8"/>
            <rFont val="Tahoma"/>
            <family val="0"/>
          </rPr>
          <t>Based only on gallons of fuel saved, multiplied by fuel cost of $1.25 per gallon.</t>
        </r>
      </text>
    </comment>
    <comment ref="C40" authorId="1">
      <text>
        <r>
          <rPr>
            <b/>
            <sz val="8"/>
            <rFont val="Tahoma"/>
            <family val="0"/>
          </rPr>
          <t>Annualized installation cost, plus annual operating cost, minus labor cost savings to agency</t>
        </r>
      </text>
    </comment>
  </commentList>
</comments>
</file>

<file path=xl/comments8.xml><?xml version="1.0" encoding="utf-8"?>
<comments xmlns="http://schemas.openxmlformats.org/spreadsheetml/2006/main">
  <authors>
    <author>Steve A. Smith</author>
  </authors>
  <commentList>
    <comment ref="C14" authorId="0">
      <text>
        <r>
          <rPr>
            <sz val="8"/>
            <rFont val="Tahoma"/>
            <family val="0"/>
          </rPr>
          <t>Reduction in duration divided by current duration times percentage of study are freeway improved. Percentage represents reduction for entire section (improved and unimproved).</t>
        </r>
      </text>
    </comment>
    <comment ref="C11" authorId="0">
      <text>
        <r>
          <rPr>
            <b/>
            <sz val="8"/>
            <rFont val="Tahoma"/>
            <family val="0"/>
          </rPr>
          <t>Difference in percentages of coverage with and without improvement</t>
        </r>
      </text>
    </comment>
    <comment ref="B33" authorId="0">
      <text>
        <r>
          <rPr>
            <b/>
            <sz val="8"/>
            <rFont val="Tahoma"/>
            <family val="0"/>
          </rPr>
          <t>Assumes no additional cost for weekend operation.  User would need to add a new row to accommodate any difference in weekday and full week cost.</t>
        </r>
      </text>
    </comment>
    <comment ref="B13" authorId="0">
      <text>
        <r>
          <rPr>
            <b/>
            <sz val="8"/>
            <rFont val="Tahoma"/>
            <family val="0"/>
          </rPr>
          <t>Provide estimate for the improved section only, not a weighted average for the entire section.  Applies to average incident on average day.</t>
        </r>
      </text>
    </comment>
    <comment ref="C15" authorId="0">
      <text>
        <r>
          <rPr>
            <b/>
            <sz val="8"/>
            <rFont val="Tahoma"/>
            <family val="0"/>
          </rPr>
          <t>Assumes linear relationship between incident duration reduction and VHT reduction.</t>
        </r>
      </text>
    </comment>
    <comment ref="C16" authorId="0">
      <text>
        <r>
          <rPr>
            <b/>
            <sz val="8"/>
            <rFont val="Tahoma"/>
            <family val="0"/>
          </rPr>
          <t>Weekday savings in VHT times number of weekdays</t>
        </r>
      </text>
    </comment>
    <comment ref="C18" authorId="0">
      <text>
        <r>
          <rPr>
            <b/>
            <sz val="8"/>
            <rFont val="Tahoma"/>
            <family val="0"/>
          </rPr>
          <t>Taken directly from baseline worksheet</t>
        </r>
      </text>
    </comment>
    <comment ref="C19" authorId="0">
      <text>
        <r>
          <rPr>
            <b/>
            <sz val="8"/>
            <rFont val="Tahoma"/>
            <family val="0"/>
          </rPr>
          <t>Calculated based on change in VHT</t>
        </r>
      </text>
    </comment>
    <comment ref="C20" authorId="0">
      <text>
        <r>
          <rPr>
            <b/>
            <sz val="8"/>
            <rFont val="Tahoma"/>
            <family val="0"/>
          </rPr>
          <t>Baseline speed plus change in speed</t>
        </r>
      </text>
    </comment>
    <comment ref="C22" authorId="0">
      <text>
        <r>
          <rPr>
            <b/>
            <sz val="8"/>
            <rFont val="Tahoma"/>
            <family val="0"/>
          </rPr>
          <t>Based on change in VMT.  Change in speed not included as a factor.</t>
        </r>
      </text>
    </comment>
    <comment ref="C23" authorId="0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C24" authorId="0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C25" authorId="0">
      <text>
        <r>
          <rPr>
            <b/>
            <sz val="8"/>
            <rFont val="Tahoma"/>
            <family val="0"/>
          </rPr>
          <t>Based on emission factors in emis_fac lookup table interpolated from speeds.</t>
        </r>
      </text>
    </comment>
    <comment ref="B31" authorId="0">
      <text>
        <r>
          <rPr>
            <b/>
            <sz val="8"/>
            <rFont val="Tahoma"/>
            <family val="0"/>
          </rPr>
          <t>User will need to determine how much of communications cost and central control costs to include in CCTV cost.</t>
        </r>
      </text>
    </comment>
    <comment ref="C35" authorId="0">
      <text>
        <r>
          <rPr>
            <b/>
            <sz val="8"/>
            <rFont val="Tahoma"/>
            <family val="0"/>
          </rPr>
          <t>Annualized installation plus annual operational and maintenance cost.</t>
        </r>
      </text>
    </comment>
    <comment ref="C34" authorId="0">
      <text>
        <r>
          <rPr>
            <b/>
            <sz val="8"/>
            <rFont val="Tahoma"/>
            <family val="0"/>
          </rPr>
          <t>Taken from ann_fac lookup table based on user-input service life.</t>
        </r>
      </text>
    </comment>
  </commentList>
</comments>
</file>

<file path=xl/comments9.xml><?xml version="1.0" encoding="utf-8"?>
<comments xmlns="http://schemas.openxmlformats.org/spreadsheetml/2006/main">
  <authors>
    <author>Steve A. Smith</author>
  </authors>
  <commentList>
    <comment ref="B12" authorId="0">
      <text>
        <r>
          <rPr>
            <b/>
            <sz val="8"/>
            <rFont val="Tahoma"/>
            <family val="0"/>
          </rPr>
          <t>Provide estimate for the improved section only, not a weighted average for the entire section.</t>
        </r>
      </text>
    </comment>
    <comment ref="C13" authorId="0">
      <text>
        <r>
          <rPr>
            <b/>
            <sz val="8"/>
            <rFont val="Tahoma"/>
            <family val="0"/>
          </rPr>
          <t>Reduction in duration divided by current duration times percentage of study area freeway improved. Percentage represents reduction for entire section (improved and unimproved).</t>
        </r>
      </text>
    </comment>
    <comment ref="C14" authorId="0">
      <text>
        <r>
          <rPr>
            <b/>
            <sz val="8"/>
            <rFont val="Tahoma"/>
            <family val="0"/>
          </rPr>
          <t>Assumes linear relationship between incident duration reduction and VHT reduction.</t>
        </r>
      </text>
    </comment>
    <comment ref="C15" authorId="0">
      <text>
        <r>
          <rPr>
            <b/>
            <sz val="8"/>
            <rFont val="Tahoma"/>
            <family val="0"/>
          </rPr>
          <t>Savings in weekday VHT times number of weekdays per year.</t>
        </r>
      </text>
    </comment>
    <comment ref="C17" authorId="0">
      <text>
        <r>
          <rPr>
            <b/>
            <sz val="8"/>
            <rFont val="Tahoma"/>
            <family val="0"/>
          </rPr>
          <t>Taken directly from study area speed calculated in baseline worksheet.</t>
        </r>
      </text>
    </comment>
    <comment ref="C18" authorId="0">
      <text>
        <r>
          <rPr>
            <b/>
            <sz val="8"/>
            <rFont val="Tahoma"/>
            <family val="0"/>
          </rPr>
          <t>Based on reduction in VHT and change in VMT (if any).</t>
        </r>
      </text>
    </comment>
    <comment ref="B30" authorId="0">
      <text>
        <r>
          <rPr>
            <b/>
            <sz val="8"/>
            <rFont val="Tahoma"/>
            <family val="0"/>
          </rPr>
          <t>User will need to determine how much of communications cost and central control costs to include in CCTV cost.</t>
        </r>
      </text>
    </comment>
    <comment ref="C33" authorId="0">
      <text>
        <r>
          <rPr>
            <b/>
            <sz val="8"/>
            <rFont val="Tahoma"/>
            <family val="0"/>
          </rPr>
          <t>Based on ann_fac lookup table and user-input service life.</t>
        </r>
      </text>
    </comment>
  </commentList>
</comments>
</file>

<file path=xl/sharedStrings.xml><?xml version="1.0" encoding="utf-8"?>
<sst xmlns="http://schemas.openxmlformats.org/spreadsheetml/2006/main" count="808" uniqueCount="416">
  <si>
    <t>Variable</t>
  </si>
  <si>
    <t>User Input</t>
  </si>
  <si>
    <t>Calculated</t>
  </si>
  <si>
    <t>Centerline miles of freeway</t>
  </si>
  <si>
    <t>Centerline miles of arterial</t>
  </si>
  <si>
    <t>Proportion of freeway miles with shoulders at least one side</t>
  </si>
  <si>
    <t xml:space="preserve">  Freeway</t>
  </si>
  <si>
    <t xml:space="preserve">  Arterial</t>
  </si>
  <si>
    <t>Do you want to use calculated or input recurring VHT? (C/I)</t>
  </si>
  <si>
    <t>C</t>
  </si>
  <si>
    <t>Vehicle occupancy</t>
  </si>
  <si>
    <t>Cost of Time</t>
  </si>
  <si>
    <t xml:space="preserve">  Per person hour</t>
  </si>
  <si>
    <t xml:space="preserve">  Average incident duration (min.)</t>
  </si>
  <si>
    <t>Accident Data</t>
  </si>
  <si>
    <t>Freeways</t>
  </si>
  <si>
    <t xml:space="preserve">  Freeway accidents per million VMT</t>
  </si>
  <si>
    <t xml:space="preserve">  Freeway accidents in study area (average weekday)</t>
  </si>
  <si>
    <t>Arterial</t>
  </si>
  <si>
    <t xml:space="preserve">  Arterial accidents per million VMT</t>
  </si>
  <si>
    <t xml:space="preserve">  Arterial accidents in study area (average weekday)</t>
  </si>
  <si>
    <t>Average cost per accident</t>
  </si>
  <si>
    <t>CO Factors by speed (mph)</t>
  </si>
  <si>
    <t>speed</t>
  </si>
  <si>
    <t>gms/mi</t>
  </si>
  <si>
    <t xml:space="preserve">NOx factors by speed </t>
  </si>
  <si>
    <t>Operating cost by speed</t>
  </si>
  <si>
    <t>$/mi.</t>
  </si>
  <si>
    <t>Annualization factors at .07 discount rate</t>
  </si>
  <si>
    <t>ANALYSIS OF CLOSED CIRCUIT TV</t>
  </si>
  <si>
    <t>Date of analysis</t>
  </si>
  <si>
    <t>Analyst</t>
  </si>
  <si>
    <t>Smith</t>
  </si>
  <si>
    <t>Description of improvement</t>
  </si>
  <si>
    <t>Closed circuit TV on I-10 from 60 to 215</t>
  </si>
  <si>
    <t>Percent CCTV coverage of freeway system before improvement</t>
  </si>
  <si>
    <t>Percent CCTV coverage of freeway system after improvement</t>
  </si>
  <si>
    <t>Percent additional CCTV coverage</t>
  </si>
  <si>
    <t>Estimated reduction in average incident duration (min.)</t>
  </si>
  <si>
    <t>Percent reduction in average incident duration in study area</t>
  </si>
  <si>
    <t>Change in VMT per weekday</t>
  </si>
  <si>
    <t>Average freeway speed before improvement</t>
  </si>
  <si>
    <t xml:space="preserve">Change in average speed (mph) </t>
  </si>
  <si>
    <t>Average freeway speed after improvement</t>
  </si>
  <si>
    <t>Installation cost</t>
  </si>
  <si>
    <t>Service life (years)</t>
  </si>
  <si>
    <t>Annual operating/maintenance cost</t>
  </si>
  <si>
    <t>Annualization factor</t>
  </si>
  <si>
    <t>Total annualized cost</t>
  </si>
  <si>
    <t>ANALYSIS OF HIGHWAY ADVISORY RADIO</t>
  </si>
  <si>
    <t>Number of transmitters to be installed</t>
  </si>
  <si>
    <t>Number of times/day each transmitter activated</t>
  </si>
  <si>
    <t>Average volume (VPH) through HAR unit reception area</t>
  </si>
  <si>
    <t>Total vehicle hours per day saved</t>
  </si>
  <si>
    <t>Percent of non-recurring delay saved</t>
  </si>
  <si>
    <t>ANALYSIS OF VARIABLE MESSAGE SIGN ANALYSIS</t>
  </si>
  <si>
    <t>Number of times/day each sign provides incident information</t>
  </si>
  <si>
    <t>Percent of drivers (vehicles) passing sign that save time</t>
  </si>
  <si>
    <t>Amount of time (min.) saved by each vehicle passing sign</t>
  </si>
  <si>
    <t>Average volume (VPH) past sign</t>
  </si>
  <si>
    <t>Vehicle hours saved per sign, per day</t>
  </si>
  <si>
    <t>AWDT/C Ratio</t>
  </si>
  <si>
    <t>AWDT/Capacity(nearest 10th)</t>
  </si>
  <si>
    <t>Amount of time (min.) saved by each vehicle saving time</t>
  </si>
  <si>
    <t>Number of signs to be installed at strategic points on freeway</t>
  </si>
  <si>
    <t xml:space="preserve">  Percentage of secondary freeway accidents of total accidents</t>
  </si>
  <si>
    <t>Number of secondary accidents per day on affected freeways</t>
  </si>
  <si>
    <t>Percent reduction in secondary accidents</t>
  </si>
  <si>
    <t>Percent reduction in secondary accidents (i.e. from improved warning)</t>
  </si>
  <si>
    <t>Percent detection coverage of freeway system before improvement</t>
  </si>
  <si>
    <t>Loop detectors on fwy x between y and z</t>
  </si>
  <si>
    <t>Percent detection coverage of freeway system after improvement</t>
  </si>
  <si>
    <t>Percent additional detection coverage</t>
  </si>
  <si>
    <t>Ratio AWDT to AADT</t>
  </si>
  <si>
    <t>ANALYSIS OF FREEWAY TRAFFIC DETECTION AND INFORMATION</t>
  </si>
  <si>
    <t>Number of cameras to be installed</t>
  </si>
  <si>
    <t>System-wide bus AVL</t>
  </si>
  <si>
    <t xml:space="preserve">ANALYSIS OF BUS AUTOMATIC VEHICLE LOCATION AND INFORMATION </t>
  </si>
  <si>
    <t>System-wide bus electronic fare collection</t>
  </si>
  <si>
    <t>ANALYSIS OF BUS ELECTRONIC FARE COLLECTION</t>
  </si>
  <si>
    <t>Current average bus speed on arterials (mph)</t>
  </si>
  <si>
    <t>ANALYSIS OF ELECTRONIC TOLL COLLECTION</t>
  </si>
  <si>
    <t>Electronic tolls at facility X</t>
  </si>
  <si>
    <t>New percentage volumes with electronic tolls:</t>
  </si>
  <si>
    <t xml:space="preserve">  Total current percentages</t>
  </si>
  <si>
    <t xml:space="preserve">  Total percentages with electronic tolls</t>
  </si>
  <si>
    <t xml:space="preserve">  Percent volume through electronic toll lanes</t>
  </si>
  <si>
    <t xml:space="preserve">  Percent volume through exact change lanes</t>
  </si>
  <si>
    <t xml:space="preserve">  Percent volume through regular lanes</t>
  </si>
  <si>
    <t xml:space="preserve">  Percent volume through other lanes (e.g. other passes)</t>
  </si>
  <si>
    <t>Current percentage volumes by lane type</t>
  </si>
  <si>
    <t xml:space="preserve">  Current percent volume through exact change lanes</t>
  </si>
  <si>
    <t xml:space="preserve">  Current percent volume through regular lanes</t>
  </si>
  <si>
    <t xml:space="preserve">  Current percent volume through other lanes (e.g. passes)</t>
  </si>
  <si>
    <t xml:space="preserve">  Electronic toll lanes</t>
  </si>
  <si>
    <t xml:space="preserve">  Exact change lanes</t>
  </si>
  <si>
    <t xml:space="preserve">  Regular lanes</t>
  </si>
  <si>
    <t xml:space="preserve">  Other lanes</t>
  </si>
  <si>
    <t>Average service times (seconds - includes slowing at plaza)</t>
  </si>
  <si>
    <t>(Processing time only - excludes queuing delay)</t>
  </si>
  <si>
    <t>Total service time with electronic tolls</t>
  </si>
  <si>
    <t>Current total service time per day (hours)</t>
  </si>
  <si>
    <t xml:space="preserve">HC factors by speed </t>
  </si>
  <si>
    <t xml:space="preserve">Signalized Arterial with 30 MPH Free Flow Speed </t>
  </si>
  <si>
    <t>Speed on Average Weekday</t>
  </si>
  <si>
    <t xml:space="preserve">Weekdays per year </t>
  </si>
  <si>
    <t>Number of daily passengers on affected routes</t>
  </si>
  <si>
    <t>ANALYSIS OF BUS PRIORITY SYSTEMS</t>
  </si>
  <si>
    <t>Average passenger trip length (miles)</t>
  </si>
  <si>
    <t>Bus priority on 10 miles of arterial X</t>
  </si>
  <si>
    <t>Percentage of traffic that incurs pre-emption delay</t>
  </si>
  <si>
    <t>Average delay time per pre-empted vehicle (sec.)</t>
  </si>
  <si>
    <t>Miles on which priority treatment is implemented</t>
  </si>
  <si>
    <t>Number of route-hours saved per day</t>
  </si>
  <si>
    <t>Annual bus operating cost savings</t>
  </si>
  <si>
    <t>ANALYSIS OF RAMP METERING</t>
  </si>
  <si>
    <t>Metered ramps facility X from Y to Z</t>
  </si>
  <si>
    <t>Freeway traffic</t>
  </si>
  <si>
    <t>Ramp traffic</t>
  </si>
  <si>
    <t>Peak period being analyzed</t>
  </si>
  <si>
    <t>Direction being analyzed</t>
  </si>
  <si>
    <t>Westbound</t>
  </si>
  <si>
    <t>Analysis year</t>
  </si>
  <si>
    <t>Average speed without metering (mph)</t>
  </si>
  <si>
    <t>Average speed with metering (mph)</t>
  </si>
  <si>
    <t>Vehicle hours without metering</t>
  </si>
  <si>
    <t>Vehicle hours with metering</t>
  </si>
  <si>
    <t>Savings in freeway vehicle hours</t>
  </si>
  <si>
    <t>Number of metered ramps in direction analyzed</t>
  </si>
  <si>
    <t>Average peak period delay per vehicle (sec.)</t>
  </si>
  <si>
    <t>Average metered volume per ramp over period</t>
  </si>
  <si>
    <t>7-9 AM</t>
  </si>
  <si>
    <t>Arterial traffic</t>
  </si>
  <si>
    <t>Savings in arterial vehicle hours</t>
  </si>
  <si>
    <t>3:30-7 PM</t>
  </si>
  <si>
    <t>Eastbound</t>
  </si>
  <si>
    <t>Total fwy/ramp/arterial delay savings per day</t>
  </si>
  <si>
    <t>Savings in ramp vehicle hours</t>
  </si>
  <si>
    <t>Total fwy/ramp/arterial delay savings per year</t>
  </si>
  <si>
    <t>Percent reduction in accidents</t>
  </si>
  <si>
    <t>Accidents reduced per year</t>
  </si>
  <si>
    <t>Accident savings ($) per year</t>
  </si>
  <si>
    <t>HAR on facility X from Y to Z</t>
  </si>
  <si>
    <t>VMS on facility X from Y to Z</t>
  </si>
  <si>
    <t>Register</t>
  </si>
  <si>
    <t>Number of weigh stations to be equipped with WIM</t>
  </si>
  <si>
    <t>Amount of time (hrs.) saved per day</t>
  </si>
  <si>
    <t>Value per hour of truck time</t>
  </si>
  <si>
    <t>Value of annual time savings</t>
  </si>
  <si>
    <t>Average trip time (min.)</t>
  </si>
  <si>
    <t>Railroad Grade Crossing Warning Improvements</t>
  </si>
  <si>
    <t>Percent of accidents reduced by ITS improvements</t>
  </si>
  <si>
    <t>Annual accident reduction</t>
  </si>
  <si>
    <t>Value of annual savings in accident-related costs</t>
  </si>
  <si>
    <t>Number of RR grade crossings to be improved</t>
  </si>
  <si>
    <t>BASELINE DATA - ITS SKETCH PLANNING ANALYSIS - 1/29/99 - SAIC</t>
  </si>
  <si>
    <t>Do you want to use calculated or input non-recurring VHT? (C/I)</t>
  </si>
  <si>
    <t>Analyst/Agency</t>
  </si>
  <si>
    <t>Incident Duration Data (freeway only)</t>
  </si>
  <si>
    <t>AADT/C</t>
  </si>
  <si>
    <t>Presence of Shoulder</t>
  </si>
  <si>
    <t>(0 = no, 1 = yes)</t>
  </si>
  <si>
    <t>Bottlenecks per Mile</t>
  </si>
  <si>
    <t>Recurring VHT on average weekday (calculated)</t>
  </si>
  <si>
    <t>Recurring VHT on average weekday (Input)</t>
  </si>
  <si>
    <t>Average weekday speed (mph) on freeway before improvement</t>
  </si>
  <si>
    <t>Average weekday speed on freeway after improvement</t>
  </si>
  <si>
    <t>Annual change in weekday CO (tons/year)</t>
  </si>
  <si>
    <t>Annual change in weekday Nox (tons/year)</t>
  </si>
  <si>
    <t>Annual change in weekday HC (tons/year)</t>
  </si>
  <si>
    <t>Total estimated annual weekday dollar benefit (time + op cost)</t>
  </si>
  <si>
    <t>Total estimated annual full week dollar benefit (time + op cost)</t>
  </si>
  <si>
    <t>Benefit/cost ratio weekday only</t>
  </si>
  <si>
    <t>Benefit/cost ratio full week</t>
  </si>
  <si>
    <t>RATIO OF INCIDENT VHT TO NON-INCIDENT VHT</t>
  </si>
  <si>
    <t>Calculated Value</t>
  </si>
  <si>
    <t>COSTS AND BENEFITS</t>
  </si>
  <si>
    <t>ACCIDENT REDUCTION</t>
  </si>
  <si>
    <t>NON-RECURRING DELAY ANALYSIS</t>
  </si>
  <si>
    <t>TRAFFIC OPERATIONS</t>
  </si>
  <si>
    <t>ANALYSIS OF WEIGH-IN-MOTION</t>
  </si>
  <si>
    <t>ANALYSIS OF RAILROAD CROSSINGS</t>
  </si>
  <si>
    <t>ACCIDENT ANALYSIS</t>
  </si>
  <si>
    <t>TRAFFIC AND TRAVEL</t>
  </si>
  <si>
    <t>ENERGY AND EMISSIONS</t>
  </si>
  <si>
    <t>Scenario</t>
  </si>
  <si>
    <t>40 percent coverage</t>
  </si>
  <si>
    <t>50 percent additional CCTV coverage</t>
  </si>
  <si>
    <t>Calc. Speed</t>
  </si>
  <si>
    <t>ACCIDENTS</t>
  </si>
  <si>
    <t>Time (hrs.) transmitter active for each incident</t>
  </si>
  <si>
    <t>TRAFFIC AND TRAVEL - NON-RECURRING DELAY</t>
  </si>
  <si>
    <t>Not calculated - probably negligible - reduced VHT offset by increased VMT</t>
  </si>
  <si>
    <t>Alternative 3</t>
  </si>
  <si>
    <t>Time (hrs.) sign active for each incident</t>
  </si>
  <si>
    <t>Hours of delay saved per year on weekdays</t>
  </si>
  <si>
    <t>Accidents reduced per weekday on affected freeways</t>
  </si>
  <si>
    <t>Accidents reduced per year on affected freeways on weekdays</t>
  </si>
  <si>
    <t>Time savings ($) per year on weekdays</t>
  </si>
  <si>
    <t>Accident savings ($) per year on weekdays</t>
  </si>
  <si>
    <t>Total dollar savings per year on weekdays</t>
  </si>
  <si>
    <t>TRAFFIC AND TRAVEL (USER BENEFITS ONLY)</t>
  </si>
  <si>
    <t>Percent of passengers that use the information</t>
  </si>
  <si>
    <t xml:space="preserve">Annual value of time savings </t>
  </si>
  <si>
    <t>Avg. number of weekday daily boardings</t>
  </si>
  <si>
    <t>Avg. number of daily boardings, full week</t>
  </si>
  <si>
    <t>Hours of time saved per weekday</t>
  </si>
  <si>
    <t>Hours of time saved per average day, full week</t>
  </si>
  <si>
    <t>Hours of time saved per year, total</t>
  </si>
  <si>
    <t>Hours of time saved per year, weekdays only</t>
  </si>
  <si>
    <t xml:space="preserve">Annual value of time savings, weekdays only </t>
  </si>
  <si>
    <t>Annual value of time savings, full week</t>
  </si>
  <si>
    <t>Estimated % increase in speed with electronic fare</t>
  </si>
  <si>
    <t>Average percentage of bus travel time devoted to boarding</t>
  </si>
  <si>
    <t>Current percentage of passengers with electronic fare</t>
  </si>
  <si>
    <t>Percentage of passengers with electronic fare in this scenario</t>
  </si>
  <si>
    <t>Average boarding time per passenger with conventional fare(sec.)</t>
  </si>
  <si>
    <t>Average boarding time per passenger with electronic fare (sec.)</t>
  </si>
  <si>
    <t>Current bus speed in minutes per mile</t>
  </si>
  <si>
    <t>Minutes per mile with this electronic fare scenario</t>
  </si>
  <si>
    <t>Average bus speed with electronic fare (mph)</t>
  </si>
  <si>
    <t>Average number of daily passengers weekday</t>
  </si>
  <si>
    <t>Average number of daily passengers full week</t>
  </si>
  <si>
    <t>Savings in person hours per day, weekday</t>
  </si>
  <si>
    <t>Savings in person hours per year, weekdays only</t>
  </si>
  <si>
    <t>Savings in person hours per day, full week</t>
  </si>
  <si>
    <t>Savings in person hours per year, full week</t>
  </si>
  <si>
    <t>Avg. daily person hours with electronic fare, full week</t>
  </si>
  <si>
    <t>Avg. daily person hours without electronic fare, weekday</t>
  </si>
  <si>
    <t>Avg. daily person hours with electronic fare, weekday</t>
  </si>
  <si>
    <t>Avg. daily person hours without electronic fare, full week</t>
  </si>
  <si>
    <t>Annual value of time savings, weekdays only</t>
  </si>
  <si>
    <t>Elasticity of demand with respect to average bus speed</t>
  </si>
  <si>
    <t>Estimated increase in average weekday boardings</t>
  </si>
  <si>
    <t>40 percent electronic toll</t>
  </si>
  <si>
    <t>Total average weekday daily volume through toll plaza</t>
  </si>
  <si>
    <t>Savings in vehicle hours per weekday</t>
  </si>
  <si>
    <t>Savings in vehicle hours per year, weekdays only</t>
  </si>
  <si>
    <t>TOLL DELAY (EXCLUDES QUEUING EFFECTS)</t>
  </si>
  <si>
    <t>Percent reduction in average weekday vehicle trips</t>
  </si>
  <si>
    <t>Weekday VMT for study area facilities being analyzed</t>
  </si>
  <si>
    <t>Area/regional average vehicle trip length (miles)</t>
  </si>
  <si>
    <t>Area/regional average vehicle trip time (minutes)</t>
  </si>
  <si>
    <t>Area/regional number of weekday daily vehicle trips</t>
  </si>
  <si>
    <t>Number of buses per weekday on priority routes</t>
  </si>
  <si>
    <t>Percentage of bus travel time attributable to signal delay</t>
  </si>
  <si>
    <t>Estimated % reduction in signal delay from pre-emption</t>
  </si>
  <si>
    <t>Average minutes per mile for buses without priority</t>
  </si>
  <si>
    <t>Average minutes per mile for buses with priority</t>
  </si>
  <si>
    <t>Average bus speed with priority (mph)</t>
  </si>
  <si>
    <t>Number of route-hours saved per year, weekdays only</t>
  </si>
  <si>
    <t>BUS OPERATIONS, WEEKDAY ONLY</t>
  </si>
  <si>
    <t>Person hours without priority, weekday only</t>
  </si>
  <si>
    <t>Person hours with priority, weekday only</t>
  </si>
  <si>
    <t>Savings in person hours per weekday</t>
  </si>
  <si>
    <t>Weekday daily volume of cross street traffic for entire route</t>
  </si>
  <si>
    <t>Annual value of time savings for bus passengers</t>
  </si>
  <si>
    <t>Total of bus passenger and vehicle passenger time savings</t>
  </si>
  <si>
    <t xml:space="preserve">Annual value of vehicle passenger time savings, weekdays only </t>
  </si>
  <si>
    <t>Operating cost per bus route-hour</t>
  </si>
  <si>
    <t>Elasticity of demand with respect to bus speed</t>
  </si>
  <si>
    <t>Estimated increase in average weekday passengers on route</t>
  </si>
  <si>
    <t>Percentage increase in bus speed</t>
  </si>
  <si>
    <t>Daily vehicle trips on corridor served by bus route(s)</t>
  </si>
  <si>
    <t>Percent reduction in vehicle trips in bus corridor</t>
  </si>
  <si>
    <t>COSTS AND BENEFITS (USER BENEFITS ONLY)</t>
  </si>
  <si>
    <t xml:space="preserve">Percentage of volume in peak direction </t>
  </si>
  <si>
    <t>Percentage of volume in peak period being analyzed</t>
  </si>
  <si>
    <t>Percentage of study area freeway section being metered</t>
  </si>
  <si>
    <t>RAMP METER OPERATIONS (WEEKDAY ONLY)</t>
  </si>
  <si>
    <t>Savings in daily freeway vehicle hours</t>
  </si>
  <si>
    <t>Length of arterial parallel to metered section (miles)</t>
  </si>
  <si>
    <t>Average arterial speed without metering (mph)</t>
  </si>
  <si>
    <t>Average arterial speed with metering (mph)</t>
  </si>
  <si>
    <t>Arterial VMT affected by metering</t>
  </si>
  <si>
    <t>Freeway VMT affected by metering</t>
  </si>
  <si>
    <t>Emission savings - cannot estimate using sketch plan</t>
  </si>
  <si>
    <t xml:space="preserve">Number fwy accidents per year in peak periods and directions </t>
  </si>
  <si>
    <t xml:space="preserve">Benefit/cost ratio </t>
  </si>
  <si>
    <t>Weigh-in-Motion at location X</t>
  </si>
  <si>
    <t>Percent of vehicles that will not have to pass thru static scales</t>
  </si>
  <si>
    <t>Average delay time (min) per vehicle</t>
  </si>
  <si>
    <t>TRUCK TIME SAVINGS</t>
  </si>
  <si>
    <t>Vehicle operating cost of each stop</t>
  </si>
  <si>
    <t>Value of annual operating cost savings</t>
  </si>
  <si>
    <t>ANALYSIS OF PAGER OR FM SUBCARRIER-BASED ATIS</t>
  </si>
  <si>
    <t>Traffic info through pagers</t>
  </si>
  <si>
    <t>Number of weekday trips in area/region</t>
  </si>
  <si>
    <t>Percentage of trips where incident could impact route decision</t>
  </si>
  <si>
    <t>Percentage of drivers that have system</t>
  </si>
  <si>
    <t>Percentage of drivers with activated systems that can save time</t>
  </si>
  <si>
    <t>Amount of time (min.) saved by each driver saving time</t>
  </si>
  <si>
    <t>Percentage of those drivers that have system activated during trip</t>
  </si>
  <si>
    <t>Vehicle hours saved per weekday</t>
  </si>
  <si>
    <t>Total area/regional weekday vehicle hours</t>
  </si>
  <si>
    <t>Percent of area/regional weekday VHT saved</t>
  </si>
  <si>
    <t>Vehicle hours saved per year, weekdays only</t>
  </si>
  <si>
    <t>Number of kiosks being installed</t>
  </si>
  <si>
    <t xml:space="preserve">No. weekday trips per site departing from locations where kiosks located </t>
  </si>
  <si>
    <t xml:space="preserve">Kiosks at selected employment sites </t>
  </si>
  <si>
    <t>ANALYSIS OF KIOSKS WITH TRAFFIC INFORMATION</t>
  </si>
  <si>
    <t>No. of persons looking at information as they depart</t>
  </si>
  <si>
    <t>Of those looking at information, percentage that may be able to save time</t>
  </si>
  <si>
    <t>Amount of time (min.) saved by each person saving time</t>
  </si>
  <si>
    <t>Total number of weekday trips at all kiosk sites</t>
  </si>
  <si>
    <t>No accident benefits assumed</t>
  </si>
  <si>
    <t xml:space="preserve">Traffic info on internet </t>
  </si>
  <si>
    <t>Percentage of trips for which internet access is available</t>
  </si>
  <si>
    <t>ANALYSIS OF TRAFFIC INFORMATION ON THE INTERNET</t>
  </si>
  <si>
    <t xml:space="preserve">No. of trips for which internet access is available </t>
  </si>
  <si>
    <t>Of those, no. of persons looking at information as they depart</t>
  </si>
  <si>
    <t>ANALYSIS OF KIOSKS WITH TRAFFIC INFORMATION AT CVO SITES</t>
  </si>
  <si>
    <t>No. of drivers looking at information as they depart</t>
  </si>
  <si>
    <t>Average trip time (min.) to destination or passing out of region</t>
  </si>
  <si>
    <t>Total vehicle hours by departing trips from trucking sites</t>
  </si>
  <si>
    <t>Percent of site-generated VHT saved</t>
  </si>
  <si>
    <t>Value of time for a truck ($ per hour)</t>
  </si>
  <si>
    <t>Kiosks at trucking facilities</t>
  </si>
  <si>
    <t>Avg. number of accidents at these RR grade crossings per year</t>
  </si>
  <si>
    <t>Total no. accidents at these crossings per year</t>
  </si>
  <si>
    <t>Accident-related costs per occurrence for RR crossing accidents</t>
  </si>
  <si>
    <t>Computerized signal system replacing uncoordinated signals</t>
  </si>
  <si>
    <t>Average speed on arterials in study area</t>
  </si>
  <si>
    <t>Percent improvement in avg. speed expected, based on evaluation data</t>
  </si>
  <si>
    <t>Avg. speed expected after improvement</t>
  </si>
  <si>
    <t>Total weekday VHT after improvement</t>
  </si>
  <si>
    <t>Time (hrs.) saved per weekday</t>
  </si>
  <si>
    <t>Current total weekday VHT on arterials in study area</t>
  </si>
  <si>
    <t>Current total weekday VMT on arterials in study area</t>
  </si>
  <si>
    <t>Current no. stops per VMT</t>
  </si>
  <si>
    <t>Current no. stops in study area, average weekday</t>
  </si>
  <si>
    <t>Percent reduction in stops expected</t>
  </si>
  <si>
    <t>No. stops eliminated, average weekday</t>
  </si>
  <si>
    <t>Time (hrs.) saved per year, weekdays only</t>
  </si>
  <si>
    <t>Current no. annual accidents in study area, weekdays only</t>
  </si>
  <si>
    <t>No. accidents eliminated per year, weekdays only</t>
  </si>
  <si>
    <t>Benefit/cost ratio, weekday</t>
  </si>
  <si>
    <t>Smith/SAIC</t>
  </si>
  <si>
    <t>Ratio of non-recurring VHT to recurring VHT (calculated)</t>
  </si>
  <si>
    <t>Ratio of non-recurring VHT to recurring VHT (input)</t>
  </si>
  <si>
    <t>Non-recurring VHT on average weekday (freeway only)</t>
  </si>
  <si>
    <t>INTELLIGENT TRANSPORTATION SYSTEMS</t>
  </si>
  <si>
    <t>SCREENING ANALYSIS SPREADSHEET FOR</t>
  </si>
  <si>
    <t>INTRODUCTORY NOTES FOR SCRITS,</t>
  </si>
  <si>
    <t xml:space="preserve">as part of a contract with the Federal Highway Administration to develop planning procedures </t>
  </si>
  <si>
    <t>with Intelligent Transportation Systems (ITS).  A user manual is available for guiding</t>
  </si>
  <si>
    <t xml:space="preserve">SCRITS was initially developed by Science Applications International Corporation </t>
  </si>
  <si>
    <t>for ITS.  It is intended as a first-cut screening methodology for analyzing the benefits of selected</t>
  </si>
  <si>
    <r>
      <t xml:space="preserve">ITS applications.  It is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intended for detailed analysis.  Users should understand the following:</t>
    </r>
  </si>
  <si>
    <t>2.  Other tools will need to be used where more definitive answers are necessary.  SCRITS</t>
  </si>
  <si>
    <t xml:space="preserve">     provides approximations and requires substantial engineering judgment.</t>
  </si>
  <si>
    <t>3.  SCRITS is provided as a starting point for analysis, using simplified approaches.  Users may</t>
  </si>
  <si>
    <t xml:space="preserve">     modify, adapt, and expand the spreadsheet to perform analyses appropriate for their situation.</t>
  </si>
  <si>
    <t>4.  The accuracy and proper application of the spreadsheet are the responsibility of the user, not</t>
  </si>
  <si>
    <t xml:space="preserve">     FHWA or SAIC.</t>
  </si>
  <si>
    <t xml:space="preserve">1.  Procedures within the spreadsheet are generic and need to be adapted to specific situations.  </t>
  </si>
  <si>
    <t xml:space="preserve">practitioners in the application of SCRITS.  </t>
  </si>
  <si>
    <t>SCRITS (SCReen ITS) is a spreadsheet program for estimating possible user benefits associated</t>
  </si>
  <si>
    <t xml:space="preserve">Average weekday speeds with total VHT </t>
  </si>
  <si>
    <t xml:space="preserve">Average weekday speeds with recurring VHT only </t>
  </si>
  <si>
    <t xml:space="preserve">  Per vehicle hour </t>
  </si>
  <si>
    <t>Year represented in the analysis</t>
  </si>
  <si>
    <t>Area or facility represented</t>
  </si>
  <si>
    <t xml:space="preserve">Freeway x from y to z, plus parallel arterial </t>
  </si>
  <si>
    <t xml:space="preserve">Savings in incident-related freeway VHT per weekday </t>
  </si>
  <si>
    <t xml:space="preserve">Savings in incident-related weekday freeway VHT per year </t>
  </si>
  <si>
    <t>Savings in VMT per weekday</t>
  </si>
  <si>
    <t>Increase in average weekday speed (mph) on freeway</t>
  </si>
  <si>
    <t>Annual time savings ($) for weekdays only</t>
  </si>
  <si>
    <t>Annual savings in weekday vehicle operating cost (dollars)</t>
  </si>
  <si>
    <r>
      <t xml:space="preserve">Source:  </t>
    </r>
    <r>
      <rPr>
        <i/>
        <sz val="9"/>
        <rFont val="Palatino"/>
        <family val="0"/>
      </rPr>
      <t>Estimating the Impact of Urban Transportation Alternatives</t>
    </r>
  </si>
  <si>
    <t>FHWA, Dec. 1995, page VII-36.</t>
  </si>
  <si>
    <t xml:space="preserve">Fuel consumption (mi./gal., all vehicles) = </t>
  </si>
  <si>
    <r>
      <t xml:space="preserve">Source:  </t>
    </r>
    <r>
      <rPr>
        <i/>
        <sz val="9"/>
        <rFont val="Palatino"/>
        <family val="0"/>
      </rPr>
      <t>Estimating the Impact of Urban Transportation Alternatives</t>
    </r>
    <r>
      <rPr>
        <sz val="9"/>
        <rFont val="Palatino"/>
        <family val="0"/>
      </rPr>
      <t>, FHWA, Dec. 1995, Page VIII-4</t>
    </r>
  </si>
  <si>
    <r>
      <t xml:space="preserve">(Source:  </t>
    </r>
    <r>
      <rPr>
        <i/>
        <sz val="9"/>
        <rFont val="Palatino"/>
        <family val="0"/>
      </rPr>
      <t>Estimating the Impact of Urban Transportation Alternatives, FHWA,</t>
    </r>
  </si>
  <si>
    <t>Dec. 1995, page VI-25, for 55 mph posted speed)</t>
  </si>
  <si>
    <t>Annualized benefits (weekday only) minus annualized cost</t>
  </si>
  <si>
    <t>Annualized benefits (full week) minus annualized cost</t>
  </si>
  <si>
    <t>Annual change in weekday fuel consumption (1000 gallons)</t>
  </si>
  <si>
    <t xml:space="preserve">Percent of drivers that tune to broadcast </t>
  </si>
  <si>
    <t>Percent of drivers hearing broadcast that save time</t>
  </si>
  <si>
    <t>Vehicle hours saved per HAR unit, per day</t>
  </si>
  <si>
    <t xml:space="preserve">Total annual dollar benefit for full week </t>
  </si>
  <si>
    <t>Not calculated - probably negligible - reduced VHT offset by unquantified increase in VMT</t>
  </si>
  <si>
    <t>Annual savings in time cost (weekday only)</t>
  </si>
  <si>
    <t>No accident benefits assumed for pre-trip travel information</t>
  </si>
  <si>
    <t>Benefit/cost ratio weekday only (full week not calculated)</t>
  </si>
  <si>
    <t>Total annual dollar benefit for weekdays only</t>
  </si>
  <si>
    <t>Total annual dollar benefit on weekdays only</t>
  </si>
  <si>
    <t>Current average wait time per passenger (min.)</t>
  </si>
  <si>
    <t>Average wait time with AVL system (min.)</t>
  </si>
  <si>
    <t>Estimated increase in average daily boardings, full week</t>
  </si>
  <si>
    <t>Additional vehicle hours delay per day to cross street traffic</t>
  </si>
  <si>
    <t>Additional person hours delay per day</t>
  </si>
  <si>
    <t>Additional person hours delay per year</t>
  </si>
  <si>
    <t>Annual savings in agency labor cost</t>
  </si>
  <si>
    <t>Total annual dollar benefit (full week)</t>
  </si>
  <si>
    <t>Total annual dollar benefit, weekdays only</t>
  </si>
  <si>
    <t>Veh. Oper. cost savings - cannot estimate using sketch plan</t>
  </si>
  <si>
    <t>Avg. no. vehicles through each weigh station per weekday</t>
  </si>
  <si>
    <t>Amount of time (hrs.) saved per year, weekdays only</t>
  </si>
  <si>
    <t>Annualized benefits minus annualized costs</t>
  </si>
  <si>
    <t xml:space="preserve">Percent accident reduction </t>
  </si>
  <si>
    <t>Total annual dollar benefits, weekdays only</t>
  </si>
  <si>
    <t>Total annual dollar benefits, full week</t>
  </si>
  <si>
    <t>Savings in agency labor costs</t>
  </si>
  <si>
    <t>ANALYSIS OF TRAFFIC SIGNAL SYSTEMS</t>
  </si>
  <si>
    <t>Gallons of fuel per stop =</t>
  </si>
  <si>
    <t>Annual gallons of fuel saved, weekdays only</t>
  </si>
  <si>
    <t>Annual operating cost savings, weekdays only</t>
  </si>
  <si>
    <t xml:space="preserve">Annual accident savings ($) </t>
  </si>
  <si>
    <t>Total annual dollar benefit</t>
  </si>
  <si>
    <t>Speeds associated with AWDT/C ratios for freeways</t>
  </si>
  <si>
    <t>Speeds associated with AWDT/C ratios for arterials</t>
  </si>
  <si>
    <r>
      <t xml:space="preserve">Source:  FHWA's </t>
    </r>
    <r>
      <rPr>
        <b/>
        <i/>
        <sz val="10"/>
        <rFont val="Arial"/>
        <family val="2"/>
      </rPr>
      <t>Estimating the Effects of Urban Transportation Alternatives</t>
    </r>
  </si>
  <si>
    <r>
      <t xml:space="preserve">Source:  FHWA's </t>
    </r>
    <r>
      <rPr>
        <i/>
        <sz val="10"/>
        <rFont val="Arial"/>
        <family val="2"/>
      </rPr>
      <t>Estimating the Effects of Urban Transportation Alternatives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</si>
</sst>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0.0%"/>
    <numFmt numFmtId="168" formatCode="#,##0.0"/>
    <numFmt numFmtId="169" formatCode="0.0000"/>
    <numFmt numFmtId="170" formatCode="0.000000"/>
    <numFmt numFmtId="171" formatCode="0.00000000"/>
    <numFmt numFmtId="172" formatCode="0.000"/>
    <numFmt numFmtId="173" formatCode="00000"/>
  </numFmts>
  <fonts count="25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Palatino"/>
      <family val="0"/>
    </font>
    <font>
      <sz val="9"/>
      <color indexed="10"/>
      <name val="Arial"/>
      <family val="2"/>
    </font>
    <font>
      <sz val="8"/>
      <name val="Tahoma"/>
      <family val="0"/>
    </font>
    <font>
      <b/>
      <sz val="9"/>
      <name val="Palatino"/>
      <family val="0"/>
    </font>
    <font>
      <b/>
      <sz val="8"/>
      <name val="Tahoma"/>
      <family val="0"/>
    </font>
    <font>
      <b/>
      <sz val="10"/>
      <name val="Geneva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i/>
      <sz val="9"/>
      <name val="Palatino"/>
      <family val="0"/>
    </font>
    <font>
      <b/>
      <i/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19">
      <alignment/>
      <protection/>
    </xf>
    <xf numFmtId="4" fontId="0" fillId="0" borderId="0" xfId="0" applyNumberFormat="1" applyFill="1" applyBorder="1" applyAlignment="1">
      <alignment/>
    </xf>
    <xf numFmtId="0" fontId="4" fillId="0" borderId="0" xfId="19" applyFont="1">
      <alignment/>
      <protection/>
    </xf>
    <xf numFmtId="2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7" fillId="0" borderId="0" xfId="19" applyFont="1">
      <alignment/>
      <protection/>
    </xf>
    <xf numFmtId="0" fontId="7" fillId="0" borderId="4" xfId="19" applyFont="1" applyBorder="1">
      <alignment/>
      <protection/>
    </xf>
    <xf numFmtId="0" fontId="4" fillId="0" borderId="5" xfId="19" applyBorder="1">
      <alignment/>
      <protection/>
    </xf>
    <xf numFmtId="0" fontId="7" fillId="0" borderId="5" xfId="19" applyFont="1" applyBorder="1">
      <alignment/>
      <protection/>
    </xf>
    <xf numFmtId="0" fontId="4" fillId="0" borderId="6" xfId="19" applyBorder="1">
      <alignment/>
      <protection/>
    </xf>
    <xf numFmtId="0" fontId="4" fillId="0" borderId="3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Border="1">
      <alignment/>
      <protection/>
    </xf>
    <xf numFmtId="0" fontId="4" fillId="0" borderId="7" xfId="19" applyBorder="1">
      <alignment/>
      <protection/>
    </xf>
    <xf numFmtId="0" fontId="4" fillId="0" borderId="3" xfId="19" applyBorder="1">
      <alignment/>
      <protection/>
    </xf>
    <xf numFmtId="0" fontId="7" fillId="0" borderId="3" xfId="19" applyFont="1" applyBorder="1">
      <alignment/>
      <protection/>
    </xf>
    <xf numFmtId="0" fontId="4" fillId="0" borderId="8" xfId="19" applyBorder="1">
      <alignment/>
      <protection/>
    </xf>
    <xf numFmtId="0" fontId="4" fillId="0" borderId="1" xfId="19" applyBorder="1">
      <alignment/>
      <protection/>
    </xf>
    <xf numFmtId="0" fontId="4" fillId="0" borderId="9" xfId="19" applyBorder="1">
      <alignment/>
      <protection/>
    </xf>
    <xf numFmtId="0" fontId="4" fillId="0" borderId="0" xfId="19" applyAlignment="1">
      <alignment horizontal="center"/>
      <protection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9" fillId="0" borderId="18" xfId="0" applyFont="1" applyBorder="1" applyAlignment="1">
      <alignment wrapText="1"/>
    </xf>
    <xf numFmtId="0" fontId="9" fillId="0" borderId="12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0" xfId="19" applyAlignment="1">
      <alignment horizontal="left"/>
      <protection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167" fontId="0" fillId="0" borderId="20" xfId="0" applyNumberFormat="1" applyFill="1" applyBorder="1" applyAlignment="1">
      <alignment horizontal="center" wrapText="1"/>
    </xf>
    <xf numFmtId="4" fontId="0" fillId="0" borderId="20" xfId="0" applyNumberFormat="1" applyFill="1" applyBorder="1" applyAlignment="1">
      <alignment horizontal="center" wrapText="1"/>
    </xf>
    <xf numFmtId="3" fontId="0" fillId="0" borderId="20" xfId="0" applyNumberFormat="1" applyFill="1" applyBorder="1" applyAlignment="1">
      <alignment horizontal="center" wrapText="1"/>
    </xf>
    <xf numFmtId="165" fontId="0" fillId="0" borderId="20" xfId="0" applyNumberFormat="1" applyFill="1" applyBorder="1" applyAlignment="1">
      <alignment horizontal="center" wrapText="1"/>
    </xf>
    <xf numFmtId="2" fontId="0" fillId="0" borderId="20" xfId="0" applyNumberFormat="1" applyFill="1" applyBorder="1" applyAlignment="1">
      <alignment horizontal="center" wrapText="1"/>
    </xf>
    <xf numFmtId="169" fontId="0" fillId="0" borderId="20" xfId="0" applyNumberForma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wrapText="1"/>
    </xf>
    <xf numFmtId="164" fontId="0" fillId="0" borderId="21" xfId="0" applyNumberFormat="1" applyBorder="1" applyAlignment="1">
      <alignment horizontal="center"/>
    </xf>
    <xf numFmtId="0" fontId="0" fillId="0" borderId="22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5" xfId="0" applyFont="1" applyFill="1" applyBorder="1" applyAlignment="1">
      <alignment horizontal="centerContinuous"/>
    </xf>
    <xf numFmtId="167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4" fillId="2" borderId="3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4" fillId="2" borderId="22" xfId="0" applyFont="1" applyFill="1" applyBorder="1" applyAlignment="1">
      <alignment/>
    </xf>
    <xf numFmtId="0" fontId="14" fillId="2" borderId="23" xfId="0" applyFont="1" applyFill="1" applyBorder="1" applyAlignment="1">
      <alignment horizontal="center"/>
    </xf>
    <xf numFmtId="0" fontId="14" fillId="2" borderId="22" xfId="0" applyFont="1" applyFill="1" applyBorder="1" applyAlignment="1">
      <alignment/>
    </xf>
    <xf numFmtId="0" fontId="13" fillId="2" borderId="27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2" borderId="27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4" fontId="14" fillId="2" borderId="23" xfId="0" applyNumberFormat="1" applyFont="1" applyFill="1" applyBorder="1" applyAlignment="1">
      <alignment horizontal="center"/>
    </xf>
    <xf numFmtId="169" fontId="14" fillId="2" borderId="23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wrapText="1"/>
    </xf>
    <xf numFmtId="4" fontId="14" fillId="2" borderId="23" xfId="0" applyNumberFormat="1" applyFont="1" applyFill="1" applyBorder="1" applyAlignment="1">
      <alignment horizontal="center" wrapText="1"/>
    </xf>
    <xf numFmtId="169" fontId="14" fillId="2" borderId="23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14" fillId="2" borderId="27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165" fontId="13" fillId="2" borderId="23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1" xfId="0" applyNumberFormat="1" applyFill="1" applyBorder="1" applyAlignment="1">
      <alignment horizontal="center" wrapText="1"/>
    </xf>
    <xf numFmtId="0" fontId="0" fillId="0" borderId="3" xfId="0" applyBorder="1" applyAlignment="1">
      <alignment wrapText="1"/>
    </xf>
    <xf numFmtId="10" fontId="0" fillId="0" borderId="20" xfId="0" applyNumberFormat="1" applyBorder="1" applyAlignment="1">
      <alignment horizontal="center"/>
    </xf>
    <xf numFmtId="0" fontId="0" fillId="0" borderId="24" xfId="0" applyBorder="1" applyAlignment="1">
      <alignment/>
    </xf>
    <xf numFmtId="0" fontId="10" fillId="0" borderId="20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64" fontId="0" fillId="0" borderId="7" xfId="0" applyNumberFormat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8" fontId="0" fillId="0" borderId="21" xfId="0" applyNumberForma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2" fontId="0" fillId="0" borderId="8" xfId="0" applyNumberFormat="1" applyBorder="1" applyAlignment="1">
      <alignment/>
    </xf>
    <xf numFmtId="0" fontId="18" fillId="0" borderId="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5" xfId="19" applyFont="1" applyBorder="1">
      <alignment/>
      <protection/>
    </xf>
    <xf numFmtId="9" fontId="0" fillId="0" borderId="21" xfId="0" applyNumberFormat="1" applyFill="1" applyBorder="1" applyAlignment="1">
      <alignment horizontal="center" wrapText="1"/>
    </xf>
    <xf numFmtId="9" fontId="0" fillId="0" borderId="20" xfId="0" applyNumberForma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0" fillId="0" borderId="20" xfId="0" applyNumberForma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165" fontId="5" fillId="0" borderId="1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9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 locked="0"/>
    </xf>
    <xf numFmtId="0" fontId="14" fillId="2" borderId="27" xfId="0" applyFont="1" applyFill="1" applyBorder="1" applyAlignment="1" applyProtection="1">
      <alignment horizontal="center" wrapText="1"/>
      <protection locked="0"/>
    </xf>
    <xf numFmtId="165" fontId="10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165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67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7" fontId="0" fillId="0" borderId="12" xfId="0" applyNumberFormat="1" applyBorder="1" applyAlignment="1" applyProtection="1">
      <alignment horizontal="center"/>
      <protection locked="0"/>
    </xf>
    <xf numFmtId="0" fontId="13" fillId="2" borderId="27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67" fontId="10" fillId="0" borderId="3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9" fontId="10" fillId="0" borderId="12" xfId="0" applyNumberFormat="1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3" fontId="10" fillId="0" borderId="34" xfId="0" applyNumberFormat="1" applyFont="1" applyBorder="1" applyAlignment="1" applyProtection="1">
      <alignment horizontal="center"/>
      <protection locked="0"/>
    </xf>
    <xf numFmtId="9" fontId="1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165" fontId="10" fillId="0" borderId="34" xfId="0" applyNumberFormat="1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165" fontId="0" fillId="0" borderId="34" xfId="0" applyNumberFormat="1" applyFill="1" applyBorder="1" applyAlignment="1" applyProtection="1">
      <alignment horizontal="center"/>
      <protection locked="0"/>
    </xf>
    <xf numFmtId="0" fontId="13" fillId="2" borderId="27" xfId="0" applyFont="1" applyFill="1" applyBorder="1" applyAlignment="1" applyProtection="1">
      <alignment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1" fontId="10" fillId="0" borderId="34" xfId="0" applyNumberFormat="1" applyFont="1" applyBorder="1" applyAlignment="1" applyProtection="1">
      <alignment horizontal="center"/>
      <protection locked="0"/>
    </xf>
    <xf numFmtId="2" fontId="10" fillId="0" borderId="34" xfId="0" applyNumberFormat="1" applyFont="1" applyBorder="1" applyAlignment="1" applyProtection="1">
      <alignment horizontal="center"/>
      <protection locked="0"/>
    </xf>
    <xf numFmtId="172" fontId="10" fillId="0" borderId="34" xfId="0" applyNumberFormat="1" applyFont="1" applyBorder="1" applyAlignment="1" applyProtection="1">
      <alignment horizontal="center"/>
      <protection locked="0"/>
    </xf>
    <xf numFmtId="165" fontId="14" fillId="2" borderId="27" xfId="0" applyNumberFormat="1" applyFont="1" applyFill="1" applyBorder="1" applyAlignment="1" applyProtection="1">
      <alignment horizontal="center"/>
      <protection locked="0"/>
    </xf>
    <xf numFmtId="165" fontId="1" fillId="0" borderId="34" xfId="0" applyNumberFormat="1" applyFont="1" applyFill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10" fillId="0" borderId="34" xfId="0" applyNumberFormat="1" applyFont="1" applyFill="1" applyBorder="1" applyAlignment="1" applyProtection="1">
      <alignment horizontal="center"/>
      <protection locked="0"/>
    </xf>
    <xf numFmtId="165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68" fontId="10" fillId="0" borderId="12" xfId="0" applyNumberFormat="1" applyFont="1" applyBorder="1" applyAlignment="1" applyProtection="1">
      <alignment horizontal="center"/>
      <protection locked="0"/>
    </xf>
    <xf numFmtId="169" fontId="13" fillId="2" borderId="27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1" fillId="0" borderId="32" xfId="0" applyFont="1" applyBorder="1" applyAlignment="1">
      <alignment horizontal="center"/>
    </xf>
    <xf numFmtId="2" fontId="10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14" fontId="10" fillId="0" borderId="10" xfId="0" applyNumberFormat="1" applyFont="1" applyFill="1" applyBorder="1" applyAlignment="1" applyProtection="1">
      <alignment horizontal="center"/>
      <protection locked="0"/>
    </xf>
    <xf numFmtId="14" fontId="10" fillId="0" borderId="23" xfId="0" applyNumberFormat="1" applyFont="1" applyFill="1" applyBorder="1" applyAlignment="1" applyProtection="1">
      <alignment horizontal="center"/>
      <protection locked="0"/>
    </xf>
    <xf numFmtId="14" fontId="10" fillId="0" borderId="16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4" fontId="10" fillId="0" borderId="37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14" fontId="10" fillId="0" borderId="30" xfId="0" applyNumberFormat="1" applyFont="1" applyFill="1" applyBorder="1" applyAlignment="1" applyProtection="1">
      <alignment horizontal="center"/>
      <protection locked="0"/>
    </xf>
    <xf numFmtId="14" fontId="10" fillId="0" borderId="19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14" fontId="10" fillId="0" borderId="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c_pc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5">
      <selection activeCell="A22" sqref="A22"/>
    </sheetView>
  </sheetViews>
  <sheetFormatPr defaultColWidth="9.140625" defaultRowHeight="12.75"/>
  <sheetData>
    <row r="1" ht="12.75">
      <c r="A1" t="s">
        <v>343</v>
      </c>
    </row>
    <row r="2" ht="12.75">
      <c r="A2" t="s">
        <v>342</v>
      </c>
    </row>
    <row r="3" ht="12.75">
      <c r="A3" t="s">
        <v>341</v>
      </c>
    </row>
    <row r="5" ht="12.75">
      <c r="A5" t="s">
        <v>357</v>
      </c>
    </row>
    <row r="6" ht="12.75">
      <c r="A6" t="s">
        <v>345</v>
      </c>
    </row>
    <row r="7" ht="12.75">
      <c r="A7" t="s">
        <v>356</v>
      </c>
    </row>
    <row r="9" ht="12.75">
      <c r="A9" t="s">
        <v>346</v>
      </c>
    </row>
    <row r="10" ht="12.75">
      <c r="A10" t="s">
        <v>344</v>
      </c>
    </row>
    <row r="11" ht="12.75">
      <c r="A11" t="s">
        <v>347</v>
      </c>
    </row>
    <row r="12" ht="12.75">
      <c r="A12" t="s">
        <v>348</v>
      </c>
    </row>
    <row r="13" ht="12.75">
      <c r="A13" t="s">
        <v>355</v>
      </c>
    </row>
    <row r="14" ht="12.75">
      <c r="A14" t="s">
        <v>349</v>
      </c>
    </row>
    <row r="15" ht="12.75">
      <c r="A15" t="s">
        <v>350</v>
      </c>
    </row>
    <row r="16" ht="12.75">
      <c r="A16" t="s">
        <v>351</v>
      </c>
    </row>
    <row r="17" ht="12.75">
      <c r="A17" t="s">
        <v>352</v>
      </c>
    </row>
    <row r="18" ht="12.75">
      <c r="A18" t="s">
        <v>353</v>
      </c>
    </row>
    <row r="19" ht="12.75">
      <c r="A19" t="s">
        <v>354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selection activeCell="B3" sqref="B3:C7"/>
    </sheetView>
  </sheetViews>
  <sheetFormatPr defaultColWidth="9.140625" defaultRowHeight="12.75"/>
  <cols>
    <col min="1" max="1" width="59.140625" style="0" customWidth="1"/>
    <col min="2" max="2" width="13.7109375" style="0" customWidth="1"/>
    <col min="3" max="3" width="18.421875" style="0" customWidth="1"/>
  </cols>
  <sheetData>
    <row r="1" spans="1:3" s="63" customFormat="1" ht="18">
      <c r="A1" s="274" t="s">
        <v>49</v>
      </c>
      <c r="B1" s="275"/>
      <c r="C1" s="276"/>
    </row>
    <row r="2" spans="1:3" ht="12.75">
      <c r="A2" s="104"/>
      <c r="B2" s="110" t="s">
        <v>1</v>
      </c>
      <c r="C2" s="89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119" t="s">
        <v>31</v>
      </c>
      <c r="B4" s="263" t="s">
        <v>32</v>
      </c>
      <c r="C4" s="264"/>
    </row>
    <row r="5" spans="1:3" ht="12.75">
      <c r="A5" s="119" t="s">
        <v>185</v>
      </c>
      <c r="B5" s="263" t="s">
        <v>193</v>
      </c>
      <c r="C5" s="268"/>
    </row>
    <row r="6" spans="1:3" ht="12.75">
      <c r="A6" s="104" t="s">
        <v>33</v>
      </c>
      <c r="B6" s="269" t="s">
        <v>142</v>
      </c>
      <c r="C6" s="270"/>
    </row>
    <row r="7" spans="1:3" ht="12.75">
      <c r="A7" s="120"/>
      <c r="B7" s="277"/>
      <c r="C7" s="278"/>
    </row>
    <row r="8" spans="1:3" s="77" customFormat="1" ht="15.75">
      <c r="A8" s="107" t="s">
        <v>191</v>
      </c>
      <c r="B8" s="108"/>
      <c r="C8" s="109"/>
    </row>
    <row r="9" spans="1:3" ht="12.75">
      <c r="A9" s="99" t="s">
        <v>50</v>
      </c>
      <c r="B9" s="198">
        <v>10</v>
      </c>
      <c r="C9" s="91"/>
    </row>
    <row r="10" spans="1:3" ht="12.75">
      <c r="A10" s="99" t="s">
        <v>52</v>
      </c>
      <c r="B10" s="198">
        <v>2000</v>
      </c>
      <c r="C10" s="91"/>
    </row>
    <row r="11" spans="1:3" ht="12.75">
      <c r="A11" s="99" t="s">
        <v>190</v>
      </c>
      <c r="B11" s="198">
        <v>2</v>
      </c>
      <c r="C11" s="91"/>
    </row>
    <row r="12" spans="1:3" ht="12.75">
      <c r="A12" s="99" t="s">
        <v>51</v>
      </c>
      <c r="B12" s="198">
        <v>0.2</v>
      </c>
      <c r="C12" s="91"/>
    </row>
    <row r="13" spans="1:3" ht="12.75">
      <c r="A13" s="99" t="s">
        <v>379</v>
      </c>
      <c r="B13" s="199">
        <v>0.25</v>
      </c>
      <c r="C13" s="91"/>
    </row>
    <row r="14" spans="1:3" ht="12.75">
      <c r="A14" s="99" t="s">
        <v>380</v>
      </c>
      <c r="B14" s="199">
        <v>0.25</v>
      </c>
      <c r="C14" s="91"/>
    </row>
    <row r="15" spans="1:3" ht="12.75">
      <c r="A15" s="99" t="s">
        <v>63</v>
      </c>
      <c r="B15" s="200">
        <v>5</v>
      </c>
      <c r="C15" s="91"/>
    </row>
    <row r="16" spans="1:3" ht="12.75">
      <c r="A16" s="99" t="s">
        <v>381</v>
      </c>
      <c r="B16" s="201"/>
      <c r="C16" s="96">
        <f>B10*B11*B12*B13*B14*B15/60</f>
        <v>4.166666666666667</v>
      </c>
    </row>
    <row r="17" spans="1:3" ht="12.75">
      <c r="A17" s="9" t="s">
        <v>53</v>
      </c>
      <c r="B17" s="202"/>
      <c r="C17" s="92">
        <f>C16*B9</f>
        <v>41.66666666666667</v>
      </c>
    </row>
    <row r="18" spans="1:3" ht="12.75">
      <c r="A18" s="9" t="s">
        <v>54</v>
      </c>
      <c r="B18" s="203"/>
      <c r="C18" s="93">
        <f>SUM(C17/Baseline!C32)</f>
        <v>0.007242776603241722</v>
      </c>
    </row>
    <row r="19" spans="1:3" ht="12.75">
      <c r="A19" s="9" t="s">
        <v>195</v>
      </c>
      <c r="B19" s="202"/>
      <c r="C19" s="124">
        <f>(C17*Baseline!B11)</f>
        <v>10416.666666666668</v>
      </c>
    </row>
    <row r="20" spans="1:3" s="77" customFormat="1" ht="15.75">
      <c r="A20" s="107" t="s">
        <v>189</v>
      </c>
      <c r="B20" s="204"/>
      <c r="C20" s="109"/>
    </row>
    <row r="21" spans="1:3" ht="12.75">
      <c r="A21" s="9" t="s">
        <v>68</v>
      </c>
      <c r="B21" s="199">
        <f>C18</f>
        <v>0.007242776603241722</v>
      </c>
      <c r="C21" s="91"/>
    </row>
    <row r="22" spans="1:3" ht="12.75">
      <c r="A22" s="9" t="s">
        <v>66</v>
      </c>
      <c r="B22" s="205"/>
      <c r="C22" s="91">
        <f>Baseline!B56*Baseline!B14/1000000*Baseline!B58</f>
        <v>0.11000000000000001</v>
      </c>
    </row>
    <row r="23" spans="1:3" ht="12.75">
      <c r="A23" s="9" t="s">
        <v>196</v>
      </c>
      <c r="B23" s="206"/>
      <c r="C23" s="95">
        <f>(B21*C22)</f>
        <v>0.0007967054263565894</v>
      </c>
    </row>
    <row r="24" spans="1:3" ht="12.75">
      <c r="A24" s="9" t="s">
        <v>197</v>
      </c>
      <c r="B24" s="207"/>
      <c r="C24" s="96">
        <f>SUM(C23*Baseline!B11)</f>
        <v>0.19917635658914737</v>
      </c>
    </row>
    <row r="25" spans="1:3" ht="15.75">
      <c r="A25" s="107" t="s">
        <v>184</v>
      </c>
      <c r="B25" s="204"/>
      <c r="C25" s="109"/>
    </row>
    <row r="26" spans="1:3" ht="12.75">
      <c r="A26" s="9" t="s">
        <v>383</v>
      </c>
      <c r="B26" s="208"/>
      <c r="C26" s="150"/>
    </row>
    <row r="27" spans="1:3" s="77" customFormat="1" ht="15.75">
      <c r="A27" s="107" t="s">
        <v>176</v>
      </c>
      <c r="B27" s="204"/>
      <c r="C27" s="109"/>
    </row>
    <row r="28" spans="1:3" s="77" customFormat="1" ht="15">
      <c r="A28" s="100" t="s">
        <v>198</v>
      </c>
      <c r="B28" s="209"/>
      <c r="C28" s="94">
        <f>(C19*Baseline!C45)</f>
        <v>148958.33333333337</v>
      </c>
    </row>
    <row r="29" spans="1:3" s="77" customFormat="1" ht="15">
      <c r="A29" s="100" t="s">
        <v>199</v>
      </c>
      <c r="B29" s="209"/>
      <c r="C29" s="94">
        <f>SUM(C24*Baseline!B62)</f>
        <v>2987.6453488372103</v>
      </c>
    </row>
    <row r="30" spans="1:3" s="77" customFormat="1" ht="15">
      <c r="A30" s="100" t="s">
        <v>388</v>
      </c>
      <c r="B30" s="209"/>
      <c r="C30" s="94">
        <f>C28+C29</f>
        <v>151945.9786821706</v>
      </c>
    </row>
    <row r="31" spans="1:3" s="77" customFormat="1" ht="15">
      <c r="A31" s="100" t="s">
        <v>382</v>
      </c>
      <c r="B31" s="209"/>
      <c r="C31" s="94">
        <f>C30/Baseline!B16*365/250</f>
        <v>206229.55180437764</v>
      </c>
    </row>
    <row r="32" spans="1:3" ht="12.75">
      <c r="A32" s="44" t="s">
        <v>44</v>
      </c>
      <c r="B32" s="196">
        <v>200000</v>
      </c>
      <c r="C32" s="66"/>
    </row>
    <row r="33" spans="1:3" ht="12.75">
      <c r="A33" s="44" t="s">
        <v>45</v>
      </c>
      <c r="B33" s="185">
        <v>10</v>
      </c>
      <c r="C33" s="66"/>
    </row>
    <row r="34" spans="1:3" ht="12.75">
      <c r="A34" s="44" t="s">
        <v>46</v>
      </c>
      <c r="B34" s="196">
        <v>20000</v>
      </c>
      <c r="C34" s="66"/>
    </row>
    <row r="35" spans="1:3" ht="12.75">
      <c r="A35" s="44" t="s">
        <v>47</v>
      </c>
      <c r="B35" s="193"/>
      <c r="C35" s="66">
        <f>VLOOKUP(B33,ann_fac!A2:B23,2)</f>
        <v>0.142</v>
      </c>
    </row>
    <row r="36" spans="1:3" ht="12.75">
      <c r="A36" s="44" t="s">
        <v>48</v>
      </c>
      <c r="B36" s="193"/>
      <c r="C36" s="85">
        <f>B32*C35+B34</f>
        <v>48400</v>
      </c>
    </row>
    <row r="37" spans="1:3" ht="12.75">
      <c r="A37" s="58" t="s">
        <v>376</v>
      </c>
      <c r="B37" s="188"/>
      <c r="C37" s="71">
        <f>C30-C36</f>
        <v>103545.9786821706</v>
      </c>
    </row>
    <row r="38" spans="1:3" ht="12.75">
      <c r="A38" s="58" t="s">
        <v>377</v>
      </c>
      <c r="B38" s="188"/>
      <c r="C38" s="71">
        <f>C31-C36</f>
        <v>157829.55180437764</v>
      </c>
    </row>
    <row r="39" spans="1:3" ht="12.75">
      <c r="A39" s="44" t="s">
        <v>172</v>
      </c>
      <c r="B39" s="193"/>
      <c r="C39" s="90">
        <f>C30/C36</f>
        <v>3.1393797248382356</v>
      </c>
    </row>
    <row r="40" spans="1:3" ht="13.5" thickBot="1">
      <c r="A40" s="45" t="s">
        <v>173</v>
      </c>
      <c r="B40" s="197"/>
      <c r="C40" s="88">
        <f>C39/Baseline!B16*365/Baseline!B11</f>
        <v>4.260941152983009</v>
      </c>
    </row>
  </sheetData>
  <sheetProtection sheet="1" objects="1" scenarios="1"/>
  <mergeCells count="5">
    <mergeCell ref="A1:C1"/>
    <mergeCell ref="B6:C7"/>
    <mergeCell ref="B4:C4"/>
    <mergeCell ref="B3:C3"/>
    <mergeCell ref="B5:C5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B3" sqref="B3:C7"/>
    </sheetView>
  </sheetViews>
  <sheetFormatPr defaultColWidth="9.140625" defaultRowHeight="12.75"/>
  <cols>
    <col min="1" max="1" width="54.140625" style="0" customWidth="1"/>
    <col min="2" max="2" width="13.140625" style="0" customWidth="1"/>
    <col min="3" max="3" width="18.140625" style="0" customWidth="1"/>
  </cols>
  <sheetData>
    <row r="1" spans="1:3" s="63" customFormat="1" ht="18">
      <c r="A1" s="274" t="s">
        <v>55</v>
      </c>
      <c r="B1" s="275"/>
      <c r="C1" s="276"/>
    </row>
    <row r="2" spans="1:3" ht="12.75">
      <c r="A2" s="101"/>
      <c r="B2" s="102" t="s">
        <v>1</v>
      </c>
      <c r="C2" s="103" t="s">
        <v>175</v>
      </c>
    </row>
    <row r="3" spans="1:3" ht="12.75">
      <c r="A3" s="76" t="s">
        <v>30</v>
      </c>
      <c r="B3" s="265">
        <v>36062</v>
      </c>
      <c r="C3" s="266"/>
    </row>
    <row r="4" spans="1:3" ht="12.75">
      <c r="A4" s="44" t="s">
        <v>185</v>
      </c>
      <c r="B4" s="267" t="s">
        <v>193</v>
      </c>
      <c r="C4" s="268"/>
    </row>
    <row r="5" spans="1:3" ht="12.75">
      <c r="A5" s="44" t="s">
        <v>31</v>
      </c>
      <c r="B5" s="279" t="s">
        <v>32</v>
      </c>
      <c r="C5" s="280"/>
    </row>
    <row r="6" spans="1:3" ht="12.75">
      <c r="A6" s="104" t="s">
        <v>33</v>
      </c>
      <c r="B6" s="269" t="s">
        <v>143</v>
      </c>
      <c r="C6" s="270"/>
    </row>
    <row r="7" spans="1:3" ht="12.75">
      <c r="A7" s="9"/>
      <c r="B7" s="271"/>
      <c r="C7" s="272"/>
    </row>
    <row r="8" spans="1:3" s="77" customFormat="1" ht="15.75">
      <c r="A8" s="107" t="s">
        <v>178</v>
      </c>
      <c r="B8" s="111"/>
      <c r="C8" s="112"/>
    </row>
    <row r="9" spans="1:3" ht="12.75">
      <c r="A9" s="9" t="s">
        <v>64</v>
      </c>
      <c r="B9" s="198">
        <v>6</v>
      </c>
      <c r="C9" s="91"/>
    </row>
    <row r="10" spans="1:3" ht="12.75">
      <c r="A10" s="9" t="s">
        <v>59</v>
      </c>
      <c r="B10" s="198">
        <v>4000</v>
      </c>
      <c r="C10" s="91"/>
    </row>
    <row r="11" spans="1:3" ht="12.75">
      <c r="A11" s="9" t="s">
        <v>56</v>
      </c>
      <c r="B11" s="198">
        <v>1</v>
      </c>
      <c r="C11" s="91"/>
    </row>
    <row r="12" spans="1:3" ht="12.75">
      <c r="A12" s="9" t="s">
        <v>194</v>
      </c>
      <c r="B12" s="198">
        <v>1</v>
      </c>
      <c r="C12" s="91"/>
    </row>
    <row r="13" spans="1:3" ht="12.75">
      <c r="A13" s="9" t="s">
        <v>57</v>
      </c>
      <c r="B13" s="199">
        <v>0.2</v>
      </c>
      <c r="C13" s="91"/>
    </row>
    <row r="14" spans="1:3" ht="12.75">
      <c r="A14" s="9" t="s">
        <v>58</v>
      </c>
      <c r="B14" s="200">
        <v>3</v>
      </c>
      <c r="C14" s="91"/>
    </row>
    <row r="15" spans="1:3" ht="12.75">
      <c r="A15" s="9" t="s">
        <v>60</v>
      </c>
      <c r="B15" s="198"/>
      <c r="C15" s="91">
        <f>B10*B11*B12*B13*B14/60</f>
        <v>40</v>
      </c>
    </row>
    <row r="16" spans="1:3" ht="12.75">
      <c r="A16" s="9" t="s">
        <v>53</v>
      </c>
      <c r="B16" s="198"/>
      <c r="C16" s="91">
        <f>C15*B9</f>
        <v>240</v>
      </c>
    </row>
    <row r="17" spans="1:3" ht="12.75">
      <c r="A17" s="9" t="s">
        <v>54</v>
      </c>
      <c r="B17" s="210"/>
      <c r="C17" s="93">
        <f>C16/Baseline!C32</f>
        <v>0.04171839323467231</v>
      </c>
    </row>
    <row r="18" spans="1:3" ht="12.75">
      <c r="A18" s="9" t="s">
        <v>195</v>
      </c>
      <c r="B18" s="198"/>
      <c r="C18" s="124">
        <f>C16*Baseline!B11</f>
        <v>60000</v>
      </c>
    </row>
    <row r="19" spans="1:3" s="77" customFormat="1" ht="15.75">
      <c r="A19" s="97" t="s">
        <v>177</v>
      </c>
      <c r="B19" s="211"/>
      <c r="C19" s="98"/>
    </row>
    <row r="20" spans="1:3" ht="12.75">
      <c r="A20" s="9" t="s">
        <v>67</v>
      </c>
      <c r="B20" s="199"/>
      <c r="C20" s="93">
        <f>C17</f>
        <v>0.04171839323467231</v>
      </c>
    </row>
    <row r="21" spans="1:3" ht="12.75">
      <c r="A21" s="9" t="s">
        <v>66</v>
      </c>
      <c r="B21" s="212"/>
      <c r="C21" s="170">
        <f>Baseline!B56*Baseline!B14/1000000*Baseline!B16*Baseline!B58</f>
        <v>0.11832700000000003</v>
      </c>
    </row>
    <row r="22" spans="1:3" ht="12.75">
      <c r="A22" s="9" t="s">
        <v>196</v>
      </c>
      <c r="B22" s="212"/>
      <c r="C22" s="138">
        <f>C20*C21</f>
        <v>0.004936412316279072</v>
      </c>
    </row>
    <row r="23" spans="1:3" ht="12.75">
      <c r="A23" s="9" t="s">
        <v>197</v>
      </c>
      <c r="B23" s="212"/>
      <c r="C23" s="96">
        <f>C22*Baseline!B11</f>
        <v>1.234103079069768</v>
      </c>
    </row>
    <row r="24" spans="1:3" s="77" customFormat="1" ht="15.75">
      <c r="A24" s="97" t="s">
        <v>176</v>
      </c>
      <c r="B24" s="211"/>
      <c r="C24" s="98"/>
    </row>
    <row r="25" spans="1:3" s="77" customFormat="1" ht="15">
      <c r="A25" s="100" t="s">
        <v>198</v>
      </c>
      <c r="B25" s="213"/>
      <c r="C25" s="151">
        <f>C18*Baseline!C45</f>
        <v>858000</v>
      </c>
    </row>
    <row r="26" spans="1:3" s="77" customFormat="1" ht="15">
      <c r="A26" s="100" t="s">
        <v>199</v>
      </c>
      <c r="B26" s="213"/>
      <c r="C26" s="151">
        <f>C23*Baseline!B62</f>
        <v>18511.546186046522</v>
      </c>
    </row>
    <row r="27" spans="1:3" s="77" customFormat="1" ht="15">
      <c r="A27" s="100" t="s">
        <v>387</v>
      </c>
      <c r="B27" s="213"/>
      <c r="C27" s="151">
        <f>C25+C26</f>
        <v>876511.5461860466</v>
      </c>
    </row>
    <row r="28" spans="1:3" s="77" customFormat="1" ht="15">
      <c r="A28" s="100" t="s">
        <v>382</v>
      </c>
      <c r="B28" s="209"/>
      <c r="C28" s="94">
        <f>C27/Baseline!B16*365/250</f>
        <v>1189650.3276300342</v>
      </c>
    </row>
    <row r="29" spans="1:3" ht="12.75">
      <c r="A29" s="44" t="s">
        <v>44</v>
      </c>
      <c r="B29" s="196">
        <v>900000</v>
      </c>
      <c r="C29" s="66"/>
    </row>
    <row r="30" spans="1:3" ht="12.75">
      <c r="A30" s="44" t="s">
        <v>45</v>
      </c>
      <c r="B30" s="185">
        <v>10</v>
      </c>
      <c r="C30" s="66"/>
    </row>
    <row r="31" spans="1:3" ht="12.75">
      <c r="A31" s="44" t="s">
        <v>46</v>
      </c>
      <c r="B31" s="196">
        <v>90000</v>
      </c>
      <c r="C31" s="66"/>
    </row>
    <row r="32" spans="1:3" ht="12.75">
      <c r="A32" s="44" t="s">
        <v>47</v>
      </c>
      <c r="B32" s="193"/>
      <c r="C32" s="66">
        <f>VLOOKUP(B30,ann_fac!A2:B23,2)</f>
        <v>0.142</v>
      </c>
    </row>
    <row r="33" spans="1:3" ht="12.75">
      <c r="A33" s="44" t="s">
        <v>48</v>
      </c>
      <c r="B33" s="193"/>
      <c r="C33" s="85">
        <f>B29*C32+B31</f>
        <v>217800</v>
      </c>
    </row>
    <row r="34" spans="1:3" ht="25.5">
      <c r="A34" s="58" t="s">
        <v>376</v>
      </c>
      <c r="B34" s="188"/>
      <c r="C34" s="71">
        <f>C27-C33</f>
        <v>658711.5461860466</v>
      </c>
    </row>
    <row r="35" spans="1:3" ht="12.75">
      <c r="A35" s="58" t="s">
        <v>377</v>
      </c>
      <c r="B35" s="188"/>
      <c r="C35" s="71">
        <f>C28-C33</f>
        <v>971850.3276300342</v>
      </c>
    </row>
    <row r="36" spans="1:3" ht="12.75">
      <c r="A36" s="44" t="s">
        <v>172</v>
      </c>
      <c r="B36" s="193"/>
      <c r="C36" s="90">
        <f>+C27/C33</f>
        <v>4.024387264398745</v>
      </c>
    </row>
    <row r="37" spans="1:3" ht="13.5" thickBot="1">
      <c r="A37" s="45" t="s">
        <v>173</v>
      </c>
      <c r="B37" s="197"/>
      <c r="C37" s="88">
        <f>C36/Baseline!B16*365/Baseline!B11</f>
        <v>5.462122716391342</v>
      </c>
    </row>
  </sheetData>
  <sheetProtection sheet="1" objects="1" scenarios="1"/>
  <mergeCells count="5">
    <mergeCell ref="A1:C1"/>
    <mergeCell ref="B3:C3"/>
    <mergeCell ref="B5:C5"/>
    <mergeCell ref="B6:C7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" sqref="B3:C7"/>
    </sheetView>
  </sheetViews>
  <sheetFormatPr defaultColWidth="9.140625" defaultRowHeight="12.75"/>
  <cols>
    <col min="1" max="1" width="58.421875" style="0" bestFit="1" customWidth="1"/>
    <col min="2" max="2" width="15.00390625" style="0" customWidth="1"/>
    <col min="3" max="3" width="15.00390625" style="0" bestFit="1" customWidth="1"/>
  </cols>
  <sheetData>
    <row r="1" spans="1:3" ht="18">
      <c r="A1" s="274" t="s">
        <v>285</v>
      </c>
      <c r="B1" s="275"/>
      <c r="C1" s="276"/>
    </row>
    <row r="2" spans="1:3" ht="12.75">
      <c r="A2" s="104"/>
      <c r="B2" s="110" t="s">
        <v>1</v>
      </c>
      <c r="C2" s="89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119" t="s">
        <v>31</v>
      </c>
      <c r="B4" s="263" t="s">
        <v>32</v>
      </c>
      <c r="C4" s="264"/>
    </row>
    <row r="5" spans="1:3" ht="12.75">
      <c r="A5" s="119" t="s">
        <v>185</v>
      </c>
      <c r="B5" s="263" t="s">
        <v>193</v>
      </c>
      <c r="C5" s="268"/>
    </row>
    <row r="6" spans="1:3" ht="12.75">
      <c r="A6" s="104" t="s">
        <v>33</v>
      </c>
      <c r="B6" s="269" t="s">
        <v>286</v>
      </c>
      <c r="C6" s="270"/>
    </row>
    <row r="7" spans="1:3" ht="12.75">
      <c r="A7" s="120"/>
      <c r="B7" s="277"/>
      <c r="C7" s="278"/>
    </row>
    <row r="8" spans="1:3" ht="15.75">
      <c r="A8" s="107" t="s">
        <v>191</v>
      </c>
      <c r="B8" s="108"/>
      <c r="C8" s="109"/>
    </row>
    <row r="9" spans="1:3" ht="12.75">
      <c r="A9" s="99" t="s">
        <v>287</v>
      </c>
      <c r="B9" s="198"/>
      <c r="C9" s="124">
        <f>Baseline!B49</f>
        <v>1000000</v>
      </c>
    </row>
    <row r="10" spans="1:3" ht="12.75">
      <c r="A10" s="99" t="s">
        <v>288</v>
      </c>
      <c r="B10" s="214">
        <v>0.2</v>
      </c>
      <c r="C10" s="91"/>
    </row>
    <row r="11" spans="1:3" ht="12.75">
      <c r="A11" s="99" t="s">
        <v>289</v>
      </c>
      <c r="B11" s="214">
        <v>0.2</v>
      </c>
      <c r="C11" s="91"/>
    </row>
    <row r="12" spans="1:3" ht="12.75">
      <c r="A12" s="99" t="s">
        <v>292</v>
      </c>
      <c r="B12" s="214">
        <v>0.5</v>
      </c>
      <c r="C12" s="91"/>
    </row>
    <row r="13" spans="1:3" ht="12.75">
      <c r="A13" s="99" t="s">
        <v>290</v>
      </c>
      <c r="B13" s="214">
        <v>0.25</v>
      </c>
      <c r="C13" s="91"/>
    </row>
    <row r="14" spans="1:3" ht="12.75">
      <c r="A14" s="99" t="s">
        <v>291</v>
      </c>
      <c r="B14" s="215">
        <v>5</v>
      </c>
      <c r="C14" s="91"/>
    </row>
    <row r="15" spans="1:3" ht="12.75">
      <c r="A15" s="99" t="s">
        <v>149</v>
      </c>
      <c r="B15" s="215"/>
      <c r="C15" s="91">
        <f>Baseline!B48</f>
        <v>21.25</v>
      </c>
    </row>
    <row r="16" spans="1:3" ht="12.75">
      <c r="A16" s="99" t="s">
        <v>294</v>
      </c>
      <c r="B16" s="215"/>
      <c r="C16" s="124">
        <f>C9*C15/60</f>
        <v>354166.6666666667</v>
      </c>
    </row>
    <row r="17" spans="1:3" ht="12.75">
      <c r="A17" s="99" t="s">
        <v>293</v>
      </c>
      <c r="B17" s="201"/>
      <c r="C17" s="92">
        <f>C9*B10*B11*B12*B13*B14/60</f>
        <v>416.6666666666667</v>
      </c>
    </row>
    <row r="18" spans="1:3" ht="12.75">
      <c r="A18" s="9" t="s">
        <v>295</v>
      </c>
      <c r="B18" s="202"/>
      <c r="C18" s="142">
        <f>C17/C16</f>
        <v>0.001176470588235294</v>
      </c>
    </row>
    <row r="19" spans="1:3" ht="12.75">
      <c r="A19" s="9" t="s">
        <v>296</v>
      </c>
      <c r="B19" s="216"/>
      <c r="C19" s="154">
        <f>C17*Baseline!B11</f>
        <v>104166.66666666667</v>
      </c>
    </row>
    <row r="20" spans="1:3" ht="15.75">
      <c r="A20" s="107" t="s">
        <v>189</v>
      </c>
      <c r="B20" s="204"/>
      <c r="C20" s="109"/>
    </row>
    <row r="21" spans="1:3" ht="12.75">
      <c r="A21" s="9" t="s">
        <v>68</v>
      </c>
      <c r="B21" s="199"/>
      <c r="C21" s="142">
        <f>B10*B11*B12</f>
        <v>0.020000000000000004</v>
      </c>
    </row>
    <row r="22" spans="1:3" ht="12.75">
      <c r="A22" s="9" t="s">
        <v>66</v>
      </c>
      <c r="B22" s="205"/>
      <c r="C22" s="91">
        <f>Baseline!B56*Baseline!B14/1000000*Baseline!B58</f>
        <v>0.11000000000000001</v>
      </c>
    </row>
    <row r="23" spans="1:3" ht="12.75">
      <c r="A23" s="9" t="s">
        <v>196</v>
      </c>
      <c r="B23" s="206"/>
      <c r="C23" s="95">
        <f>(C21*C22)</f>
        <v>0.0022000000000000006</v>
      </c>
    </row>
    <row r="24" spans="1:3" ht="12.75">
      <c r="A24" s="9" t="s">
        <v>197</v>
      </c>
      <c r="B24" s="207"/>
      <c r="C24" s="96">
        <f>SUM(C23*Baseline!B11)</f>
        <v>0.5500000000000002</v>
      </c>
    </row>
    <row r="25" spans="1:3" ht="15.75">
      <c r="A25" s="107" t="s">
        <v>184</v>
      </c>
      <c r="B25" s="204"/>
      <c r="C25" s="109"/>
    </row>
    <row r="26" spans="1:3" ht="12.75">
      <c r="A26" s="9" t="s">
        <v>192</v>
      </c>
      <c r="B26" s="208"/>
      <c r="C26" s="150"/>
    </row>
    <row r="27" spans="1:3" ht="15.75">
      <c r="A27" s="107" t="s">
        <v>176</v>
      </c>
      <c r="B27" s="204"/>
      <c r="C27" s="109"/>
    </row>
    <row r="28" spans="1:3" ht="12.75">
      <c r="A28" s="100" t="s">
        <v>198</v>
      </c>
      <c r="B28" s="209"/>
      <c r="C28" s="94">
        <f>(C19*Baseline!C45)</f>
        <v>1489583.3333333335</v>
      </c>
    </row>
    <row r="29" spans="1:3" ht="12.75">
      <c r="A29" s="100" t="s">
        <v>199</v>
      </c>
      <c r="B29" s="209"/>
      <c r="C29" s="94">
        <f>SUM(C24*Baseline!B62)</f>
        <v>8250.000000000002</v>
      </c>
    </row>
    <row r="30" spans="1:3" ht="12.75">
      <c r="A30" s="100" t="s">
        <v>387</v>
      </c>
      <c r="B30" s="209"/>
      <c r="C30" s="94">
        <f>C28+C29</f>
        <v>1497833.3333333335</v>
      </c>
    </row>
    <row r="31" spans="1:3" ht="12.75">
      <c r="A31" s="100" t="s">
        <v>382</v>
      </c>
      <c r="B31" s="209"/>
      <c r="C31" s="94">
        <f>C30/Baseline!B16*365/250</f>
        <v>2032942.8899011498</v>
      </c>
    </row>
    <row r="32" spans="1:3" ht="12.75">
      <c r="A32" s="44" t="s">
        <v>44</v>
      </c>
      <c r="B32" s="196">
        <v>200000</v>
      </c>
      <c r="C32" s="66"/>
    </row>
    <row r="33" spans="1:3" ht="12.75">
      <c r="A33" s="44" t="s">
        <v>45</v>
      </c>
      <c r="B33" s="185">
        <v>5</v>
      </c>
      <c r="C33" s="66"/>
    </row>
    <row r="34" spans="1:3" ht="12.75">
      <c r="A34" s="44" t="s">
        <v>46</v>
      </c>
      <c r="B34" s="196">
        <v>400000</v>
      </c>
      <c r="C34" s="66"/>
    </row>
    <row r="35" spans="1:3" ht="12.75">
      <c r="A35" s="44" t="s">
        <v>47</v>
      </c>
      <c r="B35" s="193"/>
      <c r="C35" s="66">
        <f>VLOOKUP(B33,ann_fac!A2:B23,2)</f>
        <v>0.244</v>
      </c>
    </row>
    <row r="36" spans="1:3" ht="12.75">
      <c r="A36" s="44" t="s">
        <v>48</v>
      </c>
      <c r="B36" s="193"/>
      <c r="C36" s="85">
        <f>B32*C35+B34</f>
        <v>448800</v>
      </c>
    </row>
    <row r="37" spans="1:3" ht="12.75">
      <c r="A37" s="58" t="s">
        <v>376</v>
      </c>
      <c r="B37" s="188"/>
      <c r="C37" s="71">
        <f>C30-C36</f>
        <v>1049033.3333333335</v>
      </c>
    </row>
    <row r="38" spans="1:3" ht="12.75">
      <c r="A38" s="58" t="s">
        <v>377</v>
      </c>
      <c r="B38" s="188"/>
      <c r="C38" s="71">
        <f>C31-C36</f>
        <v>1584142.8899011498</v>
      </c>
    </row>
    <row r="39" spans="1:3" ht="12.75">
      <c r="A39" s="44" t="s">
        <v>172</v>
      </c>
      <c r="B39" s="193"/>
      <c r="C39" s="90">
        <f>C30/C36</f>
        <v>3.337418300653595</v>
      </c>
    </row>
    <row r="40" spans="1:3" ht="13.5" thickBot="1">
      <c r="A40" s="45" t="s">
        <v>173</v>
      </c>
      <c r="B40" s="197"/>
      <c r="C40" s="88">
        <f>C39/Baseline!B16*365/Baseline!B11</f>
        <v>4.529730146838569</v>
      </c>
    </row>
  </sheetData>
  <sheetProtection sheet="1" objects="1" scenarios="1"/>
  <mergeCells count="5">
    <mergeCell ref="B6:C7"/>
    <mergeCell ref="A1:C1"/>
    <mergeCell ref="B3:C3"/>
    <mergeCell ref="B4:C4"/>
    <mergeCell ref="B5:C5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3" sqref="B3:C7"/>
    </sheetView>
  </sheetViews>
  <sheetFormatPr defaultColWidth="9.140625" defaultRowHeight="12.75"/>
  <cols>
    <col min="1" max="1" width="61.421875" style="0" bestFit="1" customWidth="1"/>
    <col min="2" max="2" width="15.00390625" style="0" customWidth="1"/>
    <col min="3" max="3" width="15.00390625" style="0" bestFit="1" customWidth="1"/>
  </cols>
  <sheetData>
    <row r="1" spans="1:3" ht="18">
      <c r="A1" s="274" t="s">
        <v>300</v>
      </c>
      <c r="B1" s="275"/>
      <c r="C1" s="276"/>
    </row>
    <row r="2" spans="1:3" ht="12.75">
      <c r="A2" s="104"/>
      <c r="B2" s="110" t="s">
        <v>1</v>
      </c>
      <c r="C2" s="89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119" t="s">
        <v>31</v>
      </c>
      <c r="B4" s="263" t="s">
        <v>32</v>
      </c>
      <c r="C4" s="264"/>
    </row>
    <row r="5" spans="1:3" ht="12.75">
      <c r="A5" s="119" t="s">
        <v>185</v>
      </c>
      <c r="B5" s="263" t="s">
        <v>193</v>
      </c>
      <c r="C5" s="268"/>
    </row>
    <row r="6" spans="1:3" ht="12.75">
      <c r="A6" s="104" t="s">
        <v>33</v>
      </c>
      <c r="B6" s="269" t="s">
        <v>299</v>
      </c>
      <c r="C6" s="270"/>
    </row>
    <row r="7" spans="1:3" ht="12.75">
      <c r="A7" s="120"/>
      <c r="B7" s="277"/>
      <c r="C7" s="278"/>
    </row>
    <row r="8" spans="1:3" ht="15.75">
      <c r="A8" s="107" t="s">
        <v>191</v>
      </c>
      <c r="B8" s="108"/>
      <c r="C8" s="109"/>
    </row>
    <row r="9" spans="1:3" ht="12.75">
      <c r="A9" s="99" t="s">
        <v>287</v>
      </c>
      <c r="B9" s="198"/>
      <c r="C9" s="124">
        <f>Baseline!B49</f>
        <v>1000000</v>
      </c>
    </row>
    <row r="10" spans="1:3" ht="12.75">
      <c r="A10" s="99" t="s">
        <v>297</v>
      </c>
      <c r="B10" s="198">
        <v>50</v>
      </c>
      <c r="C10" s="124"/>
    </row>
    <row r="11" spans="1:3" ht="12.75">
      <c r="A11" s="99" t="s">
        <v>298</v>
      </c>
      <c r="B11" s="217">
        <v>1000</v>
      </c>
      <c r="C11" s="91"/>
    </row>
    <row r="12" spans="1:3" ht="12.75">
      <c r="A12" s="99" t="s">
        <v>304</v>
      </c>
      <c r="B12" s="214"/>
      <c r="C12" s="124">
        <f>B10*B11</f>
        <v>50000</v>
      </c>
    </row>
    <row r="13" spans="1:3" ht="12.75">
      <c r="A13" s="99" t="s">
        <v>301</v>
      </c>
      <c r="B13" s="214">
        <v>0.1</v>
      </c>
      <c r="C13" s="91"/>
    </row>
    <row r="14" spans="1:3" ht="12.75">
      <c r="A14" s="99" t="s">
        <v>302</v>
      </c>
      <c r="B14" s="214">
        <v>0.2</v>
      </c>
      <c r="C14" s="91"/>
    </row>
    <row r="15" spans="1:3" ht="12.75">
      <c r="A15" s="99" t="s">
        <v>303</v>
      </c>
      <c r="B15" s="215">
        <v>3</v>
      </c>
      <c r="C15" s="91"/>
    </row>
    <row r="16" spans="1:3" ht="12.75">
      <c r="A16" s="99" t="s">
        <v>149</v>
      </c>
      <c r="B16" s="215"/>
      <c r="C16" s="91">
        <f>Baseline!B48</f>
        <v>21.25</v>
      </c>
    </row>
    <row r="17" spans="1:3" ht="12.75">
      <c r="A17" s="99" t="s">
        <v>294</v>
      </c>
      <c r="B17" s="215"/>
      <c r="C17" s="124">
        <f>C9*C16/60</f>
        <v>354166.6666666667</v>
      </c>
    </row>
    <row r="18" spans="1:3" ht="12.75">
      <c r="A18" s="99" t="s">
        <v>293</v>
      </c>
      <c r="B18" s="201"/>
      <c r="C18" s="92">
        <f>C12*B13*B14*B15/60</f>
        <v>50</v>
      </c>
    </row>
    <row r="19" spans="1:3" ht="12.75">
      <c r="A19" s="9" t="s">
        <v>295</v>
      </c>
      <c r="B19" s="202"/>
      <c r="C19" s="142">
        <f>C18/C17</f>
        <v>0.00014117647058823528</v>
      </c>
    </row>
    <row r="20" spans="1:3" ht="12.75">
      <c r="A20" s="9" t="s">
        <v>296</v>
      </c>
      <c r="B20" s="216"/>
      <c r="C20" s="154">
        <f>C18*Baseline!B11</f>
        <v>12500</v>
      </c>
    </row>
    <row r="21" spans="1:3" ht="15.75">
      <c r="A21" s="107" t="s">
        <v>189</v>
      </c>
      <c r="B21" s="204"/>
      <c r="C21" s="109"/>
    </row>
    <row r="22" spans="1:3" ht="12.75">
      <c r="A22" s="9" t="s">
        <v>385</v>
      </c>
      <c r="B22" s="199"/>
      <c r="C22" s="142"/>
    </row>
    <row r="23" spans="1:3" ht="15.75">
      <c r="A23" s="107" t="s">
        <v>184</v>
      </c>
      <c r="B23" s="204"/>
      <c r="C23" s="109"/>
    </row>
    <row r="24" spans="1:3" ht="12.75">
      <c r="A24" s="9" t="s">
        <v>192</v>
      </c>
      <c r="B24" s="208"/>
      <c r="C24" s="150"/>
    </row>
    <row r="25" spans="1:3" ht="15.75">
      <c r="A25" s="107" t="s">
        <v>176</v>
      </c>
      <c r="B25" s="204"/>
      <c r="C25" s="109"/>
    </row>
    <row r="26" spans="1:3" ht="12.75">
      <c r="A26" s="100" t="s">
        <v>198</v>
      </c>
      <c r="B26" s="209"/>
      <c r="C26" s="94">
        <f>(C20*Baseline!C45)</f>
        <v>178750</v>
      </c>
    </row>
    <row r="27" spans="1:3" ht="12.75">
      <c r="A27" s="100" t="s">
        <v>199</v>
      </c>
      <c r="B27" s="209"/>
      <c r="C27" s="94">
        <v>0</v>
      </c>
    </row>
    <row r="28" spans="1:3" ht="12.75">
      <c r="A28" s="100" t="s">
        <v>387</v>
      </c>
      <c r="B28" s="209"/>
      <c r="C28" s="94">
        <f>C26+C27</f>
        <v>178750</v>
      </c>
    </row>
    <row r="29" spans="1:3" ht="12.75">
      <c r="A29" s="100" t="s">
        <v>382</v>
      </c>
      <c r="B29" s="209"/>
      <c r="C29" s="94">
        <f>C28/Baseline!B16*365/250</f>
        <v>242609.46360509435</v>
      </c>
    </row>
    <row r="30" spans="1:3" ht="12.75">
      <c r="A30" s="44" t="s">
        <v>44</v>
      </c>
      <c r="B30" s="196">
        <v>1000000</v>
      </c>
      <c r="C30" s="66"/>
    </row>
    <row r="31" spans="1:3" ht="12.75">
      <c r="A31" s="44" t="s">
        <v>45</v>
      </c>
      <c r="B31" s="185">
        <v>5</v>
      </c>
      <c r="C31" s="66"/>
    </row>
    <row r="32" spans="1:3" ht="12.75">
      <c r="A32" s="44" t="s">
        <v>46</v>
      </c>
      <c r="B32" s="196">
        <v>100000</v>
      </c>
      <c r="C32" s="66"/>
    </row>
    <row r="33" spans="1:3" ht="12.75">
      <c r="A33" s="44" t="s">
        <v>47</v>
      </c>
      <c r="B33" s="193"/>
      <c r="C33" s="66">
        <f>VLOOKUP(B31,ann_fac!A2:B23,2)</f>
        <v>0.244</v>
      </c>
    </row>
    <row r="34" spans="1:3" ht="12.75">
      <c r="A34" s="44" t="s">
        <v>48</v>
      </c>
      <c r="B34" s="193"/>
      <c r="C34" s="85">
        <f>B30*C33+B32</f>
        <v>344000</v>
      </c>
    </row>
    <row r="35" spans="1:3" ht="12.75">
      <c r="A35" s="58" t="s">
        <v>376</v>
      </c>
      <c r="B35" s="188"/>
      <c r="C35" s="71">
        <f>C28-C34</f>
        <v>-165250</v>
      </c>
    </row>
    <row r="36" spans="1:3" ht="12.75">
      <c r="A36" s="58" t="s">
        <v>377</v>
      </c>
      <c r="B36" s="188"/>
      <c r="C36" s="71">
        <f>C29-C34</f>
        <v>-101390.53639490565</v>
      </c>
    </row>
    <row r="37" spans="1:3" ht="12.75">
      <c r="A37" s="44" t="s">
        <v>172</v>
      </c>
      <c r="B37" s="193"/>
      <c r="C37" s="90">
        <f>C28/C34</f>
        <v>0.5196220930232558</v>
      </c>
    </row>
    <row r="38" spans="1:3" ht="13.5" thickBot="1">
      <c r="A38" s="45" t="s">
        <v>173</v>
      </c>
      <c r="B38" s="197"/>
      <c r="C38" s="88">
        <f>C37/Baseline!B16*365/Baseline!B11</f>
        <v>0.7052600686194602</v>
      </c>
    </row>
  </sheetData>
  <sheetProtection sheet="1" objects="1" scenarios="1"/>
  <mergeCells count="5">
    <mergeCell ref="B6:C7"/>
    <mergeCell ref="A1:C1"/>
    <mergeCell ref="B3:C3"/>
    <mergeCell ref="B4:C4"/>
    <mergeCell ref="B5:C5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" sqref="B3:C7"/>
    </sheetView>
  </sheetViews>
  <sheetFormatPr defaultColWidth="9.140625" defaultRowHeight="12.75"/>
  <cols>
    <col min="1" max="1" width="61.421875" style="0" bestFit="1" customWidth="1"/>
    <col min="2" max="2" width="15.00390625" style="0" customWidth="1"/>
    <col min="3" max="3" width="15.00390625" style="0" bestFit="1" customWidth="1"/>
  </cols>
  <sheetData>
    <row r="1" spans="1:3" ht="18">
      <c r="A1" s="274" t="s">
        <v>311</v>
      </c>
      <c r="B1" s="275"/>
      <c r="C1" s="276"/>
    </row>
    <row r="2" spans="1:3" ht="12.75">
      <c r="A2" s="104"/>
      <c r="B2" s="110" t="s">
        <v>1</v>
      </c>
      <c r="C2" s="89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119" t="s">
        <v>31</v>
      </c>
      <c r="B4" s="263" t="s">
        <v>144</v>
      </c>
      <c r="C4" s="264"/>
    </row>
    <row r="5" spans="1:3" ht="12.75">
      <c r="A5" s="119" t="s">
        <v>185</v>
      </c>
      <c r="B5" s="263" t="s">
        <v>193</v>
      </c>
      <c r="C5" s="268"/>
    </row>
    <row r="6" spans="1:3" ht="12.75">
      <c r="A6" s="104" t="s">
        <v>33</v>
      </c>
      <c r="B6" s="269" t="s">
        <v>317</v>
      </c>
      <c r="C6" s="270"/>
    </row>
    <row r="7" spans="1:3" ht="12.75">
      <c r="A7" s="120"/>
      <c r="B7" s="277"/>
      <c r="C7" s="278"/>
    </row>
    <row r="8" spans="1:3" ht="15.75">
      <c r="A8" s="107" t="s">
        <v>191</v>
      </c>
      <c r="B8" s="108"/>
      <c r="C8" s="109"/>
    </row>
    <row r="9" spans="1:3" ht="12.75">
      <c r="A9" s="99" t="s">
        <v>297</v>
      </c>
      <c r="B9" s="198">
        <v>5</v>
      </c>
      <c r="C9" s="124"/>
    </row>
    <row r="10" spans="1:3" ht="12.75">
      <c r="A10" s="99" t="s">
        <v>298</v>
      </c>
      <c r="B10" s="217">
        <v>2000</v>
      </c>
      <c r="C10" s="91"/>
    </row>
    <row r="11" spans="1:3" ht="12.75">
      <c r="A11" s="99" t="s">
        <v>304</v>
      </c>
      <c r="B11" s="214"/>
      <c r="C11" s="124">
        <f>B9*B10</f>
        <v>10000</v>
      </c>
    </row>
    <row r="12" spans="1:3" ht="12.75">
      <c r="A12" s="99" t="s">
        <v>312</v>
      </c>
      <c r="B12" s="214">
        <v>0.1</v>
      </c>
      <c r="C12" s="91"/>
    </row>
    <row r="13" spans="1:3" ht="12.75">
      <c r="A13" s="99" t="s">
        <v>302</v>
      </c>
      <c r="B13" s="214">
        <v>0.2</v>
      </c>
      <c r="C13" s="91"/>
    </row>
    <row r="14" spans="1:3" ht="12.75">
      <c r="A14" s="99" t="s">
        <v>291</v>
      </c>
      <c r="B14" s="215">
        <v>6</v>
      </c>
      <c r="C14" s="91"/>
    </row>
    <row r="15" spans="1:3" ht="12.75">
      <c r="A15" s="99" t="s">
        <v>313</v>
      </c>
      <c r="B15" s="215">
        <v>40</v>
      </c>
      <c r="C15" s="91"/>
    </row>
    <row r="16" spans="1:3" ht="12.75">
      <c r="A16" s="99" t="s">
        <v>314</v>
      </c>
      <c r="B16" s="215"/>
      <c r="C16" s="124">
        <f>C11*B15/60</f>
        <v>6666.666666666667</v>
      </c>
    </row>
    <row r="17" spans="1:3" ht="12.75">
      <c r="A17" s="99" t="s">
        <v>293</v>
      </c>
      <c r="B17" s="201"/>
      <c r="C17" s="92">
        <f>C11*B12*B13*B14/60</f>
        <v>20</v>
      </c>
    </row>
    <row r="18" spans="1:3" ht="12.75">
      <c r="A18" s="9" t="s">
        <v>315</v>
      </c>
      <c r="B18" s="202"/>
      <c r="C18" s="142">
        <f>C17/C16</f>
        <v>0.003</v>
      </c>
    </row>
    <row r="19" spans="1:3" ht="12.75">
      <c r="A19" s="9" t="s">
        <v>296</v>
      </c>
      <c r="B19" s="216"/>
      <c r="C19" s="154">
        <f>C17*Baseline!B11</f>
        <v>5000</v>
      </c>
    </row>
    <row r="20" spans="1:3" ht="15.75">
      <c r="A20" s="107" t="s">
        <v>189</v>
      </c>
      <c r="B20" s="204"/>
      <c r="C20" s="109"/>
    </row>
    <row r="21" spans="1:3" ht="12.75">
      <c r="A21" s="9" t="s">
        <v>305</v>
      </c>
      <c r="B21" s="199"/>
      <c r="C21" s="142"/>
    </row>
    <row r="22" spans="1:3" ht="15.75">
      <c r="A22" s="107" t="s">
        <v>184</v>
      </c>
      <c r="B22" s="204"/>
      <c r="C22" s="109"/>
    </row>
    <row r="23" spans="1:3" ht="12.75">
      <c r="A23" s="9" t="s">
        <v>192</v>
      </c>
      <c r="B23" s="208"/>
      <c r="C23" s="150"/>
    </row>
    <row r="24" spans="1:3" ht="15.75">
      <c r="A24" s="107" t="s">
        <v>176</v>
      </c>
      <c r="B24" s="204"/>
      <c r="C24" s="109"/>
    </row>
    <row r="25" spans="1:3" ht="12.75">
      <c r="A25" s="100" t="s">
        <v>316</v>
      </c>
      <c r="B25" s="218">
        <v>25</v>
      </c>
      <c r="C25" s="94"/>
    </row>
    <row r="26" spans="1:3" ht="12.75">
      <c r="A26" s="100" t="s">
        <v>198</v>
      </c>
      <c r="B26" s="209"/>
      <c r="C26" s="94">
        <f>(C19*B25)</f>
        <v>125000</v>
      </c>
    </row>
    <row r="27" spans="1:3" ht="12.75">
      <c r="A27" s="100" t="s">
        <v>199</v>
      </c>
      <c r="B27" s="209"/>
      <c r="C27" s="94">
        <v>0</v>
      </c>
    </row>
    <row r="28" spans="1:3" ht="12.75">
      <c r="A28" s="100" t="s">
        <v>200</v>
      </c>
      <c r="B28" s="209"/>
      <c r="C28" s="94">
        <f>C26+C27</f>
        <v>125000</v>
      </c>
    </row>
    <row r="29" spans="1:3" ht="12.75">
      <c r="A29" s="44" t="s">
        <v>44</v>
      </c>
      <c r="B29" s="196">
        <v>50000</v>
      </c>
      <c r="C29" s="66"/>
    </row>
    <row r="30" spans="1:3" ht="12.75">
      <c r="A30" s="44" t="s">
        <v>45</v>
      </c>
      <c r="B30" s="185">
        <v>5</v>
      </c>
      <c r="C30" s="66"/>
    </row>
    <row r="31" spans="1:3" ht="12.75">
      <c r="A31" s="44" t="s">
        <v>46</v>
      </c>
      <c r="B31" s="196">
        <v>5000</v>
      </c>
      <c r="C31" s="66"/>
    </row>
    <row r="32" spans="1:3" ht="12.75">
      <c r="A32" s="44" t="s">
        <v>47</v>
      </c>
      <c r="B32" s="193"/>
      <c r="C32" s="66">
        <f>VLOOKUP(B30,ann_fac!A2:B23,2)</f>
        <v>0.244</v>
      </c>
    </row>
    <row r="33" spans="1:3" ht="12.75">
      <c r="A33" s="44" t="s">
        <v>48</v>
      </c>
      <c r="B33" s="193"/>
      <c r="C33" s="85">
        <f>B29*C32+B31</f>
        <v>17200</v>
      </c>
    </row>
    <row r="34" spans="1:3" ht="13.5" thickBot="1">
      <c r="A34" s="45" t="s">
        <v>386</v>
      </c>
      <c r="B34" s="197"/>
      <c r="C34" s="155">
        <f>C28/C33</f>
        <v>7.267441860465116</v>
      </c>
    </row>
  </sheetData>
  <sheetProtection sheet="1" objects="1" scenarios="1"/>
  <mergeCells count="5">
    <mergeCell ref="B6:C7"/>
    <mergeCell ref="A1:C1"/>
    <mergeCell ref="B3:C3"/>
    <mergeCell ref="B4:C4"/>
    <mergeCell ref="B5:C5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3" sqref="B3:C7"/>
    </sheetView>
  </sheetViews>
  <sheetFormatPr defaultColWidth="9.140625" defaultRowHeight="12.75"/>
  <cols>
    <col min="1" max="1" width="61.421875" style="0" bestFit="1" customWidth="1"/>
    <col min="2" max="2" width="15.00390625" style="0" customWidth="1"/>
    <col min="3" max="3" width="15.00390625" style="0" bestFit="1" customWidth="1"/>
  </cols>
  <sheetData>
    <row r="1" spans="1:3" ht="18">
      <c r="A1" s="274" t="s">
        <v>308</v>
      </c>
      <c r="B1" s="275"/>
      <c r="C1" s="276"/>
    </row>
    <row r="2" spans="1:3" ht="12.75">
      <c r="A2" s="104"/>
      <c r="B2" s="110" t="s">
        <v>1</v>
      </c>
      <c r="C2" s="89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119" t="s">
        <v>31</v>
      </c>
      <c r="B4" s="263" t="s">
        <v>144</v>
      </c>
      <c r="C4" s="264"/>
    </row>
    <row r="5" spans="1:3" ht="12.75">
      <c r="A5" s="119" t="s">
        <v>185</v>
      </c>
      <c r="B5" s="263" t="s">
        <v>193</v>
      </c>
      <c r="C5" s="268"/>
    </row>
    <row r="6" spans="1:3" ht="12.75">
      <c r="A6" s="104" t="s">
        <v>33</v>
      </c>
      <c r="B6" s="269" t="s">
        <v>306</v>
      </c>
      <c r="C6" s="270"/>
    </row>
    <row r="7" spans="1:3" ht="12.75">
      <c r="A7" s="120"/>
      <c r="B7" s="277"/>
      <c r="C7" s="278"/>
    </row>
    <row r="8" spans="1:3" ht="15.75">
      <c r="A8" s="107" t="s">
        <v>191</v>
      </c>
      <c r="B8" s="108"/>
      <c r="C8" s="109"/>
    </row>
    <row r="9" spans="1:3" ht="12.75">
      <c r="A9" s="99" t="s">
        <v>287</v>
      </c>
      <c r="B9" s="198"/>
      <c r="C9" s="124">
        <f>Baseline!B49</f>
        <v>1000000</v>
      </c>
    </row>
    <row r="10" spans="1:3" ht="12.75">
      <c r="A10" s="99" t="s">
        <v>307</v>
      </c>
      <c r="B10" s="214">
        <v>0.1</v>
      </c>
      <c r="C10" s="124"/>
    </row>
    <row r="11" spans="1:3" ht="12.75">
      <c r="A11" s="99" t="s">
        <v>309</v>
      </c>
      <c r="B11" s="217"/>
      <c r="C11" s="124">
        <f>C9*B10</f>
        <v>100000</v>
      </c>
    </row>
    <row r="12" spans="1:3" ht="12.75">
      <c r="A12" s="99" t="s">
        <v>310</v>
      </c>
      <c r="B12" s="214">
        <v>0.1</v>
      </c>
      <c r="C12" s="91"/>
    </row>
    <row r="13" spans="1:3" ht="12.75">
      <c r="A13" s="99" t="s">
        <v>302</v>
      </c>
      <c r="B13" s="214">
        <v>0.2</v>
      </c>
      <c r="C13" s="91"/>
    </row>
    <row r="14" spans="1:3" ht="12.75">
      <c r="A14" s="99" t="s">
        <v>303</v>
      </c>
      <c r="B14" s="215">
        <v>3</v>
      </c>
      <c r="C14" s="91"/>
    </row>
    <row r="15" spans="1:3" ht="12.75">
      <c r="A15" s="99" t="s">
        <v>149</v>
      </c>
      <c r="B15" s="215"/>
      <c r="C15" s="91">
        <f>Baseline!B48</f>
        <v>21.25</v>
      </c>
    </row>
    <row r="16" spans="1:3" ht="12.75">
      <c r="A16" s="99" t="s">
        <v>294</v>
      </c>
      <c r="B16" s="215"/>
      <c r="C16" s="124">
        <f>C9*C15/60</f>
        <v>354166.6666666667</v>
      </c>
    </row>
    <row r="17" spans="1:3" ht="12.75">
      <c r="A17" s="99" t="s">
        <v>293</v>
      </c>
      <c r="B17" s="201"/>
      <c r="C17" s="92">
        <f>C11*B12*B13*B14/60</f>
        <v>100</v>
      </c>
    </row>
    <row r="18" spans="1:3" ht="12.75">
      <c r="A18" s="9" t="s">
        <v>295</v>
      </c>
      <c r="B18" s="202"/>
      <c r="C18" s="142">
        <f>C17/C16</f>
        <v>0.00028235294117647056</v>
      </c>
    </row>
    <row r="19" spans="1:3" ht="12.75">
      <c r="A19" s="9" t="s">
        <v>296</v>
      </c>
      <c r="B19" s="216"/>
      <c r="C19" s="154">
        <f>C17*Baseline!B11</f>
        <v>25000</v>
      </c>
    </row>
    <row r="20" spans="1:3" ht="15.75">
      <c r="A20" s="107" t="s">
        <v>189</v>
      </c>
      <c r="B20" s="204"/>
      <c r="C20" s="109"/>
    </row>
    <row r="21" spans="1:3" ht="12.75">
      <c r="A21" s="9" t="s">
        <v>305</v>
      </c>
      <c r="B21" s="199"/>
      <c r="C21" s="142"/>
    </row>
    <row r="22" spans="1:3" ht="15.75">
      <c r="A22" s="107" t="s">
        <v>184</v>
      </c>
      <c r="B22" s="204"/>
      <c r="C22" s="109"/>
    </row>
    <row r="23" spans="1:3" ht="12.75">
      <c r="A23" s="9" t="s">
        <v>192</v>
      </c>
      <c r="B23" s="208"/>
      <c r="C23" s="150"/>
    </row>
    <row r="24" spans="1:3" ht="15.75">
      <c r="A24" s="107" t="s">
        <v>176</v>
      </c>
      <c r="B24" s="204"/>
      <c r="C24" s="109"/>
    </row>
    <row r="25" spans="1:3" ht="12.75">
      <c r="A25" s="100" t="s">
        <v>198</v>
      </c>
      <c r="B25" s="209"/>
      <c r="C25" s="94">
        <f>(C19*Baseline!C45)</f>
        <v>357500</v>
      </c>
    </row>
    <row r="26" spans="1:3" ht="12.75">
      <c r="A26" s="100" t="s">
        <v>199</v>
      </c>
      <c r="B26" s="209"/>
      <c r="C26" s="94">
        <v>0</v>
      </c>
    </row>
    <row r="27" spans="1:3" ht="12.75">
      <c r="A27" s="100" t="s">
        <v>387</v>
      </c>
      <c r="B27" s="209"/>
      <c r="C27" s="94">
        <f>C25+C26</f>
        <v>357500</v>
      </c>
    </row>
    <row r="28" spans="1:3" ht="12.75">
      <c r="A28" s="100" t="s">
        <v>382</v>
      </c>
      <c r="B28" s="209"/>
      <c r="C28" s="94">
        <f>C27/Baseline!B16*365/250</f>
        <v>485218.9272101887</v>
      </c>
    </row>
    <row r="29" spans="1:3" ht="12.75">
      <c r="A29" s="44" t="s">
        <v>44</v>
      </c>
      <c r="B29" s="196">
        <v>50000</v>
      </c>
      <c r="C29" s="66"/>
    </row>
    <row r="30" spans="1:3" ht="12.75">
      <c r="A30" s="44" t="s">
        <v>45</v>
      </c>
      <c r="B30" s="185">
        <v>5</v>
      </c>
      <c r="C30" s="66"/>
    </row>
    <row r="31" spans="1:3" ht="12.75">
      <c r="A31" s="44" t="s">
        <v>46</v>
      </c>
      <c r="B31" s="196">
        <v>20000</v>
      </c>
      <c r="C31" s="66"/>
    </row>
    <row r="32" spans="1:3" ht="12.75">
      <c r="A32" s="44" t="s">
        <v>47</v>
      </c>
      <c r="B32" s="193"/>
      <c r="C32" s="66">
        <f>VLOOKUP(B30,ann_fac!A2:B23,2)</f>
        <v>0.244</v>
      </c>
    </row>
    <row r="33" spans="1:3" ht="12.75">
      <c r="A33" s="44" t="s">
        <v>48</v>
      </c>
      <c r="B33" s="193"/>
      <c r="C33" s="85">
        <f>B29*C32+B31</f>
        <v>32200</v>
      </c>
    </row>
    <row r="34" spans="1:3" ht="12.75">
      <c r="A34" s="58" t="s">
        <v>376</v>
      </c>
      <c r="B34" s="188"/>
      <c r="C34" s="71">
        <f>C27-C33</f>
        <v>325300</v>
      </c>
    </row>
    <row r="35" spans="1:3" ht="12.75">
      <c r="A35" s="58" t="s">
        <v>377</v>
      </c>
      <c r="B35" s="188"/>
      <c r="C35" s="71">
        <f>C28-C33</f>
        <v>453018.9272101887</v>
      </c>
    </row>
    <row r="36" spans="1:3" ht="12.75">
      <c r="A36" s="44" t="s">
        <v>172</v>
      </c>
      <c r="B36" s="193"/>
      <c r="C36" s="90">
        <f>C27/C33</f>
        <v>11.102484472049689</v>
      </c>
    </row>
    <row r="37" spans="1:3" ht="13.5" thickBot="1">
      <c r="A37" s="45" t="s">
        <v>173</v>
      </c>
      <c r="B37" s="197"/>
      <c r="C37" s="88">
        <f>C36/Baseline!B16*365/Baseline!B11</f>
        <v>15.068910782925114</v>
      </c>
    </row>
  </sheetData>
  <sheetProtection sheet="1" objects="1" scenarios="1"/>
  <mergeCells count="5">
    <mergeCell ref="B6:C7"/>
    <mergeCell ref="A1:C1"/>
    <mergeCell ref="B3:C3"/>
    <mergeCell ref="B4:C4"/>
    <mergeCell ref="B5:C5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">
      <selection activeCell="B3" sqref="B3:C7"/>
    </sheetView>
  </sheetViews>
  <sheetFormatPr defaultColWidth="9.140625" defaultRowHeight="12.75"/>
  <cols>
    <col min="1" max="1" width="53.57421875" style="0" customWidth="1"/>
    <col min="2" max="2" width="19.421875" style="0" customWidth="1"/>
    <col min="3" max="3" width="24.7109375" style="0" customWidth="1"/>
  </cols>
  <sheetData>
    <row r="1" spans="1:3" s="63" customFormat="1" ht="18">
      <c r="A1" s="281" t="s">
        <v>77</v>
      </c>
      <c r="B1" s="282"/>
      <c r="C1" s="252"/>
    </row>
    <row r="2" spans="1:3" ht="12.75">
      <c r="A2" s="76"/>
      <c r="B2" s="64" t="s">
        <v>1</v>
      </c>
      <c r="C2" s="103" t="s">
        <v>175</v>
      </c>
    </row>
    <row r="3" spans="1:3" ht="12.75">
      <c r="A3" s="104" t="s">
        <v>30</v>
      </c>
      <c r="B3" s="265">
        <v>36062</v>
      </c>
      <c r="C3" s="266"/>
    </row>
    <row r="4" spans="1:3" ht="12.75">
      <c r="A4" s="44" t="s">
        <v>185</v>
      </c>
      <c r="B4" s="285" t="s">
        <v>193</v>
      </c>
      <c r="C4" s="286"/>
    </row>
    <row r="5" spans="1:3" ht="12.75">
      <c r="A5" s="44" t="s">
        <v>31</v>
      </c>
      <c r="B5" s="283" t="s">
        <v>32</v>
      </c>
      <c r="C5" s="284"/>
    </row>
    <row r="6" spans="1:3" ht="12.75">
      <c r="A6" s="76" t="s">
        <v>33</v>
      </c>
      <c r="B6" s="269" t="s">
        <v>76</v>
      </c>
      <c r="C6" s="270"/>
    </row>
    <row r="7" spans="1:3" ht="12.75">
      <c r="A7" s="9"/>
      <c r="B7" s="277"/>
      <c r="C7" s="278"/>
    </row>
    <row r="8" spans="1:3" s="80" customFormat="1" ht="15.75">
      <c r="A8" s="107" t="s">
        <v>201</v>
      </c>
      <c r="B8" s="121"/>
      <c r="C8" s="122"/>
    </row>
    <row r="9" spans="1:3" ht="12.75">
      <c r="A9" s="9" t="s">
        <v>389</v>
      </c>
      <c r="B9" s="219">
        <v>7</v>
      </c>
      <c r="C9" s="91"/>
    </row>
    <row r="10" spans="1:3" ht="12.75">
      <c r="A10" s="9" t="s">
        <v>390</v>
      </c>
      <c r="B10" s="219">
        <v>4</v>
      </c>
      <c r="C10" s="91"/>
    </row>
    <row r="11" spans="1:3" ht="12.75">
      <c r="A11" s="9" t="s">
        <v>204</v>
      </c>
      <c r="B11" s="220">
        <v>50000</v>
      </c>
      <c r="C11" s="91"/>
    </row>
    <row r="12" spans="1:3" ht="12.75">
      <c r="A12" s="9" t="s">
        <v>205</v>
      </c>
      <c r="B12" s="220">
        <v>40000</v>
      </c>
      <c r="C12" s="91"/>
    </row>
    <row r="13" spans="1:3" ht="12.75">
      <c r="A13" s="9" t="s">
        <v>202</v>
      </c>
      <c r="B13" s="221">
        <v>0.2</v>
      </c>
      <c r="C13" s="91"/>
    </row>
    <row r="14" spans="1:3" ht="12.75">
      <c r="A14" s="9" t="s">
        <v>206</v>
      </c>
      <c r="B14" s="222"/>
      <c r="C14" s="92">
        <f>(B9-B10)/60*B11*B13</f>
        <v>500</v>
      </c>
    </row>
    <row r="15" spans="1:3" ht="12.75">
      <c r="A15" s="9" t="s">
        <v>207</v>
      </c>
      <c r="B15" s="222"/>
      <c r="C15" s="92">
        <f>(B9-B10)/60*B12*B13</f>
        <v>400</v>
      </c>
    </row>
    <row r="16" spans="1:3" ht="12.75">
      <c r="A16" s="9" t="s">
        <v>209</v>
      </c>
      <c r="B16" s="222"/>
      <c r="C16" s="124">
        <f>C14*Baseline!B11</f>
        <v>125000</v>
      </c>
    </row>
    <row r="17" spans="1:3" ht="12.75">
      <c r="A17" s="9" t="s">
        <v>208</v>
      </c>
      <c r="B17" s="222"/>
      <c r="C17" s="124">
        <f>C15*365</f>
        <v>146000</v>
      </c>
    </row>
    <row r="18" spans="1:3" s="80" customFormat="1" ht="15.75">
      <c r="A18" s="107" t="s">
        <v>176</v>
      </c>
      <c r="B18" s="223"/>
      <c r="C18" s="122"/>
    </row>
    <row r="19" spans="1:3" s="8" customFormat="1" ht="12.75">
      <c r="A19" s="100" t="s">
        <v>210</v>
      </c>
      <c r="B19" s="224"/>
      <c r="C19" s="152">
        <f>C16*Baseline!B44</f>
        <v>1375000</v>
      </c>
    </row>
    <row r="20" spans="1:3" s="8" customFormat="1" ht="12.75">
      <c r="A20" s="100" t="s">
        <v>211</v>
      </c>
      <c r="B20" s="224"/>
      <c r="C20" s="152">
        <f>C17*Baseline!B44</f>
        <v>1606000</v>
      </c>
    </row>
    <row r="21" spans="1:3" ht="12.75">
      <c r="A21" s="44" t="s">
        <v>44</v>
      </c>
      <c r="B21" s="225">
        <v>5000000</v>
      </c>
      <c r="C21" s="66"/>
    </row>
    <row r="22" spans="1:3" ht="12.75">
      <c r="A22" s="44" t="s">
        <v>45</v>
      </c>
      <c r="B22" s="226">
        <v>10</v>
      </c>
      <c r="C22" s="66"/>
    </row>
    <row r="23" spans="1:3" ht="12.75">
      <c r="A23" s="44" t="s">
        <v>46</v>
      </c>
      <c r="B23" s="225">
        <v>500000</v>
      </c>
      <c r="C23" s="66"/>
    </row>
    <row r="24" spans="1:3" ht="12.75">
      <c r="A24" s="44" t="s">
        <v>395</v>
      </c>
      <c r="B24" s="225">
        <v>200000</v>
      </c>
      <c r="C24" s="66"/>
    </row>
    <row r="25" spans="1:3" ht="12.75">
      <c r="A25" s="44" t="s">
        <v>47</v>
      </c>
      <c r="B25" s="227"/>
      <c r="C25" s="66">
        <f>VLOOKUP(B22,ann_fac!A2:B23,2)</f>
        <v>0.142</v>
      </c>
    </row>
    <row r="26" spans="1:3" ht="12.75">
      <c r="A26" s="44" t="s">
        <v>48</v>
      </c>
      <c r="B26" s="227"/>
      <c r="C26" s="85">
        <f>B21*C25+B23-B23</f>
        <v>710000</v>
      </c>
    </row>
    <row r="27" spans="1:3" ht="25.5">
      <c r="A27" s="58" t="s">
        <v>376</v>
      </c>
      <c r="B27" s="188"/>
      <c r="C27" s="71">
        <f>C19-C26</f>
        <v>665000</v>
      </c>
    </row>
    <row r="28" spans="1:3" ht="12.75">
      <c r="A28" s="58" t="s">
        <v>377</v>
      </c>
      <c r="B28" s="188"/>
      <c r="C28" s="71">
        <f>C20-C26</f>
        <v>896000</v>
      </c>
    </row>
    <row r="29" spans="1:3" ht="12.75">
      <c r="A29" s="44" t="s">
        <v>172</v>
      </c>
      <c r="B29" s="227"/>
      <c r="C29" s="90">
        <f>C19/C26</f>
        <v>1.9366197183098592</v>
      </c>
    </row>
    <row r="30" spans="1:3" ht="13.5" thickBot="1">
      <c r="A30" s="45" t="s">
        <v>173</v>
      </c>
      <c r="B30" s="228"/>
      <c r="C30" s="88">
        <f>C20/C26</f>
        <v>2.2619718309859156</v>
      </c>
    </row>
  </sheetData>
  <sheetProtection sheet="1" objects="1" scenarios="1"/>
  <mergeCells count="5">
    <mergeCell ref="A1:C1"/>
    <mergeCell ref="B6:C7"/>
    <mergeCell ref="B5:C5"/>
    <mergeCell ref="B3:C3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9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workbookViewId="0" topLeftCell="A1">
      <selection activeCell="B3" sqref="B3:C7"/>
    </sheetView>
  </sheetViews>
  <sheetFormatPr defaultColWidth="9.140625" defaultRowHeight="12.75"/>
  <cols>
    <col min="1" max="1" width="54.28125" style="0" customWidth="1"/>
    <col min="2" max="2" width="19.421875" style="0" bestFit="1" customWidth="1"/>
    <col min="3" max="3" width="17.7109375" style="0" customWidth="1"/>
  </cols>
  <sheetData>
    <row r="1" spans="1:3" s="63" customFormat="1" ht="18">
      <c r="A1" s="274" t="s">
        <v>79</v>
      </c>
      <c r="B1" s="275"/>
      <c r="C1" s="276"/>
    </row>
    <row r="2" spans="1:3" ht="12.75">
      <c r="A2" s="76"/>
      <c r="B2" s="64" t="s">
        <v>1</v>
      </c>
      <c r="C2" s="103" t="s">
        <v>175</v>
      </c>
    </row>
    <row r="3" spans="1:3" ht="12.75">
      <c r="A3" s="76" t="s">
        <v>30</v>
      </c>
      <c r="B3" s="265">
        <v>36062</v>
      </c>
      <c r="C3" s="266"/>
    </row>
    <row r="4" spans="1:3" ht="12.75">
      <c r="A4" s="44" t="s">
        <v>185</v>
      </c>
      <c r="B4" s="267" t="s">
        <v>193</v>
      </c>
      <c r="C4" s="268"/>
    </row>
    <row r="5" spans="1:3" ht="12.75">
      <c r="A5" s="44" t="s">
        <v>31</v>
      </c>
      <c r="B5" s="279" t="s">
        <v>32</v>
      </c>
      <c r="C5" s="280"/>
    </row>
    <row r="6" spans="1:3" ht="12.75">
      <c r="A6" s="76" t="s">
        <v>33</v>
      </c>
      <c r="B6" s="269" t="s">
        <v>78</v>
      </c>
      <c r="C6" s="270"/>
    </row>
    <row r="7" spans="1:3" ht="12.75">
      <c r="A7" s="9"/>
      <c r="B7" s="277"/>
      <c r="C7" s="278"/>
    </row>
    <row r="8" spans="1:3" s="80" customFormat="1" ht="15.75">
      <c r="A8" s="107" t="s">
        <v>201</v>
      </c>
      <c r="B8" s="121"/>
      <c r="C8" s="122"/>
    </row>
    <row r="9" spans="1:3" ht="12.75">
      <c r="A9" s="9" t="s">
        <v>80</v>
      </c>
      <c r="B9" s="219">
        <v>15</v>
      </c>
      <c r="C9" s="91"/>
    </row>
    <row r="10" spans="1:3" ht="12.75">
      <c r="A10" s="9" t="s">
        <v>218</v>
      </c>
      <c r="B10" s="219"/>
      <c r="C10" s="95">
        <f>1/B9*60</f>
        <v>4</v>
      </c>
    </row>
    <row r="11" spans="1:3" ht="12.75">
      <c r="A11" s="9" t="s">
        <v>213</v>
      </c>
      <c r="B11" s="221">
        <v>0.2</v>
      </c>
      <c r="C11" s="91"/>
    </row>
    <row r="12" spans="1:3" ht="12.75">
      <c r="A12" s="9" t="s">
        <v>216</v>
      </c>
      <c r="B12" s="219">
        <v>5</v>
      </c>
      <c r="C12" s="91"/>
    </row>
    <row r="13" spans="1:3" ht="12.75">
      <c r="A13" s="9" t="s">
        <v>217</v>
      </c>
      <c r="B13" s="219">
        <v>4</v>
      </c>
      <c r="C13" s="91"/>
    </row>
    <row r="14" spans="1:3" ht="12.75">
      <c r="A14" s="9" t="s">
        <v>214</v>
      </c>
      <c r="B14" s="221">
        <v>0</v>
      </c>
      <c r="C14" s="91"/>
    </row>
    <row r="15" spans="1:3" ht="12.75">
      <c r="A15" s="9" t="s">
        <v>215</v>
      </c>
      <c r="B15" s="221">
        <v>0.5</v>
      </c>
      <c r="C15" s="91"/>
    </row>
    <row r="16" spans="1:3" ht="12.75">
      <c r="A16" s="9" t="s">
        <v>219</v>
      </c>
      <c r="B16" s="221"/>
      <c r="C16" s="95">
        <f>C10-(C10*B11*(B12-B13)/B12*B15)</f>
        <v>3.92</v>
      </c>
    </row>
    <row r="17" spans="1:3" ht="12.75">
      <c r="A17" s="9" t="s">
        <v>220</v>
      </c>
      <c r="B17" s="219"/>
      <c r="C17" s="95">
        <f>1/C16*60</f>
        <v>15.306122448979592</v>
      </c>
    </row>
    <row r="18" spans="1:3" ht="12.75">
      <c r="A18" s="9" t="s">
        <v>212</v>
      </c>
      <c r="B18" s="219"/>
      <c r="C18" s="93">
        <f>(C17-B9)/B9</f>
        <v>0.0204081632653061</v>
      </c>
    </row>
    <row r="19" spans="1:3" ht="12.75">
      <c r="A19" s="9" t="s">
        <v>221</v>
      </c>
      <c r="B19" s="220">
        <v>50000</v>
      </c>
      <c r="C19" s="91"/>
    </row>
    <row r="20" spans="1:3" ht="12.75">
      <c r="A20" s="9" t="s">
        <v>222</v>
      </c>
      <c r="B20" s="220">
        <v>40000</v>
      </c>
      <c r="C20" s="91"/>
    </row>
    <row r="21" spans="1:3" ht="12.75">
      <c r="A21" s="9" t="s">
        <v>108</v>
      </c>
      <c r="B21" s="219">
        <v>5</v>
      </c>
      <c r="C21" s="91"/>
    </row>
    <row r="22" spans="1:3" ht="12.75">
      <c r="A22" s="9" t="s">
        <v>228</v>
      </c>
      <c r="B22" s="219"/>
      <c r="C22" s="124">
        <f>B19*B21/B9</f>
        <v>16666.666666666668</v>
      </c>
    </row>
    <row r="23" spans="1:3" ht="12.75">
      <c r="A23" s="9" t="s">
        <v>229</v>
      </c>
      <c r="B23" s="219"/>
      <c r="C23" s="124">
        <f>B19*B21/C17</f>
        <v>16333.333333333334</v>
      </c>
    </row>
    <row r="24" spans="1:3" ht="12.75">
      <c r="A24" s="9" t="s">
        <v>223</v>
      </c>
      <c r="B24" s="219"/>
      <c r="C24" s="124">
        <f>C22-C23</f>
        <v>333.33333333333394</v>
      </c>
    </row>
    <row r="25" spans="1:3" ht="12.75">
      <c r="A25" s="9" t="s">
        <v>224</v>
      </c>
      <c r="B25" s="219"/>
      <c r="C25" s="124">
        <f>C24*Baseline!B11</f>
        <v>83333.33333333349</v>
      </c>
    </row>
    <row r="26" spans="1:3" ht="12.75">
      <c r="A26" s="9" t="s">
        <v>230</v>
      </c>
      <c r="B26" s="219"/>
      <c r="C26" s="124">
        <f>B20*B21/B9</f>
        <v>13333.333333333334</v>
      </c>
    </row>
    <row r="27" spans="1:3" ht="12.75">
      <c r="A27" s="9" t="s">
        <v>227</v>
      </c>
      <c r="B27" s="219"/>
      <c r="C27" s="124">
        <f>B20*B21/C17</f>
        <v>13066.666666666666</v>
      </c>
    </row>
    <row r="28" spans="1:3" ht="12.75">
      <c r="A28" s="9" t="s">
        <v>225</v>
      </c>
      <c r="B28" s="219"/>
      <c r="C28" s="124">
        <f>C26-C27</f>
        <v>266.6666666666679</v>
      </c>
    </row>
    <row r="29" spans="1:3" ht="12.75">
      <c r="A29" s="9" t="s">
        <v>226</v>
      </c>
      <c r="B29" s="219"/>
      <c r="C29" s="124">
        <f>C28*365</f>
        <v>97333.33333333378</v>
      </c>
    </row>
    <row r="30" spans="1:3" ht="12.75">
      <c r="A30" s="9" t="s">
        <v>232</v>
      </c>
      <c r="B30" s="219">
        <v>0.3</v>
      </c>
      <c r="C30" s="124"/>
    </row>
    <row r="31" spans="1:3" ht="12.75">
      <c r="A31" s="9" t="s">
        <v>233</v>
      </c>
      <c r="B31" s="219"/>
      <c r="C31" s="124">
        <f>B19*C18*B30</f>
        <v>306.12244897959147</v>
      </c>
    </row>
    <row r="32" spans="1:3" ht="12.75">
      <c r="A32" s="9" t="s">
        <v>391</v>
      </c>
      <c r="B32" s="219"/>
      <c r="C32" s="124">
        <f>B20*C18*B30</f>
        <v>244.8979591836732</v>
      </c>
    </row>
    <row r="33" spans="1:3" ht="12.75">
      <c r="A33" s="9" t="s">
        <v>239</v>
      </c>
      <c r="B33" s="219"/>
      <c r="C33" s="142">
        <f>C31/Baseline!B49</f>
        <v>0.00030612244897959144</v>
      </c>
    </row>
    <row r="34" spans="1:3" s="80" customFormat="1" ht="15.75">
      <c r="A34" s="107" t="s">
        <v>176</v>
      </c>
      <c r="B34" s="223"/>
      <c r="C34" s="122"/>
    </row>
    <row r="35" spans="1:3" ht="12.75">
      <c r="A35" s="9" t="s">
        <v>231</v>
      </c>
      <c r="B35" s="219"/>
      <c r="C35" s="94">
        <f>C25*Baseline!B44</f>
        <v>916666.6666666684</v>
      </c>
    </row>
    <row r="36" spans="1:3" ht="12.75">
      <c r="A36" s="9" t="s">
        <v>211</v>
      </c>
      <c r="B36" s="219"/>
      <c r="C36" s="94">
        <f>C29*Baseline!B44</f>
        <v>1070666.6666666716</v>
      </c>
    </row>
    <row r="37" spans="1:3" ht="12.75">
      <c r="A37" s="44" t="s">
        <v>44</v>
      </c>
      <c r="B37" s="225">
        <v>3000000</v>
      </c>
      <c r="C37" s="66"/>
    </row>
    <row r="38" spans="1:3" ht="12.75">
      <c r="A38" s="44" t="s">
        <v>45</v>
      </c>
      <c r="B38" s="226">
        <v>10</v>
      </c>
      <c r="C38" s="66"/>
    </row>
    <row r="39" spans="1:3" ht="12.75">
      <c r="A39" s="44" t="s">
        <v>46</v>
      </c>
      <c r="B39" s="225">
        <v>300000</v>
      </c>
      <c r="C39" s="66"/>
    </row>
    <row r="40" spans="1:3" ht="12.75">
      <c r="A40" s="44" t="s">
        <v>395</v>
      </c>
      <c r="B40" s="225">
        <v>200000</v>
      </c>
      <c r="C40" s="66"/>
    </row>
    <row r="41" spans="1:3" ht="12.75">
      <c r="A41" s="44" t="s">
        <v>47</v>
      </c>
      <c r="B41" s="226"/>
      <c r="C41" s="66">
        <f>VLOOKUP(B38,ann_fac!A2:B23,2)</f>
        <v>0.142</v>
      </c>
    </row>
    <row r="42" spans="1:3" ht="12.75">
      <c r="A42" s="44" t="s">
        <v>48</v>
      </c>
      <c r="B42" s="226"/>
      <c r="C42" s="85">
        <f>B37*C41+B39-B40</f>
        <v>526000</v>
      </c>
    </row>
    <row r="43" spans="1:3" ht="25.5">
      <c r="A43" s="58" t="s">
        <v>376</v>
      </c>
      <c r="B43" s="188"/>
      <c r="C43" s="71">
        <f>C35-C42</f>
        <v>390666.6666666684</v>
      </c>
    </row>
    <row r="44" spans="1:3" ht="12.75">
      <c r="A44" s="58" t="s">
        <v>377</v>
      </c>
      <c r="B44" s="188"/>
      <c r="C44" s="71">
        <f>C36-C42</f>
        <v>544666.6666666716</v>
      </c>
    </row>
    <row r="45" spans="1:3" ht="12.75">
      <c r="A45" s="44" t="s">
        <v>172</v>
      </c>
      <c r="B45" s="226"/>
      <c r="C45" s="90">
        <f>C35/C42</f>
        <v>1.7427122940430957</v>
      </c>
    </row>
    <row r="46" spans="1:3" ht="13.5" thickBot="1">
      <c r="A46" s="45" t="s">
        <v>173</v>
      </c>
      <c r="B46" s="229"/>
      <c r="C46" s="88">
        <f>C36/C42</f>
        <v>2.0354879594423414</v>
      </c>
    </row>
  </sheetData>
  <sheetProtection sheet="1" objects="1" scenarios="1"/>
  <mergeCells count="5">
    <mergeCell ref="A1:C1"/>
    <mergeCell ref="B3:C3"/>
    <mergeCell ref="B5:C5"/>
    <mergeCell ref="B6:C7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3">
      <selection activeCell="B13" sqref="B13"/>
    </sheetView>
  </sheetViews>
  <sheetFormatPr defaultColWidth="9.140625" defaultRowHeight="12.75"/>
  <cols>
    <col min="1" max="1" width="53.140625" style="0" customWidth="1"/>
    <col min="2" max="2" width="17.28125" style="0" customWidth="1"/>
    <col min="3" max="3" width="15.8515625" style="0" customWidth="1"/>
  </cols>
  <sheetData>
    <row r="1" spans="1:3" s="63" customFormat="1" ht="18">
      <c r="A1" s="274" t="s">
        <v>107</v>
      </c>
      <c r="B1" s="275"/>
      <c r="C1" s="276"/>
    </row>
    <row r="2" spans="1:3" ht="12.75">
      <c r="A2" s="76"/>
      <c r="B2" s="125" t="s">
        <v>1</v>
      </c>
      <c r="C2" s="65" t="s">
        <v>175</v>
      </c>
    </row>
    <row r="3" spans="1:3" ht="12.75">
      <c r="A3" s="76" t="s">
        <v>30</v>
      </c>
      <c r="B3" s="293">
        <v>36062</v>
      </c>
      <c r="C3" s="294"/>
    </row>
    <row r="4" spans="1:3" ht="12.75">
      <c r="A4" s="44" t="s">
        <v>185</v>
      </c>
      <c r="B4" s="285" t="s">
        <v>193</v>
      </c>
      <c r="C4" s="286"/>
    </row>
    <row r="5" spans="1:3" ht="12.75">
      <c r="A5" s="44" t="s">
        <v>31</v>
      </c>
      <c r="B5" s="291" t="s">
        <v>32</v>
      </c>
      <c r="C5" s="292"/>
    </row>
    <row r="6" spans="1:3" ht="12.75">
      <c r="A6" s="104" t="s">
        <v>33</v>
      </c>
      <c r="B6" s="287" t="s">
        <v>109</v>
      </c>
      <c r="C6" s="288"/>
    </row>
    <row r="7" spans="1:3" ht="12.75">
      <c r="A7" s="9"/>
      <c r="B7" s="289"/>
      <c r="C7" s="290"/>
    </row>
    <row r="8" spans="1:3" s="77" customFormat="1" ht="15.75">
      <c r="A8" s="107" t="s">
        <v>251</v>
      </c>
      <c r="B8" s="111"/>
      <c r="C8" s="112"/>
    </row>
    <row r="9" spans="1:3" ht="12.75">
      <c r="A9" s="99" t="s">
        <v>112</v>
      </c>
      <c r="B9" s="219">
        <v>10</v>
      </c>
      <c r="C9" s="91"/>
    </row>
    <row r="10" spans="1:3" ht="12.75">
      <c r="A10" s="99" t="s">
        <v>244</v>
      </c>
      <c r="B10" s="219">
        <v>64</v>
      </c>
      <c r="C10" s="91"/>
    </row>
    <row r="11" spans="1:3" ht="12.75">
      <c r="A11" s="9" t="s">
        <v>80</v>
      </c>
      <c r="B11" s="219">
        <v>15</v>
      </c>
      <c r="C11" s="91"/>
    </row>
    <row r="12" spans="1:3" ht="12.75">
      <c r="A12" s="9" t="s">
        <v>245</v>
      </c>
      <c r="B12" s="221">
        <v>0.25</v>
      </c>
      <c r="C12" s="91"/>
    </row>
    <row r="13" spans="1:3" ht="12.75">
      <c r="A13" s="9" t="s">
        <v>246</v>
      </c>
      <c r="B13" s="221">
        <v>0.4</v>
      </c>
      <c r="C13" s="91"/>
    </row>
    <row r="14" spans="1:3" ht="12.75">
      <c r="A14" s="9" t="s">
        <v>247</v>
      </c>
      <c r="B14" s="221"/>
      <c r="C14" s="95">
        <f>1/B11*60</f>
        <v>4</v>
      </c>
    </row>
    <row r="15" spans="1:3" ht="12.75">
      <c r="A15" s="9" t="s">
        <v>248</v>
      </c>
      <c r="B15" s="221"/>
      <c r="C15" s="95">
        <f>C14-C14*B12*B13</f>
        <v>3.6</v>
      </c>
    </row>
    <row r="16" spans="1:3" ht="12.75">
      <c r="A16" s="9" t="s">
        <v>249</v>
      </c>
      <c r="B16" s="222"/>
      <c r="C16" s="95">
        <f>1/C15*60</f>
        <v>16.666666666666668</v>
      </c>
    </row>
    <row r="17" spans="1:3" ht="12.75">
      <c r="A17" s="9" t="s">
        <v>262</v>
      </c>
      <c r="B17" s="222"/>
      <c r="C17" s="93">
        <f>(C16-B11)/B11</f>
        <v>0.11111111111111119</v>
      </c>
    </row>
    <row r="18" spans="1:3" ht="12.75">
      <c r="A18" s="9" t="s">
        <v>113</v>
      </c>
      <c r="B18" s="222"/>
      <c r="C18" s="96">
        <f>B9*B10/B11-B9*B10/C16</f>
        <v>4.266666666666666</v>
      </c>
    </row>
    <row r="19" spans="1:3" ht="12.75">
      <c r="A19" s="9" t="s">
        <v>250</v>
      </c>
      <c r="B19" s="222"/>
      <c r="C19" s="92">
        <f>C18*Baseline!B11</f>
        <v>1066.6666666666665</v>
      </c>
    </row>
    <row r="20" spans="1:3" ht="12.75">
      <c r="A20" s="9" t="s">
        <v>106</v>
      </c>
      <c r="B20" s="220">
        <v>1800</v>
      </c>
      <c r="C20" s="91"/>
    </row>
    <row r="21" spans="1:3" ht="12.75">
      <c r="A21" s="9" t="s">
        <v>108</v>
      </c>
      <c r="B21" s="219">
        <v>5</v>
      </c>
      <c r="C21" s="91"/>
    </row>
    <row r="22" spans="1:3" ht="12.75">
      <c r="A22" s="9" t="s">
        <v>252</v>
      </c>
      <c r="B22" s="222"/>
      <c r="C22" s="124">
        <f>B20*B21/B11</f>
        <v>600</v>
      </c>
    </row>
    <row r="23" spans="1:3" ht="12.75">
      <c r="A23" s="9" t="s">
        <v>253</v>
      </c>
      <c r="B23" s="222"/>
      <c r="C23" s="124">
        <f>B20*B21/C16</f>
        <v>540</v>
      </c>
    </row>
    <row r="24" spans="1:3" ht="12.75">
      <c r="A24" s="9" t="s">
        <v>254</v>
      </c>
      <c r="B24" s="222"/>
      <c r="C24" s="124">
        <f>C22-C23</f>
        <v>60</v>
      </c>
    </row>
    <row r="25" spans="1:3" ht="12.75">
      <c r="A25" s="9" t="s">
        <v>224</v>
      </c>
      <c r="B25" s="222"/>
      <c r="C25" s="124">
        <f>C24*365</f>
        <v>21900</v>
      </c>
    </row>
    <row r="26" spans="1:3" ht="12.75">
      <c r="A26" s="9" t="s">
        <v>260</v>
      </c>
      <c r="B26" s="219">
        <v>0.3</v>
      </c>
      <c r="C26" s="124"/>
    </row>
    <row r="27" spans="1:3" ht="12.75">
      <c r="A27" s="9" t="s">
        <v>261</v>
      </c>
      <c r="B27" s="219"/>
      <c r="C27" s="124">
        <f>B20*C17*B26</f>
        <v>60.00000000000004</v>
      </c>
    </row>
    <row r="28" spans="1:3" ht="12.75">
      <c r="A28" s="9" t="s">
        <v>263</v>
      </c>
      <c r="B28" s="220">
        <v>25000</v>
      </c>
      <c r="C28" s="124"/>
    </row>
    <row r="29" spans="1:3" ht="12.75">
      <c r="A29" s="9" t="s">
        <v>264</v>
      </c>
      <c r="B29" s="222"/>
      <c r="C29" s="142">
        <f>C27/B28</f>
        <v>0.0024000000000000015</v>
      </c>
    </row>
    <row r="30" spans="1:3" ht="12.75">
      <c r="A30" s="9" t="s">
        <v>256</v>
      </c>
      <c r="B30" s="222"/>
      <c r="C30" s="94">
        <f>C25*Baseline!B44</f>
        <v>240900</v>
      </c>
    </row>
    <row r="31" spans="1:3" s="77" customFormat="1" ht="15.75">
      <c r="A31" s="107" t="s">
        <v>179</v>
      </c>
      <c r="B31" s="204"/>
      <c r="C31" s="126"/>
    </row>
    <row r="32" spans="1:3" ht="12.75">
      <c r="A32" s="9" t="s">
        <v>255</v>
      </c>
      <c r="B32" s="220">
        <v>50000</v>
      </c>
      <c r="C32" s="94"/>
    </row>
    <row r="33" spans="1:3" ht="12.75">
      <c r="A33" s="9" t="s">
        <v>110</v>
      </c>
      <c r="B33" s="221">
        <v>0.1</v>
      </c>
      <c r="C33" s="94"/>
    </row>
    <row r="34" spans="1:3" ht="12.75">
      <c r="A34" s="9" t="s">
        <v>111</v>
      </c>
      <c r="B34" s="219">
        <v>12</v>
      </c>
      <c r="C34" s="94"/>
    </row>
    <row r="35" spans="1:3" ht="12.75">
      <c r="A35" s="9" t="s">
        <v>392</v>
      </c>
      <c r="B35" s="222"/>
      <c r="C35" s="124">
        <f>B32*B33*B34/3600</f>
        <v>16.666666666666668</v>
      </c>
    </row>
    <row r="36" spans="1:3" ht="12.75">
      <c r="A36" s="9" t="s">
        <v>393</v>
      </c>
      <c r="B36" s="222"/>
      <c r="C36" s="124">
        <f>C35*Baseline!B41</f>
        <v>21.666666666666668</v>
      </c>
    </row>
    <row r="37" spans="1:3" ht="12.75">
      <c r="A37" s="9" t="s">
        <v>394</v>
      </c>
      <c r="B37" s="222"/>
      <c r="C37" s="124">
        <f>C36*365</f>
        <v>7908.333333333334</v>
      </c>
    </row>
    <row r="38" spans="1:3" ht="12.75">
      <c r="A38" s="9" t="s">
        <v>258</v>
      </c>
      <c r="B38" s="222"/>
      <c r="C38" s="94">
        <f>-C37*Baseline!C45</f>
        <v>-113089.16666666669</v>
      </c>
    </row>
    <row r="39" spans="1:3" s="80" customFormat="1" ht="15.75">
      <c r="A39" s="107" t="s">
        <v>176</v>
      </c>
      <c r="B39" s="195"/>
      <c r="C39" s="106"/>
    </row>
    <row r="40" spans="1:3" s="8" customFormat="1" ht="12.75">
      <c r="A40" s="100" t="s">
        <v>257</v>
      </c>
      <c r="B40" s="224"/>
      <c r="C40" s="152">
        <f>C30+C38</f>
        <v>127810.83333333331</v>
      </c>
    </row>
    <row r="41" spans="1:3" ht="12.75">
      <c r="A41" s="44" t="s">
        <v>44</v>
      </c>
      <c r="B41" s="225">
        <v>500000</v>
      </c>
      <c r="C41" s="66"/>
    </row>
    <row r="42" spans="1:3" ht="12.75">
      <c r="A42" s="44" t="s">
        <v>45</v>
      </c>
      <c r="B42" s="226">
        <v>10</v>
      </c>
      <c r="C42" s="66"/>
    </row>
    <row r="43" spans="1:3" ht="12.75">
      <c r="A43" s="44" t="s">
        <v>46</v>
      </c>
      <c r="B43" s="225">
        <v>50000</v>
      </c>
      <c r="C43" s="66"/>
    </row>
    <row r="44" spans="1:3" ht="12.75">
      <c r="A44" s="44" t="s">
        <v>259</v>
      </c>
      <c r="B44" s="225">
        <v>40</v>
      </c>
      <c r="C44" s="66"/>
    </row>
    <row r="45" spans="1:3" ht="12.75">
      <c r="A45" s="44" t="s">
        <v>114</v>
      </c>
      <c r="B45" s="230"/>
      <c r="C45" s="85">
        <f>C19*B44</f>
        <v>42666.66666666666</v>
      </c>
    </row>
    <row r="46" spans="1:3" ht="12.75">
      <c r="A46" s="44" t="s">
        <v>47</v>
      </c>
      <c r="B46" s="227"/>
      <c r="C46" s="66">
        <f>VLOOKUP(B42,ann_fac!A2:B23,2)</f>
        <v>0.142</v>
      </c>
    </row>
    <row r="47" spans="1:3" ht="12.75">
      <c r="A47" s="44" t="s">
        <v>48</v>
      </c>
      <c r="B47" s="227"/>
      <c r="C47" s="85">
        <f>B41*C46+B43-C45</f>
        <v>78333.33333333334</v>
      </c>
    </row>
    <row r="48" spans="1:3" ht="12.75">
      <c r="A48" s="58" t="s">
        <v>376</v>
      </c>
      <c r="B48" s="188"/>
      <c r="C48" s="71">
        <f>C40-C47</f>
        <v>49477.49999999997</v>
      </c>
    </row>
    <row r="49" spans="1:3" ht="13.5" thickBot="1">
      <c r="A49" s="45" t="s">
        <v>172</v>
      </c>
      <c r="B49" s="228"/>
      <c r="C49" s="155">
        <f>C40/C47</f>
        <v>1.6316276595744676</v>
      </c>
    </row>
  </sheetData>
  <sheetProtection sheet="1" objects="1" scenarios="1"/>
  <mergeCells count="5">
    <mergeCell ref="A1:C1"/>
    <mergeCell ref="B6:C7"/>
    <mergeCell ref="B5:C5"/>
    <mergeCell ref="B3:C3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">
      <selection activeCell="B4" sqref="B4:C8"/>
    </sheetView>
  </sheetViews>
  <sheetFormatPr defaultColWidth="9.140625" defaultRowHeight="12.75"/>
  <cols>
    <col min="1" max="1" width="53.28125" style="0" customWidth="1"/>
    <col min="2" max="2" width="25.57421875" style="0" customWidth="1"/>
    <col min="3" max="3" width="20.140625" style="0" customWidth="1"/>
  </cols>
  <sheetData>
    <row r="1" spans="1:3" s="63" customFormat="1" ht="18">
      <c r="A1" s="274" t="s">
        <v>81</v>
      </c>
      <c r="B1" s="275"/>
      <c r="C1" s="276"/>
    </row>
    <row r="2" spans="1:3" ht="12.75">
      <c r="A2" s="295" t="s">
        <v>99</v>
      </c>
      <c r="B2" s="296"/>
      <c r="C2" s="297"/>
    </row>
    <row r="3" spans="1:3" ht="12.75">
      <c r="A3" s="76"/>
      <c r="B3" s="127" t="s">
        <v>1</v>
      </c>
      <c r="C3" s="103" t="s">
        <v>175</v>
      </c>
    </row>
    <row r="4" spans="1:3" ht="12.75">
      <c r="A4" s="76" t="s">
        <v>30</v>
      </c>
      <c r="B4" s="265">
        <v>36062</v>
      </c>
      <c r="C4" s="266"/>
    </row>
    <row r="5" spans="1:3" ht="12.75">
      <c r="A5" s="44" t="s">
        <v>185</v>
      </c>
      <c r="B5" s="267" t="s">
        <v>234</v>
      </c>
      <c r="C5" s="268"/>
    </row>
    <row r="6" spans="1:3" ht="12.75">
      <c r="A6" s="44" t="s">
        <v>31</v>
      </c>
      <c r="B6" s="279" t="s">
        <v>32</v>
      </c>
      <c r="C6" s="280"/>
    </row>
    <row r="7" spans="1:3" ht="12.75">
      <c r="A7" s="76" t="s">
        <v>33</v>
      </c>
      <c r="B7" s="269" t="s">
        <v>82</v>
      </c>
      <c r="C7" s="270"/>
    </row>
    <row r="8" spans="1:3" ht="12.75">
      <c r="A8" s="9"/>
      <c r="B8" s="271"/>
      <c r="C8" s="272"/>
    </row>
    <row r="9" spans="1:3" s="80" customFormat="1" ht="15.75">
      <c r="A9" s="107" t="s">
        <v>238</v>
      </c>
      <c r="B9" s="128"/>
      <c r="C9" s="129"/>
    </row>
    <row r="10" spans="1:3" ht="12.75">
      <c r="A10" s="9" t="s">
        <v>235</v>
      </c>
      <c r="B10" s="217">
        <v>100000</v>
      </c>
      <c r="C10" s="91"/>
    </row>
    <row r="11" spans="1:3" ht="12.75">
      <c r="A11" s="9" t="s">
        <v>90</v>
      </c>
      <c r="B11" s="198"/>
      <c r="C11" s="91"/>
    </row>
    <row r="12" spans="1:3" ht="12.75">
      <c r="A12" s="9" t="s">
        <v>91</v>
      </c>
      <c r="B12" s="214">
        <v>0.5</v>
      </c>
      <c r="C12" s="91"/>
    </row>
    <row r="13" spans="1:3" ht="12.75">
      <c r="A13" s="9" t="s">
        <v>92</v>
      </c>
      <c r="B13" s="214">
        <v>0.45</v>
      </c>
      <c r="C13" s="91"/>
    </row>
    <row r="14" spans="1:3" ht="12.75">
      <c r="A14" s="9" t="s">
        <v>93</v>
      </c>
      <c r="B14" s="214">
        <v>0.05</v>
      </c>
      <c r="C14" s="91"/>
    </row>
    <row r="15" spans="1:3" ht="12.75">
      <c r="A15" s="9" t="s">
        <v>84</v>
      </c>
      <c r="B15" s="214"/>
      <c r="C15" s="153">
        <f>SUM(B12:B14)</f>
        <v>1</v>
      </c>
    </row>
    <row r="16" spans="1:3" ht="12.75">
      <c r="A16" s="9" t="s">
        <v>83</v>
      </c>
      <c r="B16" s="214"/>
      <c r="C16" s="91"/>
    </row>
    <row r="17" spans="1:3" ht="12.75">
      <c r="A17" s="9" t="s">
        <v>86</v>
      </c>
      <c r="B17" s="214">
        <v>0.4</v>
      </c>
      <c r="C17" s="91"/>
    </row>
    <row r="18" spans="1:3" ht="12.75">
      <c r="A18" s="9" t="s">
        <v>87</v>
      </c>
      <c r="B18" s="214">
        <v>0.25</v>
      </c>
      <c r="C18" s="91"/>
    </row>
    <row r="19" spans="1:3" ht="12.75">
      <c r="A19" s="9" t="s">
        <v>88</v>
      </c>
      <c r="B19" s="214">
        <v>0.35</v>
      </c>
      <c r="C19" s="91"/>
    </row>
    <row r="20" spans="1:3" ht="12.75">
      <c r="A20" s="9" t="s">
        <v>89</v>
      </c>
      <c r="B20" s="214">
        <v>0</v>
      </c>
      <c r="C20" s="91"/>
    </row>
    <row r="21" spans="1:3" ht="12.75">
      <c r="A21" s="9" t="s">
        <v>85</v>
      </c>
      <c r="B21" s="198"/>
      <c r="C21" s="153">
        <f>SUM(B17:B20)</f>
        <v>1</v>
      </c>
    </row>
    <row r="22" spans="1:3" ht="12.75">
      <c r="A22" s="9"/>
      <c r="B22" s="198"/>
      <c r="C22" s="91"/>
    </row>
    <row r="23" spans="1:3" ht="12.75">
      <c r="A23" s="9" t="s">
        <v>98</v>
      </c>
      <c r="B23" s="198"/>
      <c r="C23" s="91"/>
    </row>
    <row r="24" spans="1:3" ht="12.75">
      <c r="A24" s="9" t="s">
        <v>94</v>
      </c>
      <c r="B24" s="198">
        <v>4</v>
      </c>
      <c r="C24" s="91"/>
    </row>
    <row r="25" spans="1:3" ht="12.75">
      <c r="A25" s="9" t="s">
        <v>95</v>
      </c>
      <c r="B25" s="198">
        <v>12</v>
      </c>
      <c r="C25" s="91"/>
    </row>
    <row r="26" spans="1:3" ht="12.75">
      <c r="A26" s="9" t="s">
        <v>96</v>
      </c>
      <c r="B26" s="198">
        <v>20</v>
      </c>
      <c r="C26" s="91"/>
    </row>
    <row r="27" spans="1:3" ht="12.75">
      <c r="A27" s="9" t="s">
        <v>97</v>
      </c>
      <c r="B27" s="198">
        <v>8</v>
      </c>
      <c r="C27" s="91"/>
    </row>
    <row r="28" spans="1:3" ht="12.75">
      <c r="A28" s="9"/>
      <c r="B28" s="198"/>
      <c r="C28" s="91"/>
    </row>
    <row r="29" spans="1:3" ht="12.75">
      <c r="A29" s="9" t="s">
        <v>101</v>
      </c>
      <c r="B29" s="198"/>
      <c r="C29" s="124">
        <f>B10*(B12*B25+B13*B26+B14*B27)/3600</f>
        <v>427.77777777777777</v>
      </c>
    </row>
    <row r="30" spans="1:3" ht="12.75">
      <c r="A30" s="9" t="s">
        <v>100</v>
      </c>
      <c r="B30" s="198"/>
      <c r="C30" s="124">
        <f>B10*(B17*B24+B18*B25+B19*B26+B20*B27)/3600</f>
        <v>322.22222222222223</v>
      </c>
    </row>
    <row r="31" spans="1:3" ht="12.75">
      <c r="A31" s="9" t="s">
        <v>236</v>
      </c>
      <c r="B31" s="198"/>
      <c r="C31" s="124">
        <f>C29-C30</f>
        <v>105.55555555555554</v>
      </c>
    </row>
    <row r="32" spans="1:3" ht="12.75">
      <c r="A32" s="9" t="s">
        <v>237</v>
      </c>
      <c r="B32" s="198"/>
      <c r="C32" s="124">
        <f>C31*Baseline!B11</f>
        <v>26388.888888888887</v>
      </c>
    </row>
    <row r="33" spans="1:3" s="77" customFormat="1" ht="15.75">
      <c r="A33" s="107" t="s">
        <v>265</v>
      </c>
      <c r="B33" s="231"/>
      <c r="C33" s="112"/>
    </row>
    <row r="34" spans="1:3" s="55" customFormat="1" ht="12.75">
      <c r="A34" s="100" t="s">
        <v>397</v>
      </c>
      <c r="B34" s="226"/>
      <c r="C34" s="151">
        <f>C32*Baseline!C45</f>
        <v>377361.1111111111</v>
      </c>
    </row>
    <row r="35" spans="1:3" s="55" customFormat="1" ht="12.75">
      <c r="A35" s="100" t="s">
        <v>396</v>
      </c>
      <c r="B35" s="226"/>
      <c r="C35" s="94">
        <f>C34/Baseline!B16*365/250</f>
        <v>512175.5342774214</v>
      </c>
    </row>
    <row r="36" spans="1:3" ht="12.75">
      <c r="A36" s="44" t="s">
        <v>44</v>
      </c>
      <c r="B36" s="196">
        <v>1000000</v>
      </c>
      <c r="C36" s="66"/>
    </row>
    <row r="37" spans="1:3" ht="12.75">
      <c r="A37" s="44" t="s">
        <v>45</v>
      </c>
      <c r="B37" s="185">
        <v>10</v>
      </c>
      <c r="C37" s="66"/>
    </row>
    <row r="38" spans="1:3" ht="12.75">
      <c r="A38" s="44" t="s">
        <v>46</v>
      </c>
      <c r="B38" s="196">
        <v>500000</v>
      </c>
      <c r="C38" s="66"/>
    </row>
    <row r="39" spans="1:3" ht="12.75">
      <c r="A39" s="44" t="s">
        <v>395</v>
      </c>
      <c r="B39" s="196">
        <v>600000</v>
      </c>
      <c r="C39" s="66"/>
    </row>
    <row r="40" spans="1:3" ht="12.75">
      <c r="A40" s="44" t="s">
        <v>47</v>
      </c>
      <c r="B40" s="185"/>
      <c r="C40" s="66">
        <f>VLOOKUP(B37,ann_fac!A2:B23,2)</f>
        <v>0.142</v>
      </c>
    </row>
    <row r="41" spans="1:3" ht="12.75">
      <c r="A41" s="44" t="s">
        <v>48</v>
      </c>
      <c r="B41" s="185"/>
      <c r="C41" s="85">
        <f>B36*C40+B38-B39</f>
        <v>42000</v>
      </c>
    </row>
    <row r="42" spans="1:3" ht="25.5">
      <c r="A42" s="58" t="s">
        <v>376</v>
      </c>
      <c r="B42" s="188"/>
      <c r="C42" s="71">
        <f>C34-C41</f>
        <v>335361.1111111111</v>
      </c>
    </row>
    <row r="43" spans="1:3" ht="12.75">
      <c r="A43" s="58" t="s">
        <v>377</v>
      </c>
      <c r="B43" s="188"/>
      <c r="C43" s="71">
        <f>C35-C41</f>
        <v>470175.5342774214</v>
      </c>
    </row>
    <row r="44" spans="1:3" ht="12.75">
      <c r="A44" s="44" t="s">
        <v>172</v>
      </c>
      <c r="B44" s="185"/>
      <c r="C44" s="90">
        <f>C34/C41</f>
        <v>8.98478835978836</v>
      </c>
    </row>
    <row r="45" spans="1:3" ht="13.5" thickBot="1">
      <c r="A45" s="45" t="s">
        <v>173</v>
      </c>
      <c r="B45" s="232"/>
      <c r="C45" s="88">
        <f>C44/Baseline!B16*365/250</f>
        <v>12.194655578033844</v>
      </c>
    </row>
  </sheetData>
  <sheetProtection sheet="1" objects="1" scenarios="1"/>
  <mergeCells count="6">
    <mergeCell ref="B6:C6"/>
    <mergeCell ref="B7:C8"/>
    <mergeCell ref="A1:C1"/>
    <mergeCell ref="A2:C2"/>
    <mergeCell ref="B4:C4"/>
    <mergeCell ref="B5:C5"/>
  </mergeCells>
  <printOptions horizontalCentered="1"/>
  <pageMargins left="0.5" right="0.5" top="0.75" bottom="0.75" header="0.5" footer="0.5"/>
  <pageSetup fitToHeight="1" fitToWidth="1" horizontalDpi="600" verticalDpi="600" orientation="portrait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C17" sqref="C17"/>
    </sheetView>
  </sheetViews>
  <sheetFormatPr defaultColWidth="9.140625" defaultRowHeight="12.75"/>
  <cols>
    <col min="1" max="1" width="53.140625" style="0" customWidth="1"/>
    <col min="2" max="2" width="11.421875" style="0" customWidth="1"/>
    <col min="3" max="3" width="10.57421875" style="0" bestFit="1" customWidth="1"/>
  </cols>
  <sheetData>
    <row r="1" ht="12.75">
      <c r="A1" s="8" t="s">
        <v>155</v>
      </c>
    </row>
    <row r="2" ht="13.5" thickBot="1"/>
    <row r="3" spans="1:6" ht="13.5" customHeight="1">
      <c r="A3" s="161" t="s">
        <v>0</v>
      </c>
      <c r="B3" s="160" t="s">
        <v>1</v>
      </c>
      <c r="C3" s="4" t="s">
        <v>2</v>
      </c>
      <c r="D3" s="4"/>
      <c r="E3" s="3"/>
      <c r="F3" s="162"/>
    </row>
    <row r="4" spans="1:6" ht="13.5" customHeight="1">
      <c r="A4" s="163" t="s">
        <v>157</v>
      </c>
      <c r="B4" s="176" t="s">
        <v>337</v>
      </c>
      <c r="C4" s="5"/>
      <c r="D4" s="5"/>
      <c r="E4" s="1"/>
      <c r="F4" s="164"/>
    </row>
    <row r="5" spans="1:6" ht="13.5" customHeight="1">
      <c r="A5" s="163" t="s">
        <v>30</v>
      </c>
      <c r="B5" s="177">
        <v>36172</v>
      </c>
      <c r="C5" s="5"/>
      <c r="D5" s="5"/>
      <c r="E5" s="1"/>
      <c r="F5" s="164"/>
    </row>
    <row r="6" spans="1:6" ht="13.5" customHeight="1">
      <c r="A6" s="163" t="s">
        <v>361</v>
      </c>
      <c r="B6" s="176">
        <v>1999</v>
      </c>
      <c r="C6" s="5"/>
      <c r="D6" s="5"/>
      <c r="E6" s="1"/>
      <c r="F6" s="164"/>
    </row>
    <row r="7" spans="1:6" ht="13.5" customHeight="1">
      <c r="A7" s="163" t="s">
        <v>362</v>
      </c>
      <c r="B7" s="176" t="s">
        <v>363</v>
      </c>
      <c r="C7" s="5"/>
      <c r="D7" s="5"/>
      <c r="E7" s="1"/>
      <c r="F7" s="164"/>
    </row>
    <row r="8" spans="1:6" ht="13.5" customHeight="1">
      <c r="A8" s="163" t="s">
        <v>3</v>
      </c>
      <c r="B8" s="176">
        <v>10</v>
      </c>
      <c r="C8" s="5"/>
      <c r="D8" s="5"/>
      <c r="E8" s="1"/>
      <c r="F8" s="164"/>
    </row>
    <row r="9" spans="1:6" ht="13.5" customHeight="1">
      <c r="A9" s="163" t="s">
        <v>4</v>
      </c>
      <c r="B9" s="176">
        <v>10</v>
      </c>
      <c r="C9" s="5"/>
      <c r="D9" s="5"/>
      <c r="E9" s="1"/>
      <c r="F9" s="164"/>
    </row>
    <row r="10" spans="1:6" ht="13.5" customHeight="1">
      <c r="A10" s="163" t="s">
        <v>5</v>
      </c>
      <c r="B10" s="176">
        <v>0.5</v>
      </c>
      <c r="C10" s="5"/>
      <c r="D10" s="5"/>
      <c r="E10" s="1"/>
      <c r="F10" s="164"/>
    </row>
    <row r="11" spans="1:6" ht="13.5" customHeight="1">
      <c r="A11" s="163" t="s">
        <v>105</v>
      </c>
      <c r="B11" s="176">
        <v>250</v>
      </c>
      <c r="C11" s="5"/>
      <c r="D11" s="5"/>
      <c r="E11" s="1"/>
      <c r="F11" s="164"/>
    </row>
    <row r="12" spans="1:6" ht="13.5" customHeight="1">
      <c r="A12" s="163"/>
      <c r="B12" s="176"/>
      <c r="C12" s="5"/>
      <c r="D12" s="5"/>
      <c r="E12" s="1"/>
      <c r="F12" s="164"/>
    </row>
    <row r="13" spans="1:6" ht="13.5" customHeight="1">
      <c r="A13" s="163" t="s">
        <v>240</v>
      </c>
      <c r="B13" s="176"/>
      <c r="C13" s="5"/>
      <c r="D13" s="5"/>
      <c r="E13" s="1"/>
      <c r="F13" s="164"/>
    </row>
    <row r="14" spans="1:6" ht="13.5" customHeight="1">
      <c r="A14" s="163" t="s">
        <v>6</v>
      </c>
      <c r="B14" s="178">
        <v>1000000</v>
      </c>
      <c r="C14" s="5"/>
      <c r="D14" s="5"/>
      <c r="E14" s="1"/>
      <c r="F14" s="164"/>
    </row>
    <row r="15" spans="1:6" ht="13.5" customHeight="1">
      <c r="A15" s="163" t="s">
        <v>7</v>
      </c>
      <c r="B15" s="178">
        <v>200000</v>
      </c>
      <c r="C15" s="5"/>
      <c r="D15" s="5"/>
      <c r="E15" s="1"/>
      <c r="F15" s="164"/>
    </row>
    <row r="16" spans="1:6" ht="13.5" customHeight="1">
      <c r="A16" s="163" t="s">
        <v>73</v>
      </c>
      <c r="B16" s="176">
        <v>1.0757</v>
      </c>
      <c r="C16" s="5"/>
      <c r="D16" s="5"/>
      <c r="E16" s="1"/>
      <c r="F16" s="164"/>
    </row>
    <row r="17" spans="1:6" ht="13.5" customHeight="1">
      <c r="A17" s="163" t="s">
        <v>62</v>
      </c>
      <c r="B17" s="176"/>
      <c r="C17" s="5" t="s">
        <v>188</v>
      </c>
      <c r="D17" s="5"/>
      <c r="E17" s="1"/>
      <c r="F17" s="164"/>
    </row>
    <row r="18" spans="1:6" ht="13.5" customHeight="1">
      <c r="A18" s="163" t="s">
        <v>6</v>
      </c>
      <c r="B18" s="176">
        <v>12</v>
      </c>
      <c r="C18" s="17">
        <f>VLOOKUP(B18,FwySpeed!B4:C155,2)</f>
        <v>41.11</v>
      </c>
      <c r="D18" s="17"/>
      <c r="E18" s="1"/>
      <c r="F18" s="164"/>
    </row>
    <row r="19" spans="1:6" ht="13.5" customHeight="1">
      <c r="A19" s="163" t="s">
        <v>7</v>
      </c>
      <c r="B19" s="176">
        <v>8</v>
      </c>
      <c r="C19" s="17">
        <f>VLOOKUP(B19,ArtSpeed!C5:D155,2)</f>
        <v>18.04</v>
      </c>
      <c r="D19" s="17"/>
      <c r="E19" s="1"/>
      <c r="F19" s="164"/>
    </row>
    <row r="20" spans="1:6" ht="15" customHeight="1">
      <c r="A20" s="163"/>
      <c r="B20" s="176"/>
      <c r="C20" s="5"/>
      <c r="D20" s="5"/>
      <c r="E20" s="1"/>
      <c r="F20" s="164"/>
    </row>
    <row r="21" spans="1:6" ht="13.5" customHeight="1">
      <c r="A21" s="163" t="s">
        <v>8</v>
      </c>
      <c r="B21" s="179" t="s">
        <v>9</v>
      </c>
      <c r="C21" s="5"/>
      <c r="D21" s="5"/>
      <c r="E21" s="1"/>
      <c r="F21" s="164"/>
    </row>
    <row r="22" spans="1:6" ht="13.5" customHeight="1">
      <c r="A22" s="163" t="s">
        <v>163</v>
      </c>
      <c r="B22" s="176"/>
      <c r="C22" s="5"/>
      <c r="D22" s="5"/>
      <c r="E22" s="1"/>
      <c r="F22" s="164"/>
    </row>
    <row r="23" spans="1:6" ht="13.5" customHeight="1">
      <c r="A23" s="163" t="s">
        <v>6</v>
      </c>
      <c r="B23" s="178"/>
      <c r="C23" s="6">
        <f>B14/C18</f>
        <v>24324.98175626368</v>
      </c>
      <c r="D23" s="5"/>
      <c r="E23" s="1"/>
      <c r="F23" s="164"/>
    </row>
    <row r="24" spans="1:6" ht="13.5" customHeight="1">
      <c r="A24" s="163" t="s">
        <v>7</v>
      </c>
      <c r="B24" s="178"/>
      <c r="C24" s="6">
        <f>B15/C19</f>
        <v>11086.474501108649</v>
      </c>
      <c r="D24" s="5"/>
      <c r="E24" s="1"/>
      <c r="F24" s="164"/>
    </row>
    <row r="25" spans="1:6" ht="13.5" customHeight="1">
      <c r="A25" s="163" t="s">
        <v>164</v>
      </c>
      <c r="B25" s="178"/>
      <c r="C25" s="6"/>
      <c r="D25" s="5"/>
      <c r="E25" s="1"/>
      <c r="F25" s="164"/>
    </row>
    <row r="26" spans="1:6" ht="13.5" customHeight="1">
      <c r="A26" s="163" t="s">
        <v>6</v>
      </c>
      <c r="B26" s="178">
        <v>30000</v>
      </c>
      <c r="C26" s="147">
        <f>IF(B21="C",C23,B26)</f>
        <v>24324.98175626368</v>
      </c>
      <c r="D26" s="146"/>
      <c r="E26" s="1"/>
      <c r="F26" s="164"/>
    </row>
    <row r="27" spans="1:6" ht="13.5" customHeight="1">
      <c r="A27" s="163" t="s">
        <v>7</v>
      </c>
      <c r="B27" s="178">
        <v>10000</v>
      </c>
      <c r="C27" s="147">
        <f>IF(B21="C",C24,B27)</f>
        <v>11086.474501108649</v>
      </c>
      <c r="D27" s="5"/>
      <c r="E27" s="1"/>
      <c r="F27" s="164"/>
    </row>
    <row r="28" spans="1:6" ht="13.5" customHeight="1">
      <c r="A28" s="163"/>
      <c r="B28" s="176"/>
      <c r="C28" s="148"/>
      <c r="D28" s="5"/>
      <c r="E28" s="1"/>
      <c r="F28" s="164"/>
    </row>
    <row r="29" spans="1:6" ht="13.5" customHeight="1">
      <c r="A29" s="163" t="s">
        <v>156</v>
      </c>
      <c r="B29" s="179" t="s">
        <v>9</v>
      </c>
      <c r="C29" s="148"/>
      <c r="D29" s="5"/>
      <c r="E29" s="1"/>
      <c r="F29" s="164"/>
    </row>
    <row r="30" spans="1:6" ht="13.5" customHeight="1">
      <c r="A30" s="163" t="s">
        <v>338</v>
      </c>
      <c r="B30" s="176"/>
      <c r="C30" s="149">
        <f>VLOOKUP(B18,inc_pct!A6:D23,3)*B10+VLOOKUP(B18,inc_pct!A24:D41,3)*(1-B10)</f>
        <v>0.2365</v>
      </c>
      <c r="D30" s="5"/>
      <c r="E30" s="1"/>
      <c r="F30" s="164"/>
    </row>
    <row r="31" spans="1:6" ht="13.5" customHeight="1">
      <c r="A31" s="163" t="s">
        <v>339</v>
      </c>
      <c r="B31" s="180">
        <v>0.3</v>
      </c>
      <c r="C31" s="149">
        <f>IF(B29="C",C30,B31)</f>
        <v>0.2365</v>
      </c>
      <c r="D31" s="5"/>
      <c r="E31" s="1"/>
      <c r="F31" s="164"/>
    </row>
    <row r="32" spans="1:6" ht="13.5" customHeight="1">
      <c r="A32" s="163" t="s">
        <v>340</v>
      </c>
      <c r="B32" s="178"/>
      <c r="C32" s="6">
        <f>C31*C26</f>
        <v>5752.85818535636</v>
      </c>
      <c r="D32" s="5"/>
      <c r="E32" s="1"/>
      <c r="F32" s="164"/>
    </row>
    <row r="33" spans="1:6" ht="13.5" customHeight="1">
      <c r="A33" s="163"/>
      <c r="B33" s="176"/>
      <c r="C33" s="5"/>
      <c r="D33" s="5"/>
      <c r="E33" s="1"/>
      <c r="F33" s="164"/>
    </row>
    <row r="34" spans="1:6" ht="13.5" customHeight="1">
      <c r="A34" s="163" t="s">
        <v>359</v>
      </c>
      <c r="B34" s="176"/>
      <c r="C34" s="5"/>
      <c r="D34" s="5"/>
      <c r="E34" s="1"/>
      <c r="F34" s="164"/>
    </row>
    <row r="35" spans="1:6" ht="13.5" customHeight="1">
      <c r="A35" s="163" t="s">
        <v>6</v>
      </c>
      <c r="B35" s="181"/>
      <c r="C35" s="18">
        <f>B14/C23</f>
        <v>41.11</v>
      </c>
      <c r="D35" s="5"/>
      <c r="E35" s="1"/>
      <c r="F35" s="164"/>
    </row>
    <row r="36" spans="1:6" ht="13.5" customHeight="1">
      <c r="A36" s="163" t="s">
        <v>7</v>
      </c>
      <c r="B36" s="181"/>
      <c r="C36" s="18">
        <f>B15/C24</f>
        <v>18.04</v>
      </c>
      <c r="D36" s="5"/>
      <c r="E36" s="1"/>
      <c r="F36" s="164"/>
    </row>
    <row r="37" spans="1:6" ht="13.5" customHeight="1">
      <c r="A37" s="163" t="s">
        <v>358</v>
      </c>
      <c r="B37" s="176"/>
      <c r="C37" s="18"/>
      <c r="D37" s="5"/>
      <c r="E37" s="1"/>
      <c r="F37" s="164"/>
    </row>
    <row r="38" spans="1:6" ht="13.5" customHeight="1">
      <c r="A38" s="163" t="s">
        <v>6</v>
      </c>
      <c r="B38" s="181"/>
      <c r="C38" s="18">
        <f>B14/(C26+C32)</f>
        <v>33.24706833805095</v>
      </c>
      <c r="D38" s="5"/>
      <c r="E38" s="1"/>
      <c r="F38" s="164"/>
    </row>
    <row r="39" spans="1:6" ht="13.5" customHeight="1">
      <c r="A39" s="163" t="s">
        <v>7</v>
      </c>
      <c r="B39" s="181"/>
      <c r="C39" s="18">
        <f>B15/(C27)</f>
        <v>18.04</v>
      </c>
      <c r="D39" s="5"/>
      <c r="E39" s="1"/>
      <c r="F39" s="164"/>
    </row>
    <row r="40" spans="1:6" ht="13.5" customHeight="1">
      <c r="A40" s="163"/>
      <c r="B40" s="176"/>
      <c r="C40" s="5"/>
      <c r="D40" s="5"/>
      <c r="E40" s="1"/>
      <c r="F40" s="164"/>
    </row>
    <row r="41" spans="1:6" ht="13.5" customHeight="1">
      <c r="A41" s="163" t="s">
        <v>10</v>
      </c>
      <c r="B41" s="176">
        <v>1.3</v>
      </c>
      <c r="C41" s="5"/>
      <c r="D41" s="5"/>
      <c r="E41" s="1"/>
      <c r="F41" s="164"/>
    </row>
    <row r="42" spans="1:6" ht="13.5" customHeight="1">
      <c r="A42" s="163"/>
      <c r="B42" s="176"/>
      <c r="C42" s="5"/>
      <c r="D42" s="5"/>
      <c r="E42" s="1"/>
      <c r="F42" s="164"/>
    </row>
    <row r="43" spans="1:6" ht="13.5" customHeight="1">
      <c r="A43" s="163" t="s">
        <v>11</v>
      </c>
      <c r="B43" s="176"/>
      <c r="C43" s="5"/>
      <c r="D43" s="5"/>
      <c r="E43" s="1"/>
      <c r="F43" s="164"/>
    </row>
    <row r="44" spans="1:6" ht="13.5" customHeight="1">
      <c r="A44" s="163" t="s">
        <v>12</v>
      </c>
      <c r="B44" s="182">
        <v>11</v>
      </c>
      <c r="C44" s="5"/>
      <c r="D44" s="5"/>
      <c r="E44" s="1"/>
      <c r="F44" s="164"/>
    </row>
    <row r="45" spans="1:6" ht="13.5" customHeight="1">
      <c r="A45" s="163" t="s">
        <v>360</v>
      </c>
      <c r="B45" s="182"/>
      <c r="C45" s="19">
        <f>B44*B41</f>
        <v>14.3</v>
      </c>
      <c r="D45" s="5"/>
      <c r="E45" s="1"/>
      <c r="F45" s="164"/>
    </row>
    <row r="46" spans="1:6" ht="13.5" customHeight="1">
      <c r="A46" s="163"/>
      <c r="B46" s="176"/>
      <c r="C46" s="5"/>
      <c r="D46" s="5"/>
      <c r="E46" s="1"/>
      <c r="F46" s="164"/>
    </row>
    <row r="47" spans="1:6" ht="13.5" customHeight="1">
      <c r="A47" s="163" t="s">
        <v>241</v>
      </c>
      <c r="B47" s="176">
        <v>12.8</v>
      </c>
      <c r="C47" s="5"/>
      <c r="D47" s="5"/>
      <c r="E47" s="1"/>
      <c r="F47" s="164"/>
    </row>
    <row r="48" spans="1:6" ht="13.5" customHeight="1">
      <c r="A48" s="163" t="s">
        <v>242</v>
      </c>
      <c r="B48" s="176">
        <v>21.25</v>
      </c>
      <c r="C48" s="5"/>
      <c r="D48" s="5"/>
      <c r="E48" s="1"/>
      <c r="F48" s="164"/>
    </row>
    <row r="49" spans="1:6" ht="13.5" customHeight="1">
      <c r="A49" s="163" t="s">
        <v>243</v>
      </c>
      <c r="B49" s="178">
        <v>1000000</v>
      </c>
      <c r="C49" s="5"/>
      <c r="D49" s="5"/>
      <c r="E49" s="1"/>
      <c r="F49" s="164"/>
    </row>
    <row r="50" spans="1:6" ht="13.5" customHeight="1">
      <c r="A50" s="163"/>
      <c r="B50" s="176"/>
      <c r="C50" s="5"/>
      <c r="D50" s="5"/>
      <c r="E50" s="1"/>
      <c r="F50" s="164"/>
    </row>
    <row r="51" spans="1:6" ht="13.5" customHeight="1">
      <c r="A51" s="163" t="s">
        <v>158</v>
      </c>
      <c r="B51" s="176"/>
      <c r="C51" s="5"/>
      <c r="D51" s="5"/>
      <c r="E51" s="1"/>
      <c r="F51" s="164"/>
    </row>
    <row r="52" spans="1:6" ht="13.5" customHeight="1">
      <c r="A52" s="163" t="s">
        <v>13</v>
      </c>
      <c r="B52" s="176">
        <v>40</v>
      </c>
      <c r="C52" s="5"/>
      <c r="D52" s="5"/>
      <c r="E52" s="1"/>
      <c r="F52" s="164"/>
    </row>
    <row r="53" spans="1:6" ht="13.5" customHeight="1">
      <c r="A53" s="163"/>
      <c r="B53" s="176"/>
      <c r="C53" s="5"/>
      <c r="D53" s="5"/>
      <c r="E53" s="1"/>
      <c r="F53" s="164"/>
    </row>
    <row r="54" spans="1:6" ht="13.5" customHeight="1">
      <c r="A54" s="163" t="s">
        <v>14</v>
      </c>
      <c r="B54" s="176"/>
      <c r="C54" s="5"/>
      <c r="D54" s="5"/>
      <c r="E54" s="1"/>
      <c r="F54" s="164"/>
    </row>
    <row r="55" spans="1:6" ht="13.5" customHeight="1">
      <c r="A55" s="163" t="s">
        <v>15</v>
      </c>
      <c r="B55" s="176"/>
      <c r="C55" s="5"/>
      <c r="D55" s="5"/>
      <c r="E55" s="1"/>
      <c r="F55" s="164"/>
    </row>
    <row r="56" spans="1:6" ht="13.5" customHeight="1">
      <c r="A56" s="163" t="s">
        <v>16</v>
      </c>
      <c r="B56" s="176">
        <v>1.1</v>
      </c>
      <c r="C56" s="5"/>
      <c r="D56" s="5"/>
      <c r="E56" s="1"/>
      <c r="F56" s="164"/>
    </row>
    <row r="57" spans="1:6" ht="13.5" customHeight="1">
      <c r="A57" s="163" t="s">
        <v>17</v>
      </c>
      <c r="B57" s="176"/>
      <c r="C57" s="5">
        <f>B14*B56/1000000</f>
        <v>1.1</v>
      </c>
      <c r="D57" s="5"/>
      <c r="E57" s="1"/>
      <c r="F57" s="164"/>
    </row>
    <row r="58" spans="1:6" ht="13.5" customHeight="1">
      <c r="A58" s="163" t="s">
        <v>65</v>
      </c>
      <c r="B58" s="183">
        <v>0.1</v>
      </c>
      <c r="C58" s="5"/>
      <c r="D58" s="5"/>
      <c r="E58" s="1"/>
      <c r="F58" s="164"/>
    </row>
    <row r="59" spans="1:6" ht="13.5" customHeight="1">
      <c r="A59" s="163" t="s">
        <v>18</v>
      </c>
      <c r="B59" s="176"/>
      <c r="C59" s="5"/>
      <c r="D59" s="5"/>
      <c r="E59" s="1"/>
      <c r="F59" s="164"/>
    </row>
    <row r="60" spans="1:6" ht="13.5" customHeight="1">
      <c r="A60" s="163" t="s">
        <v>19</v>
      </c>
      <c r="B60" s="176">
        <v>5.8</v>
      </c>
      <c r="C60" s="5"/>
      <c r="D60" s="5"/>
      <c r="E60" s="1"/>
      <c r="F60" s="164"/>
    </row>
    <row r="61" spans="1:6" ht="13.5" customHeight="1">
      <c r="A61" s="163" t="s">
        <v>20</v>
      </c>
      <c r="B61" s="176"/>
      <c r="C61" s="5">
        <f>B15*B60/1000000</f>
        <v>1.16</v>
      </c>
      <c r="D61" s="5"/>
      <c r="E61" s="1"/>
      <c r="F61" s="164"/>
    </row>
    <row r="62" spans="1:6" ht="13.5" customHeight="1" thickBot="1">
      <c r="A62" s="165" t="s">
        <v>21</v>
      </c>
      <c r="B62" s="184">
        <v>15000</v>
      </c>
      <c r="C62" s="7"/>
      <c r="D62" s="7"/>
      <c r="E62" s="2"/>
      <c r="F62" s="166"/>
    </row>
    <row r="63" ht="9.75" customHeight="1"/>
  </sheetData>
  <sheetProtection sheet="1"/>
  <printOptions gridLines="1" headings="1" horizontalCentered="1"/>
  <pageMargins left="0.5" right="0.5" top="0.5" bottom="0.5" header="0.5" footer="0.5"/>
  <pageSetup fitToHeight="1" fitToWidth="1" horizontalDpi="600" verticalDpi="600" orientation="portrait" scale="8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workbookViewId="0" topLeftCell="A1">
      <selection activeCell="B3" sqref="B3:C7"/>
    </sheetView>
  </sheetViews>
  <sheetFormatPr defaultColWidth="9.140625" defaultRowHeight="12.75"/>
  <cols>
    <col min="1" max="1" width="52.57421875" style="0" customWidth="1"/>
    <col min="2" max="2" width="22.8515625" style="0" bestFit="1" customWidth="1"/>
    <col min="3" max="3" width="15.57421875" style="0" customWidth="1"/>
  </cols>
  <sheetData>
    <row r="1" spans="1:3" s="63" customFormat="1" ht="18">
      <c r="A1" s="281" t="s">
        <v>115</v>
      </c>
      <c r="B1" s="282"/>
      <c r="C1" s="252"/>
    </row>
    <row r="2" spans="1:3" ht="12.75">
      <c r="A2" s="76"/>
      <c r="B2" s="125" t="s">
        <v>1</v>
      </c>
      <c r="C2" s="65" t="s">
        <v>175</v>
      </c>
    </row>
    <row r="3" spans="1:3" ht="12.75">
      <c r="A3" s="76" t="s">
        <v>30</v>
      </c>
      <c r="B3" s="293">
        <v>36062</v>
      </c>
      <c r="C3" s="294"/>
    </row>
    <row r="4" spans="1:3" ht="12.75">
      <c r="A4" s="44" t="s">
        <v>185</v>
      </c>
      <c r="B4" s="267" t="s">
        <v>193</v>
      </c>
      <c r="C4" s="268"/>
    </row>
    <row r="5" spans="1:3" ht="12.75">
      <c r="A5" s="44" t="s">
        <v>31</v>
      </c>
      <c r="B5" s="298" t="s">
        <v>32</v>
      </c>
      <c r="C5" s="299"/>
    </row>
    <row r="6" spans="1:3" ht="12.75">
      <c r="A6" s="76" t="s">
        <v>33</v>
      </c>
      <c r="B6" s="287" t="s">
        <v>116</v>
      </c>
      <c r="C6" s="288"/>
    </row>
    <row r="7" spans="1:3" ht="12.75">
      <c r="A7" s="44"/>
      <c r="B7" s="289"/>
      <c r="C7" s="290"/>
    </row>
    <row r="8" spans="1:3" s="80" customFormat="1" ht="15.75">
      <c r="A8" s="105" t="s">
        <v>269</v>
      </c>
      <c r="B8" s="128"/>
      <c r="C8" s="129"/>
    </row>
    <row r="9" spans="1:3" ht="12.75">
      <c r="A9" s="130" t="s">
        <v>119</v>
      </c>
      <c r="B9" s="233" t="s">
        <v>131</v>
      </c>
      <c r="C9" s="66"/>
    </row>
    <row r="10" spans="1:3" ht="12.75">
      <c r="A10" s="130" t="s">
        <v>120</v>
      </c>
      <c r="B10" s="233" t="s">
        <v>121</v>
      </c>
      <c r="C10" s="66"/>
    </row>
    <row r="11" spans="1:3" ht="12.75">
      <c r="A11" s="10" t="s">
        <v>122</v>
      </c>
      <c r="B11" s="234">
        <v>1998</v>
      </c>
      <c r="C11" s="91"/>
    </row>
    <row r="12" spans="1:3" ht="12.75">
      <c r="A12" s="10" t="s">
        <v>117</v>
      </c>
      <c r="B12" s="219"/>
      <c r="C12" s="91"/>
    </row>
    <row r="13" spans="1:3" ht="12.75">
      <c r="A13" s="99" t="s">
        <v>268</v>
      </c>
      <c r="B13" s="221">
        <v>0.8</v>
      </c>
      <c r="C13" s="91"/>
    </row>
    <row r="14" spans="1:3" ht="12.75">
      <c r="A14" s="9" t="s">
        <v>267</v>
      </c>
      <c r="B14" s="221">
        <v>0.16</v>
      </c>
      <c r="C14" s="91"/>
    </row>
    <row r="15" spans="1:3" ht="12.75">
      <c r="A15" s="9" t="s">
        <v>266</v>
      </c>
      <c r="B15" s="221">
        <v>0.6</v>
      </c>
      <c r="C15" s="91"/>
    </row>
    <row r="16" spans="1:3" ht="12.75">
      <c r="A16" s="9" t="s">
        <v>275</v>
      </c>
      <c r="B16" s="219"/>
      <c r="C16" s="124">
        <f>Baseline!B14*B13*B14*B15</f>
        <v>76800</v>
      </c>
    </row>
    <row r="17" spans="1:3" ht="12.75">
      <c r="A17" s="9" t="s">
        <v>123</v>
      </c>
      <c r="B17" s="219">
        <v>35</v>
      </c>
      <c r="C17" s="91"/>
    </row>
    <row r="18" spans="1:3" ht="12.75">
      <c r="A18" s="9" t="s">
        <v>124</v>
      </c>
      <c r="B18" s="219">
        <v>45</v>
      </c>
      <c r="C18" s="91"/>
    </row>
    <row r="19" spans="1:3" ht="12.75">
      <c r="A19" s="9" t="s">
        <v>125</v>
      </c>
      <c r="B19" s="219"/>
      <c r="C19" s="124">
        <f>C16/B17</f>
        <v>2194.285714285714</v>
      </c>
    </row>
    <row r="20" spans="1:3" ht="12.75">
      <c r="A20" s="9" t="s">
        <v>126</v>
      </c>
      <c r="B20" s="219"/>
      <c r="C20" s="124">
        <f>C16/B18</f>
        <v>1706.6666666666667</v>
      </c>
    </row>
    <row r="21" spans="1:3" ht="12.75">
      <c r="A21" s="9" t="s">
        <v>270</v>
      </c>
      <c r="B21" s="219"/>
      <c r="C21" s="124">
        <f>C19-C20</f>
        <v>487.6190476190475</v>
      </c>
    </row>
    <row r="22" spans="1:3" ht="12.75">
      <c r="A22" s="9"/>
      <c r="B22" s="219"/>
      <c r="C22" s="91"/>
    </row>
    <row r="23" spans="1:3" ht="12.75">
      <c r="A23" s="131" t="s">
        <v>118</v>
      </c>
      <c r="B23" s="235"/>
      <c r="C23" s="132"/>
    </row>
    <row r="24" spans="1:3" ht="12.75">
      <c r="A24" s="9" t="s">
        <v>128</v>
      </c>
      <c r="B24" s="219">
        <v>8</v>
      </c>
      <c r="C24" s="91"/>
    </row>
    <row r="25" spans="1:3" ht="12.75">
      <c r="A25" s="9" t="s">
        <v>130</v>
      </c>
      <c r="B25" s="219">
        <v>1000</v>
      </c>
      <c r="C25" s="91"/>
    </row>
    <row r="26" spans="1:3" ht="12.75">
      <c r="A26" s="9" t="s">
        <v>129</v>
      </c>
      <c r="B26" s="219">
        <v>30</v>
      </c>
      <c r="C26" s="91"/>
    </row>
    <row r="27" spans="1:3" ht="12.75">
      <c r="A27" s="99" t="s">
        <v>137</v>
      </c>
      <c r="B27" s="219"/>
      <c r="C27" s="124">
        <f>-B24*B25*B26/3600</f>
        <v>-66.66666666666667</v>
      </c>
    </row>
    <row r="28" spans="1:3" ht="12.75">
      <c r="A28" s="9"/>
      <c r="B28" s="219"/>
      <c r="C28" s="91"/>
    </row>
    <row r="29" spans="1:3" ht="12.75">
      <c r="A29" s="131" t="s">
        <v>132</v>
      </c>
      <c r="B29" s="235"/>
      <c r="C29" s="132"/>
    </row>
    <row r="30" spans="1:3" ht="12.75">
      <c r="A30" s="99" t="s">
        <v>271</v>
      </c>
      <c r="B30" s="219"/>
      <c r="C30" s="91">
        <f>B13*Baseline!B8</f>
        <v>8</v>
      </c>
    </row>
    <row r="31" spans="1:3" ht="12.75">
      <c r="A31" s="9" t="s">
        <v>267</v>
      </c>
      <c r="B31" s="221">
        <v>0.16</v>
      </c>
      <c r="C31" s="91"/>
    </row>
    <row r="32" spans="1:3" ht="12.75">
      <c r="A32" s="9" t="s">
        <v>266</v>
      </c>
      <c r="B32" s="221">
        <v>0.6</v>
      </c>
      <c r="C32" s="91"/>
    </row>
    <row r="33" spans="1:3" ht="12.75">
      <c r="A33" s="9" t="s">
        <v>274</v>
      </c>
      <c r="B33" s="219"/>
      <c r="C33" s="91">
        <f>B15*C30/Baseline!B9*B31*B32*Baseline!B15</f>
        <v>9216</v>
      </c>
    </row>
    <row r="34" spans="1:3" ht="12.75">
      <c r="A34" s="9" t="s">
        <v>272</v>
      </c>
      <c r="B34" s="219">
        <v>22</v>
      </c>
      <c r="C34" s="91"/>
    </row>
    <row r="35" spans="1:3" ht="12.75">
      <c r="A35" s="9" t="s">
        <v>273</v>
      </c>
      <c r="B35" s="219">
        <v>18</v>
      </c>
      <c r="C35" s="91"/>
    </row>
    <row r="36" spans="1:3" ht="12.75">
      <c r="A36" s="9" t="s">
        <v>125</v>
      </c>
      <c r="B36" s="219"/>
      <c r="C36" s="124">
        <f>C33/B34</f>
        <v>418.90909090909093</v>
      </c>
    </row>
    <row r="37" spans="1:3" ht="12.75">
      <c r="A37" s="9" t="s">
        <v>126</v>
      </c>
      <c r="B37" s="219"/>
      <c r="C37" s="124">
        <f>C33/B35</f>
        <v>512</v>
      </c>
    </row>
    <row r="38" spans="1:3" ht="12.75">
      <c r="A38" s="9" t="s">
        <v>133</v>
      </c>
      <c r="B38" s="219"/>
      <c r="C38" s="124">
        <f>C36-C37</f>
        <v>-93.09090909090907</v>
      </c>
    </row>
    <row r="39" spans="1:3" ht="12.75">
      <c r="A39" s="9"/>
      <c r="B39" s="219"/>
      <c r="C39" s="91"/>
    </row>
    <row r="40" spans="1:3" ht="12.75">
      <c r="A40" s="133" t="s">
        <v>119</v>
      </c>
      <c r="B40" s="236" t="s">
        <v>134</v>
      </c>
      <c r="C40" s="65"/>
    </row>
    <row r="41" spans="1:3" ht="12.75">
      <c r="A41" s="130" t="s">
        <v>120</v>
      </c>
      <c r="B41" s="233" t="s">
        <v>135</v>
      </c>
      <c r="C41" s="66"/>
    </row>
    <row r="42" spans="1:3" ht="12.75">
      <c r="A42" s="10" t="s">
        <v>122</v>
      </c>
      <c r="B42" s="234">
        <v>1998</v>
      </c>
      <c r="C42" s="91"/>
    </row>
    <row r="43" spans="1:3" ht="12.75">
      <c r="A43" s="10" t="s">
        <v>117</v>
      </c>
      <c r="B43" s="219"/>
      <c r="C43" s="91"/>
    </row>
    <row r="44" spans="1:3" ht="12.75">
      <c r="A44" s="99" t="s">
        <v>268</v>
      </c>
      <c r="B44" s="221">
        <v>0.8</v>
      </c>
      <c r="C44" s="91"/>
    </row>
    <row r="45" spans="1:3" ht="12.75">
      <c r="A45" s="9" t="s">
        <v>267</v>
      </c>
      <c r="B45" s="221">
        <v>0.24</v>
      </c>
      <c r="C45" s="91"/>
    </row>
    <row r="46" spans="1:3" ht="12.75">
      <c r="A46" s="9" t="s">
        <v>266</v>
      </c>
      <c r="B46" s="221">
        <v>0.6</v>
      </c>
      <c r="C46" s="91"/>
    </row>
    <row r="47" spans="1:3" ht="12.75">
      <c r="A47" s="9" t="s">
        <v>275</v>
      </c>
      <c r="B47" s="219"/>
      <c r="C47" s="124">
        <f>Baseline!B14*B44*B45*B46</f>
        <v>115200</v>
      </c>
    </row>
    <row r="48" spans="1:3" ht="12.75">
      <c r="A48" s="9" t="s">
        <v>123</v>
      </c>
      <c r="B48" s="219">
        <v>35</v>
      </c>
      <c r="C48" s="91"/>
    </row>
    <row r="49" spans="1:3" ht="12.75">
      <c r="A49" s="9" t="s">
        <v>124</v>
      </c>
      <c r="B49" s="219">
        <v>45</v>
      </c>
      <c r="C49" s="91"/>
    </row>
    <row r="50" spans="1:3" ht="12.75">
      <c r="A50" s="9" t="s">
        <v>125</v>
      </c>
      <c r="B50" s="219"/>
      <c r="C50" s="124">
        <f>C47/B48</f>
        <v>3291.4285714285716</v>
      </c>
    </row>
    <row r="51" spans="1:3" ht="12.75">
      <c r="A51" s="9" t="s">
        <v>126</v>
      </c>
      <c r="B51" s="219"/>
      <c r="C51" s="124">
        <f>C47/B49</f>
        <v>2560</v>
      </c>
    </row>
    <row r="52" spans="1:3" ht="12.75">
      <c r="A52" s="9" t="s">
        <v>127</v>
      </c>
      <c r="B52" s="219"/>
      <c r="C52" s="124">
        <f>C50-C51</f>
        <v>731.4285714285716</v>
      </c>
    </row>
    <row r="53" spans="1:3" ht="12.75">
      <c r="A53" s="9"/>
      <c r="B53" s="219"/>
      <c r="C53" s="91"/>
    </row>
    <row r="54" spans="1:3" ht="12.75">
      <c r="A54" s="131" t="s">
        <v>118</v>
      </c>
      <c r="B54" s="235"/>
      <c r="C54" s="132"/>
    </row>
    <row r="55" spans="1:3" ht="12.75">
      <c r="A55" s="9" t="s">
        <v>128</v>
      </c>
      <c r="B55" s="219">
        <v>8</v>
      </c>
      <c r="C55" s="91"/>
    </row>
    <row r="56" spans="1:3" ht="12.75">
      <c r="A56" s="9" t="s">
        <v>130</v>
      </c>
      <c r="B56" s="219">
        <v>1600</v>
      </c>
      <c r="C56" s="91"/>
    </row>
    <row r="57" spans="1:3" ht="12.75">
      <c r="A57" s="9" t="s">
        <v>129</v>
      </c>
      <c r="B57" s="219">
        <v>30</v>
      </c>
      <c r="C57" s="91"/>
    </row>
    <row r="58" spans="1:3" ht="12.75">
      <c r="A58" s="99" t="s">
        <v>137</v>
      </c>
      <c r="B58" s="219"/>
      <c r="C58" s="124">
        <f>-B55*B56*B57/3600</f>
        <v>-106.66666666666667</v>
      </c>
    </row>
    <row r="59" spans="1:3" ht="12.75">
      <c r="A59" s="9"/>
      <c r="B59" s="219"/>
      <c r="C59" s="91"/>
    </row>
    <row r="60" spans="1:3" ht="12.75">
      <c r="A60" s="131" t="s">
        <v>132</v>
      </c>
      <c r="B60" s="235"/>
      <c r="C60" s="132"/>
    </row>
    <row r="61" spans="1:3" ht="12.75">
      <c r="A61" s="99" t="s">
        <v>271</v>
      </c>
      <c r="B61" s="219"/>
      <c r="C61" s="91">
        <f>B44*Baseline!B8</f>
        <v>8</v>
      </c>
    </row>
    <row r="62" spans="1:3" ht="12.75">
      <c r="A62" s="9" t="s">
        <v>267</v>
      </c>
      <c r="B62" s="221">
        <v>0.24</v>
      </c>
      <c r="C62" s="91"/>
    </row>
    <row r="63" spans="1:3" ht="12.75">
      <c r="A63" s="9" t="s">
        <v>266</v>
      </c>
      <c r="B63" s="221">
        <v>0.6</v>
      </c>
      <c r="C63" s="91"/>
    </row>
    <row r="64" spans="1:3" ht="12.75">
      <c r="A64" s="9" t="s">
        <v>274</v>
      </c>
      <c r="B64" s="219"/>
      <c r="C64" s="124">
        <f>B46*C61/Baseline!B9*B62*B63*Baseline!B15</f>
        <v>13824</v>
      </c>
    </row>
    <row r="65" spans="1:3" ht="12.75">
      <c r="A65" s="9" t="s">
        <v>123</v>
      </c>
      <c r="B65" s="219">
        <v>22</v>
      </c>
      <c r="C65" s="124"/>
    </row>
    <row r="66" spans="1:3" ht="12.75">
      <c r="A66" s="9" t="s">
        <v>124</v>
      </c>
      <c r="B66" s="219">
        <v>18</v>
      </c>
      <c r="C66" s="124"/>
    </row>
    <row r="67" spans="1:3" ht="12.75">
      <c r="A67" s="9" t="s">
        <v>125</v>
      </c>
      <c r="B67" s="219"/>
      <c r="C67" s="124">
        <f>C64/B65</f>
        <v>628.3636363636364</v>
      </c>
    </row>
    <row r="68" spans="1:3" ht="12.75">
      <c r="A68" s="9" t="s">
        <v>126</v>
      </c>
      <c r="B68" s="219"/>
      <c r="C68" s="124">
        <f>C64/B66</f>
        <v>768</v>
      </c>
    </row>
    <row r="69" spans="1:3" ht="12.75">
      <c r="A69" s="9" t="s">
        <v>133</v>
      </c>
      <c r="B69" s="219"/>
      <c r="C69" s="124">
        <f>C67-C68</f>
        <v>-139.63636363636363</v>
      </c>
    </row>
    <row r="70" spans="1:3" ht="12.75">
      <c r="A70" s="9"/>
      <c r="B70" s="219"/>
      <c r="C70" s="124"/>
    </row>
    <row r="71" spans="1:3" ht="12.75">
      <c r="A71" s="9" t="s">
        <v>136</v>
      </c>
      <c r="B71" s="219"/>
      <c r="C71" s="124">
        <f>C21+C27+C38+C52+C58+C69</f>
        <v>812.987012987013</v>
      </c>
    </row>
    <row r="72" spans="1:3" ht="12.75">
      <c r="A72" s="9" t="s">
        <v>138</v>
      </c>
      <c r="B72" s="219"/>
      <c r="C72" s="124">
        <f>C71*Baseline!B11</f>
        <v>203246.75324675324</v>
      </c>
    </row>
    <row r="73" spans="1:3" s="77" customFormat="1" ht="15.75">
      <c r="A73" s="107" t="s">
        <v>177</v>
      </c>
      <c r="B73" s="204"/>
      <c r="C73" s="126"/>
    </row>
    <row r="74" spans="1:3" ht="12.75">
      <c r="A74" s="9" t="s">
        <v>139</v>
      </c>
      <c r="B74" s="237">
        <v>20</v>
      </c>
      <c r="C74" s="94"/>
    </row>
    <row r="75" spans="1:3" ht="12.75">
      <c r="A75" s="9" t="s">
        <v>277</v>
      </c>
      <c r="B75" s="238"/>
      <c r="C75" s="124">
        <f>(C16+C47)*Baseline!B56*250/1000000</f>
        <v>52.800000000000004</v>
      </c>
    </row>
    <row r="76" spans="1:3" ht="12.75">
      <c r="A76" s="9" t="s">
        <v>140</v>
      </c>
      <c r="B76" s="239"/>
      <c r="C76" s="124">
        <f>C75*20/100</f>
        <v>10.56</v>
      </c>
    </row>
    <row r="77" spans="1:3" s="80" customFormat="1" ht="15.75">
      <c r="A77" s="107" t="s">
        <v>176</v>
      </c>
      <c r="B77" s="240"/>
      <c r="C77" s="106"/>
    </row>
    <row r="78" spans="1:3" s="8" customFormat="1" ht="12.75">
      <c r="A78" s="100" t="s">
        <v>203</v>
      </c>
      <c r="B78" s="241"/>
      <c r="C78" s="94">
        <f>C72*Baseline!C45</f>
        <v>2906428.5714285714</v>
      </c>
    </row>
    <row r="79" spans="1:3" s="8" customFormat="1" ht="12.75">
      <c r="A79" s="100" t="s">
        <v>141</v>
      </c>
      <c r="B79" s="241"/>
      <c r="C79" s="94">
        <f>C76*Baseline!B62</f>
        <v>158400</v>
      </c>
    </row>
    <row r="80" spans="1:3" s="8" customFormat="1" ht="12.75">
      <c r="A80" s="100" t="s">
        <v>398</v>
      </c>
      <c r="B80" s="241"/>
      <c r="C80" s="85">
        <f>((VLOOKUP($B18,emis_fac!$A54:$B66,2,TRUE)+(VLOOKUP($B18+5,emis_fac!$A54:$B66,2,TRUE)-VLOOKUP($B18,emis_fac!$A54:$B66,2,TRUE))*($B18-MATCH($B18,emis_fac!$A54:$A66,1)*5)/(MATCH($B18+5,emis_fac!$A54:$A66,1)*5-MATCH($B18,emis_fac!$A54:$A66,1)*5))*(C16+$B70)-(VLOOKUP($B17,emis_fac!$A54:$B66,2,TRUE)+(VLOOKUP($B17+5,emis_fac!$A54:$B66,2,TRUE)-VLOOKUP($B17,emis_fac!$A54:$B66,2,TRUE))*($B17-MATCH($B17,emis_fac!$A54:$A66,1)*5)/(MATCH($B17+5,emis_fac!$A54:$A66,1)*5-MATCH($B17,emis_fac!$A54:$A66,1)*5))*(C16))*250*0</f>
        <v>0</v>
      </c>
    </row>
    <row r="81" spans="1:3" s="8" customFormat="1" ht="12.75">
      <c r="A81" s="100" t="s">
        <v>411</v>
      </c>
      <c r="B81" s="241"/>
      <c r="C81" s="85">
        <f>SUM(C78:C80)</f>
        <v>3064828.5714285714</v>
      </c>
    </row>
    <row r="82" spans="1:3" s="8" customFormat="1" ht="12.75">
      <c r="A82" s="100" t="s">
        <v>276</v>
      </c>
      <c r="B82" s="241"/>
      <c r="C82" s="123"/>
    </row>
    <row r="83" spans="1:3" ht="12.75">
      <c r="A83" s="44" t="s">
        <v>44</v>
      </c>
      <c r="B83" s="225">
        <v>2000000</v>
      </c>
      <c r="C83" s="66"/>
    </row>
    <row r="84" spans="1:3" ht="12.75">
      <c r="A84" s="44" t="s">
        <v>45</v>
      </c>
      <c r="B84" s="226">
        <v>10</v>
      </c>
      <c r="C84" s="66"/>
    </row>
    <row r="85" spans="1:3" ht="12.75">
      <c r="A85" s="44" t="s">
        <v>46</v>
      </c>
      <c r="B85" s="225">
        <v>200000</v>
      </c>
      <c r="C85" s="66"/>
    </row>
    <row r="86" spans="1:3" ht="12.75">
      <c r="A86" s="44" t="s">
        <v>47</v>
      </c>
      <c r="B86" s="226"/>
      <c r="C86" s="66">
        <f>VLOOKUP(B84,ann_fac!A2:B23,2)</f>
        <v>0.142</v>
      </c>
    </row>
    <row r="87" spans="1:3" ht="12.75">
      <c r="A87" s="44" t="s">
        <v>48</v>
      </c>
      <c r="B87" s="226"/>
      <c r="C87" s="85">
        <f>B83*C86+B85</f>
        <v>484000</v>
      </c>
    </row>
    <row r="88" spans="1:3" ht="12.75">
      <c r="A88" s="58" t="s">
        <v>376</v>
      </c>
      <c r="B88" s="188"/>
      <c r="C88" s="71">
        <f>C81-C87</f>
        <v>2580828.5714285714</v>
      </c>
    </row>
    <row r="89" spans="1:3" ht="13.5" thickBot="1">
      <c r="A89" s="45" t="s">
        <v>278</v>
      </c>
      <c r="B89" s="229"/>
      <c r="C89" s="88">
        <f>C81/C87</f>
        <v>6.332290436835891</v>
      </c>
    </row>
  </sheetData>
  <sheetProtection sheet="1" objects="1" scenarios="1"/>
  <mergeCells count="5">
    <mergeCell ref="A1:C1"/>
    <mergeCell ref="B3:C3"/>
    <mergeCell ref="B5:C5"/>
    <mergeCell ref="B6:C7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5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workbookViewId="0" topLeftCell="A1">
      <selection activeCell="B3" sqref="B3:C7"/>
    </sheetView>
  </sheetViews>
  <sheetFormatPr defaultColWidth="9.140625" defaultRowHeight="12.75"/>
  <cols>
    <col min="1" max="1" width="54.28125" style="0" customWidth="1"/>
    <col min="2" max="2" width="14.57421875" style="0" customWidth="1"/>
    <col min="3" max="3" width="20.00390625" style="0" customWidth="1"/>
  </cols>
  <sheetData>
    <row r="1" spans="1:3" s="134" customFormat="1" ht="18">
      <c r="A1" s="274" t="s">
        <v>180</v>
      </c>
      <c r="B1" s="275"/>
      <c r="C1" s="276"/>
    </row>
    <row r="2" spans="1:3" ht="12.75">
      <c r="A2" s="135"/>
      <c r="B2" s="136" t="s">
        <v>1</v>
      </c>
      <c r="C2" s="137" t="s">
        <v>175</v>
      </c>
    </row>
    <row r="3" spans="1:3" ht="12.75">
      <c r="A3" s="76" t="s">
        <v>30</v>
      </c>
      <c r="B3" s="267">
        <v>36140</v>
      </c>
      <c r="C3" s="273"/>
    </row>
    <row r="4" spans="1:3" ht="12.75">
      <c r="A4" s="44" t="s">
        <v>185</v>
      </c>
      <c r="B4" s="267" t="s">
        <v>193</v>
      </c>
      <c r="C4" s="300"/>
    </row>
    <row r="5" spans="1:3" ht="12.75">
      <c r="A5" s="44" t="s">
        <v>31</v>
      </c>
      <c r="B5" s="263" t="s">
        <v>144</v>
      </c>
      <c r="C5" s="264"/>
    </row>
    <row r="6" spans="1:3" ht="12.75">
      <c r="A6" s="76" t="s">
        <v>33</v>
      </c>
      <c r="B6" s="269" t="s">
        <v>279</v>
      </c>
      <c r="C6" s="270"/>
    </row>
    <row r="7" spans="1:3" ht="12.75">
      <c r="A7" s="9"/>
      <c r="B7" s="277"/>
      <c r="C7" s="278"/>
    </row>
    <row r="8" spans="1:3" s="77" customFormat="1" ht="15.75">
      <c r="A8" s="107" t="s">
        <v>282</v>
      </c>
      <c r="B8" s="111"/>
      <c r="C8" s="112"/>
    </row>
    <row r="9" spans="1:3" ht="12.75">
      <c r="A9" s="9" t="s">
        <v>145</v>
      </c>
      <c r="B9" s="198">
        <v>1</v>
      </c>
      <c r="C9" s="91"/>
    </row>
    <row r="10" spans="1:3" ht="12.75">
      <c r="A10" s="9" t="s">
        <v>399</v>
      </c>
      <c r="B10" s="198">
        <v>5000</v>
      </c>
      <c r="C10" s="91"/>
    </row>
    <row r="11" spans="1:3" ht="12.75">
      <c r="A11" s="9" t="s">
        <v>281</v>
      </c>
      <c r="B11" s="198">
        <v>4</v>
      </c>
      <c r="C11" s="91"/>
    </row>
    <row r="12" spans="1:3" ht="12.75">
      <c r="A12" s="9" t="s">
        <v>280</v>
      </c>
      <c r="B12" s="214">
        <v>0.3</v>
      </c>
      <c r="C12" s="91"/>
    </row>
    <row r="13" spans="1:3" ht="12.75">
      <c r="A13" s="9" t="s">
        <v>146</v>
      </c>
      <c r="B13" s="215"/>
      <c r="C13" s="171">
        <f>SUM(B9*B10*B11*B12)/60</f>
        <v>100</v>
      </c>
    </row>
    <row r="14" spans="1:3" ht="12.75">
      <c r="A14" s="9" t="s">
        <v>400</v>
      </c>
      <c r="B14" s="215"/>
      <c r="C14" s="172">
        <f>C13*Baseline!B11</f>
        <v>25000</v>
      </c>
    </row>
    <row r="15" spans="1:3" s="77" customFormat="1" ht="15.75">
      <c r="A15" s="107" t="s">
        <v>176</v>
      </c>
      <c r="B15" s="231"/>
      <c r="C15" s="112"/>
    </row>
    <row r="16" spans="1:3" s="77" customFormat="1" ht="15">
      <c r="A16" s="9" t="s">
        <v>147</v>
      </c>
      <c r="B16" s="242">
        <v>25</v>
      </c>
      <c r="C16" s="91"/>
    </row>
    <row r="17" spans="1:3" s="77" customFormat="1" ht="15">
      <c r="A17" s="9" t="s">
        <v>148</v>
      </c>
      <c r="B17" s="243"/>
      <c r="C17" s="94">
        <f>(C14*B16)</f>
        <v>625000</v>
      </c>
    </row>
    <row r="18" spans="1:3" ht="12.75">
      <c r="A18" s="100" t="s">
        <v>283</v>
      </c>
      <c r="B18" s="244">
        <v>0.3</v>
      </c>
      <c r="C18" s="66"/>
    </row>
    <row r="19" spans="1:3" ht="12.75">
      <c r="A19" s="100" t="s">
        <v>284</v>
      </c>
      <c r="B19" s="227"/>
      <c r="C19" s="85">
        <f>B10*B12*B18*Baseline!B11</f>
        <v>112500</v>
      </c>
    </row>
    <row r="20" spans="1:3" ht="12.75">
      <c r="A20" s="100" t="s">
        <v>411</v>
      </c>
      <c r="B20" s="193"/>
      <c r="C20" s="85">
        <f>C17+C19</f>
        <v>737500</v>
      </c>
    </row>
    <row r="21" spans="1:3" ht="12.75">
      <c r="A21" s="44" t="s">
        <v>44</v>
      </c>
      <c r="B21" s="245">
        <v>200000</v>
      </c>
      <c r="C21" s="91"/>
    </row>
    <row r="22" spans="1:3" ht="12.75">
      <c r="A22" s="44" t="s">
        <v>45</v>
      </c>
      <c r="B22" s="246">
        <v>7</v>
      </c>
      <c r="C22" s="144"/>
    </row>
    <row r="23" spans="1:3" ht="12.75">
      <c r="A23" s="44" t="s">
        <v>46</v>
      </c>
      <c r="B23" s="196">
        <v>20000</v>
      </c>
      <c r="C23" s="66"/>
    </row>
    <row r="24" spans="1:3" ht="12.75">
      <c r="A24" s="44" t="s">
        <v>47</v>
      </c>
      <c r="B24" s="246"/>
      <c r="C24" s="156">
        <f>VLOOKUP(B22,ann_fac!A2:B23,2,TRUE)</f>
        <v>0.186</v>
      </c>
    </row>
    <row r="25" spans="1:3" ht="12.75">
      <c r="A25" s="44" t="s">
        <v>48</v>
      </c>
      <c r="B25" s="193"/>
      <c r="C25" s="85">
        <f>SUM(B21*C24+B23)</f>
        <v>57200</v>
      </c>
    </row>
    <row r="26" spans="1:3" ht="12.75">
      <c r="A26" s="58" t="s">
        <v>376</v>
      </c>
      <c r="B26" s="188"/>
      <c r="C26" s="71">
        <f>C20-C25</f>
        <v>680300</v>
      </c>
    </row>
    <row r="27" spans="1:3" ht="13.5" thickBot="1">
      <c r="A27" s="45" t="s">
        <v>172</v>
      </c>
      <c r="B27" s="197"/>
      <c r="C27" s="155">
        <f>(C17+C19)/C25</f>
        <v>12.893356643356643</v>
      </c>
    </row>
  </sheetData>
  <sheetProtection sheet="1" objects="1" scenarios="1"/>
  <mergeCells count="5">
    <mergeCell ref="A1:C1"/>
    <mergeCell ref="B6:C7"/>
    <mergeCell ref="B3:C3"/>
    <mergeCell ref="B5:C5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2" sqref="B12"/>
    </sheetView>
  </sheetViews>
  <sheetFormatPr defaultColWidth="9.140625" defaultRowHeight="12.75"/>
  <cols>
    <col min="1" max="1" width="53.8515625" style="0" customWidth="1"/>
    <col min="2" max="2" width="13.28125" style="0" customWidth="1"/>
    <col min="3" max="3" width="16.421875" style="0" customWidth="1"/>
  </cols>
  <sheetData>
    <row r="1" spans="1:3" s="134" customFormat="1" ht="18">
      <c r="A1" s="274" t="s">
        <v>181</v>
      </c>
      <c r="B1" s="275"/>
      <c r="C1" s="276"/>
    </row>
    <row r="2" spans="1:3" ht="12.75">
      <c r="A2" s="135"/>
      <c r="B2" s="173" t="s">
        <v>1</v>
      </c>
      <c r="C2" s="132" t="s">
        <v>175</v>
      </c>
    </row>
    <row r="3" spans="1:3" ht="12.75">
      <c r="A3" s="104" t="s">
        <v>30</v>
      </c>
      <c r="B3" s="265">
        <v>36140</v>
      </c>
      <c r="C3" s="266"/>
    </row>
    <row r="4" spans="1:3" ht="12.75">
      <c r="A4" s="44" t="s">
        <v>185</v>
      </c>
      <c r="B4" s="267"/>
      <c r="C4" s="300"/>
    </row>
    <row r="5" spans="1:3" ht="12.75">
      <c r="A5" s="44" t="s">
        <v>31</v>
      </c>
      <c r="B5" s="263" t="s">
        <v>144</v>
      </c>
      <c r="C5" s="264"/>
    </row>
    <row r="6" spans="1:3" ht="12.75">
      <c r="A6" s="76" t="s">
        <v>33</v>
      </c>
      <c r="B6" s="269" t="s">
        <v>150</v>
      </c>
      <c r="C6" s="270"/>
    </row>
    <row r="7" spans="1:3" ht="12.75">
      <c r="A7" s="9"/>
      <c r="B7" s="271"/>
      <c r="C7" s="272"/>
    </row>
    <row r="8" spans="1:3" s="77" customFormat="1" ht="15.75">
      <c r="A8" s="107" t="s">
        <v>182</v>
      </c>
      <c r="B8" s="121"/>
      <c r="C8" s="122"/>
    </row>
    <row r="9" spans="1:3" ht="12.75">
      <c r="A9" s="9" t="s">
        <v>154</v>
      </c>
      <c r="B9" s="198">
        <v>10</v>
      </c>
      <c r="C9" s="91"/>
    </row>
    <row r="10" spans="1:3" ht="13.5" customHeight="1">
      <c r="A10" s="141" t="s">
        <v>318</v>
      </c>
      <c r="B10" s="198">
        <v>0.5</v>
      </c>
      <c r="C10" s="91"/>
    </row>
    <row r="11" spans="1:3" ht="12.75">
      <c r="A11" s="9" t="s">
        <v>319</v>
      </c>
      <c r="B11" s="205"/>
      <c r="C11" s="96">
        <f>B9*B10</f>
        <v>5</v>
      </c>
    </row>
    <row r="12" spans="1:3" ht="12.75">
      <c r="A12" s="9" t="s">
        <v>151</v>
      </c>
      <c r="B12" s="214">
        <v>0.1</v>
      </c>
      <c r="C12" s="91"/>
    </row>
    <row r="13" spans="1:3" ht="12.75">
      <c r="A13" s="9" t="s">
        <v>152</v>
      </c>
      <c r="B13" s="205"/>
      <c r="C13" s="91">
        <f>C11*B12</f>
        <v>0.5</v>
      </c>
    </row>
    <row r="14" spans="1:3" s="77" customFormat="1" ht="15.75">
      <c r="A14" s="107" t="s">
        <v>176</v>
      </c>
      <c r="B14" s="195"/>
      <c r="C14" s="106"/>
    </row>
    <row r="15" spans="1:3" ht="12.75">
      <c r="A15" s="9" t="s">
        <v>320</v>
      </c>
      <c r="B15" s="245">
        <v>50000</v>
      </c>
      <c r="C15" s="91"/>
    </row>
    <row r="16" spans="1:3" ht="12.75">
      <c r="A16" s="9" t="s">
        <v>153</v>
      </c>
      <c r="B16" s="205"/>
      <c r="C16" s="94">
        <f>(C13*B15)</f>
        <v>25000</v>
      </c>
    </row>
    <row r="17" spans="1:3" ht="12.75">
      <c r="A17" s="58" t="s">
        <v>44</v>
      </c>
      <c r="B17" s="191">
        <v>200000</v>
      </c>
      <c r="C17" s="67"/>
    </row>
    <row r="18" spans="1:3" ht="12.75">
      <c r="A18" s="58" t="s">
        <v>45</v>
      </c>
      <c r="B18" s="189">
        <v>10</v>
      </c>
      <c r="C18" s="67"/>
    </row>
    <row r="19" spans="1:3" ht="12.75">
      <c r="A19" s="58" t="s">
        <v>46</v>
      </c>
      <c r="B19" s="191">
        <v>10000</v>
      </c>
      <c r="C19" s="67"/>
    </row>
    <row r="20" spans="1:3" ht="12.75">
      <c r="A20" s="58" t="s">
        <v>47</v>
      </c>
      <c r="B20" s="188"/>
      <c r="C20" s="67">
        <f>VLOOKUP(B18,ann_fac!A2:B23,2)</f>
        <v>0.142</v>
      </c>
    </row>
    <row r="21" spans="1:3" ht="12.75">
      <c r="A21" s="58" t="s">
        <v>48</v>
      </c>
      <c r="B21" s="188"/>
      <c r="C21" s="71">
        <f>B17*C20</f>
        <v>28399.999999999996</v>
      </c>
    </row>
    <row r="22" spans="1:3" ht="12.75">
      <c r="A22" s="58" t="s">
        <v>401</v>
      </c>
      <c r="B22" s="188"/>
      <c r="C22" s="71">
        <f>C16-C21</f>
        <v>-3399.9999999999964</v>
      </c>
    </row>
    <row r="23" spans="1:3" ht="13.5" thickBot="1">
      <c r="A23" s="59" t="s">
        <v>173</v>
      </c>
      <c r="B23" s="187"/>
      <c r="C23" s="140">
        <f>C16/C21</f>
        <v>0.8802816901408452</v>
      </c>
    </row>
  </sheetData>
  <sheetProtection sheet="1" objects="1" scenarios="1"/>
  <mergeCells count="5">
    <mergeCell ref="A1:C1"/>
    <mergeCell ref="B6:C7"/>
    <mergeCell ref="B3:C3"/>
    <mergeCell ref="B5:C5"/>
    <mergeCell ref="B4:C4"/>
  </mergeCells>
  <printOptions horizontalCentered="1" verticalCentered="1"/>
  <pageMargins left="0.5" right="0.5" top="0.75" bottom="0.75" header="0.5" footer="0.5"/>
  <pageSetup horizontalDpi="600" verticalDpi="600" orientation="portrait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30">
      <selection activeCell="A36" sqref="A36"/>
    </sheetView>
  </sheetViews>
  <sheetFormatPr defaultColWidth="9.140625" defaultRowHeight="12.75"/>
  <cols>
    <col min="1" max="1" width="59.57421875" style="0" customWidth="1"/>
    <col min="2" max="2" width="14.57421875" style="0" customWidth="1"/>
    <col min="3" max="3" width="17.57421875" style="0" customWidth="1"/>
  </cols>
  <sheetData>
    <row r="1" spans="1:3" s="134" customFormat="1" ht="18">
      <c r="A1" s="274" t="s">
        <v>406</v>
      </c>
      <c r="B1" s="275"/>
      <c r="C1" s="276"/>
    </row>
    <row r="2" spans="1:3" ht="12.75">
      <c r="A2" s="143"/>
      <c r="B2" s="174" t="s">
        <v>1</v>
      </c>
      <c r="C2" s="139" t="s">
        <v>175</v>
      </c>
    </row>
    <row r="3" spans="1:3" ht="12.75">
      <c r="A3" s="44" t="s">
        <v>30</v>
      </c>
      <c r="B3" s="285">
        <v>36140</v>
      </c>
      <c r="C3" s="301"/>
    </row>
    <row r="4" spans="1:3" ht="12.75">
      <c r="A4" s="44" t="s">
        <v>31</v>
      </c>
      <c r="B4" s="263" t="s">
        <v>144</v>
      </c>
      <c r="C4" s="264"/>
    </row>
    <row r="5" spans="1:3" ht="12.75">
      <c r="A5" s="76" t="s">
        <v>33</v>
      </c>
      <c r="B5" s="269" t="s">
        <v>321</v>
      </c>
      <c r="C5" s="270"/>
    </row>
    <row r="6" spans="1:3" ht="12.75">
      <c r="A6" s="9"/>
      <c r="B6" s="271"/>
      <c r="C6" s="272"/>
    </row>
    <row r="7" spans="1:3" s="77" customFormat="1" ht="15.75">
      <c r="A7" s="107" t="s">
        <v>183</v>
      </c>
      <c r="B7" s="121"/>
      <c r="C7" s="122"/>
    </row>
    <row r="8" spans="1:3" ht="12.75">
      <c r="A8" s="9" t="s">
        <v>328</v>
      </c>
      <c r="B8" s="199"/>
      <c r="C8" s="124">
        <f>Baseline!B15</f>
        <v>200000</v>
      </c>
    </row>
    <row r="9" spans="1:3" ht="12.75">
      <c r="A9" s="9" t="s">
        <v>327</v>
      </c>
      <c r="B9" s="202"/>
      <c r="C9" s="124">
        <f>Baseline!C27</f>
        <v>11086.474501108649</v>
      </c>
    </row>
    <row r="10" spans="1:3" ht="12.75">
      <c r="A10" s="9" t="s">
        <v>322</v>
      </c>
      <c r="B10" s="206"/>
      <c r="C10" s="91">
        <f>C8/C9</f>
        <v>18.04</v>
      </c>
    </row>
    <row r="11" spans="1:3" ht="12.75">
      <c r="A11" s="9" t="s">
        <v>323</v>
      </c>
      <c r="B11" s="214">
        <v>0.2</v>
      </c>
      <c r="C11" s="91"/>
    </row>
    <row r="12" spans="1:3" ht="12.75">
      <c r="A12" s="9" t="s">
        <v>324</v>
      </c>
      <c r="B12" s="217"/>
      <c r="C12" s="95">
        <f>C10+C10*B11</f>
        <v>21.648</v>
      </c>
    </row>
    <row r="13" spans="1:3" ht="12.75">
      <c r="A13" s="9" t="s">
        <v>325</v>
      </c>
      <c r="B13" s="205"/>
      <c r="C13" s="124">
        <f>C8/C12</f>
        <v>9238.728750923872</v>
      </c>
    </row>
    <row r="14" spans="1:3" ht="12.75">
      <c r="A14" s="9" t="s">
        <v>326</v>
      </c>
      <c r="B14" s="205"/>
      <c r="C14" s="124">
        <f>C9-C13</f>
        <v>1847.7457501847766</v>
      </c>
    </row>
    <row r="15" spans="1:3" ht="12.75">
      <c r="A15" s="9" t="s">
        <v>333</v>
      </c>
      <c r="B15" s="205"/>
      <c r="C15" s="124">
        <f>C14*Baseline!B11</f>
        <v>461936.4375461942</v>
      </c>
    </row>
    <row r="16" spans="1:3" ht="12.75">
      <c r="A16" s="9" t="s">
        <v>329</v>
      </c>
      <c r="B16" s="247">
        <v>0.5</v>
      </c>
      <c r="C16" s="94"/>
    </row>
    <row r="17" spans="1:3" ht="12.75">
      <c r="A17" s="9" t="s">
        <v>330</v>
      </c>
      <c r="B17" s="198"/>
      <c r="C17" s="124">
        <f>C8*B16</f>
        <v>100000</v>
      </c>
    </row>
    <row r="18" spans="1:3" ht="12.75">
      <c r="A18" s="9" t="s">
        <v>331</v>
      </c>
      <c r="B18" s="214">
        <v>0.1</v>
      </c>
      <c r="C18" s="93"/>
    </row>
    <row r="19" spans="1:3" ht="12.75">
      <c r="A19" s="9" t="s">
        <v>332</v>
      </c>
      <c r="B19" s="205"/>
      <c r="C19" s="124">
        <f>C17*B18</f>
        <v>10000</v>
      </c>
    </row>
    <row r="20" spans="1:3" s="77" customFormat="1" ht="15.75">
      <c r="A20" s="107" t="s">
        <v>184</v>
      </c>
      <c r="B20" s="248"/>
      <c r="C20" s="112"/>
    </row>
    <row r="21" spans="1:3" ht="12.75">
      <c r="A21" s="9" t="s">
        <v>408</v>
      </c>
      <c r="B21" s="249"/>
      <c r="C21" s="175">
        <f>C19*emis_fac!B3*Baseline!B11</f>
        <v>50000</v>
      </c>
    </row>
    <row r="22" spans="1:4" ht="12.75">
      <c r="A22" s="58" t="s">
        <v>167</v>
      </c>
      <c r="B22" s="249"/>
      <c r="C22" s="175">
        <f>((VLOOKUP($C12,emis_fac!$A6:$B18,2,TRUE)+(VLOOKUP($C12+5,emis_fac!$A6:$B18,2,TRUE)-VLOOKUP($C12,emis_fac!$A6:$B18,2,TRUE))*($C12-MATCH($C12,emis_fac!$A6:$A18,1)*5)/(MATCH($C12+5,emis_fac!$A6:$A18,1)*5-MATCH($C12,emis_fac!$A6:$A18,1)*5))*(Baseline!$B14+$B17)-(VLOOKUP($C10,emis_fac!$A6:$B18,2,TRUE)+(VLOOKUP($C10+5,emis_fac!$A6:$B18,2,TRUE)-VLOOKUP($C10,emis_fac!$A6:$B18,2,TRUE))*($C10-MATCH($C10,emis_fac!$A6:$A18,1)*5)/(MATCH($C10+5,emis_fac!$A6:$A18,1)*5-MATCH($C10,emis_fac!$A6:$A18,1)*5))*(Baseline!$B14))*Baseline!B11/454/2000</f>
        <v>-852.6828193832598</v>
      </c>
      <c r="D22" s="56"/>
    </row>
    <row r="23" spans="1:3" ht="12.75">
      <c r="A23" s="58" t="s">
        <v>168</v>
      </c>
      <c r="B23" s="249"/>
      <c r="C23" s="72">
        <f>((VLOOKUP($C12,emis_fac!$A22:$B34,2,TRUE)+(VLOOKUP($C12+5,emis_fac!$A22:$B34,2,TRUE)-VLOOKUP($C12,emis_fac!$A22:$B34,2,TRUE))*($C12-MATCH($C12,emis_fac!$A22:$A34,1)*5)/(MATCH($C12+5,emis_fac!$A22:$A34,1)*5-MATCH($C12,emis_fac!$A22:$A34,1)*5))*(Baseline!$B14+$B17)-(VLOOKUP($C10,emis_fac!$A22:$B34,2,TRUE)+(VLOOKUP($C10+5,emis_fac!$A22:$B34,2,TRUE)-VLOOKUP($C10,emis_fac!$A22:$B34,2,TRUE))*($C10-MATCH($C10,emis_fac!$A22:$A34,1)*5)/(MATCH($C10+5,emis_fac!$A22:$A34,1)*5-MATCH($C10,emis_fac!$A22:$A34,1)*5))*(Baseline!$B14))*Baseline!B11/454/2000</f>
        <v>1.2995594713656387</v>
      </c>
    </row>
    <row r="24" spans="1:4" ht="12.75">
      <c r="A24" s="58" t="s">
        <v>169</v>
      </c>
      <c r="B24" s="249"/>
      <c r="C24" s="175">
        <f>((VLOOKUP($C12,emis_fac!$A38:$B50,2,TRUE)+(VLOOKUP($C12+5,emis_fac!$A38:$B50,2,TRUE)-VLOOKUP($C12,emis_fac!$A38:$B50,2,TRUE))*($C12-MATCH($C12,emis_fac!$A38:$A50,1)*5)/(MATCH($C12+5,emis_fac!$A38:$A50,1)*5-MATCH($C12,emis_fac!$A38:$A50,1)*5))*(Baseline!$B14+$B17)-(VLOOKUP($C10,emis_fac!$A38:$B50,2,TRUE)+(VLOOKUP($C10+5,emis_fac!$A38:$B50,2,TRUE)-VLOOKUP($C10,emis_fac!$A38:$B50,2,TRUE))*($C10-MATCH($C10,emis_fac!$A38:$A50,1)*5)/(MATCH($C10+5,emis_fac!$A38:$A50,1)*5-MATCH($C10,emis_fac!$A38:$A50,1)*5))*(Baseline!$B14))*Baseline!B11/454/2000</f>
        <v>-102.65198237885463</v>
      </c>
      <c r="D24" s="56"/>
    </row>
    <row r="25" spans="1:4" ht="15.75">
      <c r="A25" s="107" t="s">
        <v>189</v>
      </c>
      <c r="B25" s="248"/>
      <c r="C25" s="112"/>
      <c r="D25" s="56"/>
    </row>
    <row r="26" spans="1:4" ht="12.75">
      <c r="A26" s="9" t="s">
        <v>334</v>
      </c>
      <c r="B26" s="250"/>
      <c r="C26" s="154">
        <f>Baseline!C61*Baseline!B11</f>
        <v>290</v>
      </c>
      <c r="D26" s="56"/>
    </row>
    <row r="27" spans="1:4" ht="12.75">
      <c r="A27" s="9" t="s">
        <v>402</v>
      </c>
      <c r="B27" s="250"/>
      <c r="C27" s="157">
        <f>B18</f>
        <v>0.1</v>
      </c>
      <c r="D27" s="56"/>
    </row>
    <row r="28" spans="1:4" ht="12.75">
      <c r="A28" s="9" t="s">
        <v>335</v>
      </c>
      <c r="B28" s="251"/>
      <c r="C28" s="150">
        <f>C26*C27</f>
        <v>29</v>
      </c>
      <c r="D28" s="56"/>
    </row>
    <row r="29" spans="1:3" s="80" customFormat="1" ht="15.75">
      <c r="A29" s="107" t="s">
        <v>176</v>
      </c>
      <c r="B29" s="223"/>
      <c r="C29" s="122"/>
    </row>
    <row r="30" spans="1:3" ht="12.75">
      <c r="A30" s="100" t="s">
        <v>231</v>
      </c>
      <c r="B30" s="241"/>
      <c r="C30" s="94">
        <f>C15*Baseline!C45</f>
        <v>6605691.056910577</v>
      </c>
    </row>
    <row r="31" spans="1:3" ht="12.75">
      <c r="A31" s="100" t="s">
        <v>410</v>
      </c>
      <c r="B31" s="241"/>
      <c r="C31" s="94">
        <f>C28*Baseline!B62</f>
        <v>435000</v>
      </c>
    </row>
    <row r="32" spans="1:3" ht="12.75">
      <c r="A32" s="100" t="s">
        <v>409</v>
      </c>
      <c r="B32" s="241"/>
      <c r="C32" s="85">
        <f>C21*1.25</f>
        <v>62500</v>
      </c>
    </row>
    <row r="33" spans="1:3" ht="12.75">
      <c r="A33" s="100" t="s">
        <v>403</v>
      </c>
      <c r="B33" s="241"/>
      <c r="C33" s="85">
        <f>SUM(C30:C32)</f>
        <v>7103191.056910577</v>
      </c>
    </row>
    <row r="34" spans="1:3" ht="12.75">
      <c r="A34" s="100" t="s">
        <v>404</v>
      </c>
      <c r="B34" s="241"/>
      <c r="C34" s="94">
        <f>C33/Baseline!B16*365/250</f>
        <v>9640846.837491347</v>
      </c>
    </row>
    <row r="35" spans="1:3" ht="12.75">
      <c r="A35" s="44" t="s">
        <v>44</v>
      </c>
      <c r="B35" s="225">
        <v>1000000</v>
      </c>
      <c r="C35" s="66"/>
    </row>
    <row r="36" spans="1:3" ht="12.75">
      <c r="A36" s="44" t="s">
        <v>45</v>
      </c>
      <c r="B36" s="226">
        <v>10</v>
      </c>
      <c r="C36" s="66"/>
    </row>
    <row r="37" spans="1:3" ht="12.75">
      <c r="A37" s="44" t="s">
        <v>46</v>
      </c>
      <c r="B37" s="225">
        <v>100000</v>
      </c>
      <c r="C37" s="66"/>
    </row>
    <row r="38" spans="1:3" ht="12.75">
      <c r="A38" s="44" t="s">
        <v>405</v>
      </c>
      <c r="B38" s="225">
        <v>20000</v>
      </c>
      <c r="C38" s="66"/>
    </row>
    <row r="39" spans="1:3" ht="12.75">
      <c r="A39" s="44" t="s">
        <v>47</v>
      </c>
      <c r="B39" s="226"/>
      <c r="C39" s="66">
        <f>VLOOKUP(B36,ann_fac!A2:B23,2)</f>
        <v>0.142</v>
      </c>
    </row>
    <row r="40" spans="1:3" ht="12.75">
      <c r="A40" s="44" t="s">
        <v>48</v>
      </c>
      <c r="B40" s="226"/>
      <c r="C40" s="85">
        <f>B35*C39+B37-B38</f>
        <v>222000</v>
      </c>
    </row>
    <row r="41" spans="1:3" ht="12.75">
      <c r="A41" s="58" t="s">
        <v>376</v>
      </c>
      <c r="B41" s="188"/>
      <c r="C41" s="71">
        <f>C33-C40</f>
        <v>6881191.056910577</v>
      </c>
    </row>
    <row r="42" spans="1:3" ht="12.75">
      <c r="A42" s="58" t="s">
        <v>377</v>
      </c>
      <c r="B42" s="188"/>
      <c r="C42" s="71">
        <f>C34-C40</f>
        <v>9418846.837491347</v>
      </c>
    </row>
    <row r="43" spans="1:3" ht="12.75">
      <c r="A43" s="44" t="s">
        <v>336</v>
      </c>
      <c r="B43" s="226"/>
      <c r="C43" s="158">
        <f>C33/C40</f>
        <v>31.996356112209806</v>
      </c>
    </row>
    <row r="44" spans="1:3" ht="13.5" thickBot="1">
      <c r="A44" s="159" t="s">
        <v>173</v>
      </c>
      <c r="B44" s="253"/>
      <c r="C44" s="75">
        <f>C43/Baseline!B16*365/Baseline!B11</f>
        <v>43.42723800671778</v>
      </c>
    </row>
  </sheetData>
  <sheetProtection sheet="1" objects="1" scenarios="1"/>
  <mergeCells count="4">
    <mergeCell ref="A1:C1"/>
    <mergeCell ref="B3:C3"/>
    <mergeCell ref="B4:C4"/>
    <mergeCell ref="B5:C6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6" sqref="D6"/>
    </sheetView>
  </sheetViews>
  <sheetFormatPr defaultColWidth="9.140625" defaultRowHeight="12.75"/>
  <cols>
    <col min="1" max="1" width="8.00390625" style="12" customWidth="1"/>
    <col min="2" max="2" width="18.421875" style="12" customWidth="1"/>
    <col min="3" max="3" width="11.8515625" style="12" customWidth="1"/>
    <col min="4" max="4" width="12.140625" style="12" customWidth="1"/>
    <col min="5" max="16384" width="8.00390625" style="12" customWidth="1"/>
  </cols>
  <sheetData>
    <row r="1" spans="2:4" ht="12">
      <c r="B1" s="14" t="s">
        <v>174</v>
      </c>
      <c r="C1" s="14"/>
      <c r="D1" s="14"/>
    </row>
    <row r="3" spans="3:4" ht="12">
      <c r="C3" s="34"/>
      <c r="D3" s="34"/>
    </row>
    <row r="4" spans="1:4" ht="12">
      <c r="A4" s="14" t="s">
        <v>159</v>
      </c>
      <c r="B4" s="14" t="s">
        <v>160</v>
      </c>
      <c r="C4" s="61" t="s">
        <v>162</v>
      </c>
      <c r="D4" s="62"/>
    </row>
    <row r="5" spans="2:4" ht="12">
      <c r="B5" s="14" t="s">
        <v>161</v>
      </c>
      <c r="C5" s="60">
        <v>0.67</v>
      </c>
      <c r="D5" s="34">
        <v>0.1</v>
      </c>
    </row>
    <row r="6" spans="1:4" ht="12">
      <c r="A6" s="12">
        <v>1</v>
      </c>
      <c r="B6" s="12">
        <v>0</v>
      </c>
      <c r="C6" s="12">
        <v>0.0015</v>
      </c>
      <c r="D6" s="12">
        <v>0.0015</v>
      </c>
    </row>
    <row r="7" spans="1:4" ht="12">
      <c r="A7" s="12">
        <v>2</v>
      </c>
      <c r="B7" s="12">
        <v>0</v>
      </c>
      <c r="C7" s="12">
        <v>0.0057</v>
      </c>
      <c r="D7" s="12">
        <v>0.0057</v>
      </c>
    </row>
    <row r="8" spans="1:4" ht="12">
      <c r="A8" s="12">
        <v>3</v>
      </c>
      <c r="B8" s="12">
        <v>0</v>
      </c>
      <c r="C8" s="12">
        <v>0.0082</v>
      </c>
      <c r="D8" s="12">
        <v>0.0082</v>
      </c>
    </row>
    <row r="9" spans="1:4" ht="12">
      <c r="A9" s="12">
        <v>4</v>
      </c>
      <c r="B9" s="12">
        <v>0</v>
      </c>
      <c r="C9" s="12">
        <v>0.0144</v>
      </c>
      <c r="D9" s="12">
        <v>0.0144</v>
      </c>
    </row>
    <row r="10" spans="1:4" ht="12">
      <c r="A10" s="12">
        <v>5</v>
      </c>
      <c r="B10" s="12">
        <v>0</v>
      </c>
      <c r="C10" s="12">
        <v>0.0336</v>
      </c>
      <c r="D10" s="12">
        <v>0.0336</v>
      </c>
    </row>
    <row r="11" spans="1:4" ht="12">
      <c r="A11" s="12">
        <v>6</v>
      </c>
      <c r="B11" s="12">
        <v>0</v>
      </c>
      <c r="C11" s="12">
        <v>0.0591</v>
      </c>
      <c r="D11" s="12">
        <v>0.0591</v>
      </c>
    </row>
    <row r="12" spans="1:4" ht="12">
      <c r="A12" s="12">
        <v>7</v>
      </c>
      <c r="B12" s="12">
        <v>0</v>
      </c>
      <c r="C12" s="12">
        <v>0.1221</v>
      </c>
      <c r="D12" s="12">
        <v>0.1222</v>
      </c>
    </row>
    <row r="13" spans="1:4" ht="12">
      <c r="A13" s="12">
        <v>8</v>
      </c>
      <c r="B13" s="12">
        <v>0</v>
      </c>
      <c r="C13" s="12">
        <v>0.1905</v>
      </c>
      <c r="D13" s="12">
        <v>0.1928</v>
      </c>
    </row>
    <row r="14" spans="1:4" ht="12">
      <c r="A14" s="12">
        <v>9</v>
      </c>
      <c r="B14" s="12">
        <v>0</v>
      </c>
      <c r="C14" s="12">
        <v>0.2603</v>
      </c>
      <c r="D14" s="12">
        <v>0.2781</v>
      </c>
    </row>
    <row r="15" spans="1:4" ht="12">
      <c r="A15" s="12">
        <v>10</v>
      </c>
      <c r="B15" s="12">
        <v>0</v>
      </c>
      <c r="C15" s="12">
        <v>0.309</v>
      </c>
      <c r="D15" s="12">
        <v>0.3645</v>
      </c>
    </row>
    <row r="16" spans="1:4" ht="12">
      <c r="A16" s="12">
        <v>11</v>
      </c>
      <c r="B16" s="12">
        <v>0</v>
      </c>
      <c r="C16" s="12">
        <v>0.3412</v>
      </c>
      <c r="D16" s="12">
        <v>0.4495</v>
      </c>
    </row>
    <row r="17" spans="1:4" ht="12">
      <c r="A17" s="12">
        <v>12</v>
      </c>
      <c r="B17" s="12">
        <v>0</v>
      </c>
      <c r="C17" s="12">
        <v>0.3685</v>
      </c>
      <c r="D17" s="12">
        <v>0.5471</v>
      </c>
    </row>
    <row r="18" spans="1:4" ht="12">
      <c r="A18" s="12">
        <v>13</v>
      </c>
      <c r="B18" s="12">
        <v>0</v>
      </c>
      <c r="C18" s="12">
        <v>0.3743</v>
      </c>
      <c r="D18" s="12">
        <v>0.6109</v>
      </c>
    </row>
    <row r="19" spans="1:4" ht="12">
      <c r="A19" s="12">
        <v>14</v>
      </c>
      <c r="B19" s="12">
        <v>0</v>
      </c>
      <c r="C19" s="12">
        <v>0.3501</v>
      </c>
      <c r="D19" s="12">
        <v>0.6406</v>
      </c>
    </row>
    <row r="20" spans="1:4" ht="12">
      <c r="A20" s="12">
        <v>15</v>
      </c>
      <c r="B20" s="12">
        <v>0</v>
      </c>
      <c r="C20" s="12">
        <v>0.3042</v>
      </c>
      <c r="D20" s="12">
        <v>0.6353</v>
      </c>
    </row>
    <row r="21" spans="1:4" ht="12">
      <c r="A21" s="12">
        <v>16</v>
      </c>
      <c r="B21" s="12">
        <v>0</v>
      </c>
      <c r="C21" s="12">
        <v>0.2668</v>
      </c>
      <c r="D21" s="12">
        <v>0.6217</v>
      </c>
    </row>
    <row r="22" spans="1:4" ht="12">
      <c r="A22" s="12">
        <v>17</v>
      </c>
      <c r="B22" s="12">
        <v>0</v>
      </c>
      <c r="C22" s="12">
        <v>0.2322</v>
      </c>
      <c r="D22" s="12">
        <v>0.5977</v>
      </c>
    </row>
    <row r="23" spans="1:4" ht="12">
      <c r="A23" s="12">
        <v>18</v>
      </c>
      <c r="B23" s="12">
        <v>0</v>
      </c>
      <c r="C23" s="12">
        <v>0.2102</v>
      </c>
      <c r="D23" s="12">
        <v>0.5793</v>
      </c>
    </row>
    <row r="24" spans="1:4" ht="12">
      <c r="A24" s="12">
        <v>1</v>
      </c>
      <c r="B24" s="12">
        <v>1</v>
      </c>
      <c r="C24" s="12">
        <v>0.0008</v>
      </c>
      <c r="D24" s="12">
        <v>0.0008</v>
      </c>
    </row>
    <row r="25" spans="1:4" ht="12">
      <c r="A25" s="12">
        <v>2</v>
      </c>
      <c r="B25" s="12">
        <v>1</v>
      </c>
      <c r="C25" s="12">
        <v>0.0015</v>
      </c>
      <c r="D25" s="12">
        <v>0.0015</v>
      </c>
    </row>
    <row r="26" spans="1:4" ht="12">
      <c r="A26" s="12">
        <v>3</v>
      </c>
      <c r="B26" s="12">
        <v>1</v>
      </c>
      <c r="C26" s="12">
        <v>0.0026</v>
      </c>
      <c r="D26" s="12">
        <v>0.0026</v>
      </c>
    </row>
    <row r="27" spans="1:4" ht="12">
      <c r="A27" s="12">
        <v>4</v>
      </c>
      <c r="B27" s="12">
        <v>1</v>
      </c>
      <c r="C27" s="12">
        <v>0.0036</v>
      </c>
      <c r="D27" s="12">
        <v>0.0036</v>
      </c>
    </row>
    <row r="28" spans="1:4" ht="12">
      <c r="A28" s="12">
        <v>5</v>
      </c>
      <c r="B28" s="12">
        <v>1</v>
      </c>
      <c r="C28" s="12">
        <v>0.0075</v>
      </c>
      <c r="D28" s="12">
        <v>0.0075</v>
      </c>
    </row>
    <row r="29" spans="1:4" ht="12">
      <c r="A29" s="12">
        <v>6</v>
      </c>
      <c r="B29" s="12">
        <v>1</v>
      </c>
      <c r="C29" s="12">
        <v>0.0129</v>
      </c>
      <c r="D29" s="12">
        <v>0.0129</v>
      </c>
    </row>
    <row r="30" spans="1:4" ht="12">
      <c r="A30" s="12">
        <v>7</v>
      </c>
      <c r="B30" s="12">
        <v>1</v>
      </c>
      <c r="C30" s="12">
        <v>0.0243</v>
      </c>
      <c r="D30" s="12">
        <v>0.0243</v>
      </c>
    </row>
    <row r="31" spans="1:4" ht="12">
      <c r="A31" s="12">
        <v>8</v>
      </c>
      <c r="B31" s="12">
        <v>1</v>
      </c>
      <c r="C31" s="12">
        <v>0.0409</v>
      </c>
      <c r="D31" s="12">
        <v>0.0414</v>
      </c>
    </row>
    <row r="32" spans="1:4" ht="12">
      <c r="A32" s="12">
        <v>9</v>
      </c>
      <c r="B32" s="12">
        <v>1</v>
      </c>
      <c r="C32" s="12">
        <v>0.0629</v>
      </c>
      <c r="D32" s="12">
        <v>0.0684</v>
      </c>
    </row>
    <row r="33" spans="1:4" ht="12">
      <c r="A33" s="12">
        <v>10</v>
      </c>
      <c r="B33" s="12">
        <v>1</v>
      </c>
      <c r="C33" s="12">
        <v>0.0701</v>
      </c>
      <c r="D33" s="12">
        <v>0.0882</v>
      </c>
    </row>
    <row r="34" spans="1:4" ht="12">
      <c r="A34" s="12">
        <v>11</v>
      </c>
      <c r="B34" s="12">
        <v>1</v>
      </c>
      <c r="C34" s="12">
        <v>0.0917</v>
      </c>
      <c r="D34" s="12">
        <v>0.1374</v>
      </c>
    </row>
    <row r="35" spans="1:4" ht="12">
      <c r="A35" s="12">
        <v>12</v>
      </c>
      <c r="B35" s="12">
        <v>1</v>
      </c>
      <c r="C35" s="12">
        <v>0.1045</v>
      </c>
      <c r="D35" s="12">
        <v>0.1946</v>
      </c>
    </row>
    <row r="36" spans="1:4" ht="12">
      <c r="A36" s="12">
        <v>13</v>
      </c>
      <c r="B36" s="12">
        <v>1</v>
      </c>
      <c r="C36" s="12">
        <v>0.1101</v>
      </c>
      <c r="D36" s="12">
        <v>0.2452</v>
      </c>
    </row>
    <row r="37" spans="1:4" ht="12">
      <c r="A37" s="12">
        <v>14</v>
      </c>
      <c r="B37" s="12">
        <v>1</v>
      </c>
      <c r="C37" s="12">
        <v>0.1</v>
      </c>
      <c r="D37" s="12">
        <v>0.2688</v>
      </c>
    </row>
    <row r="38" spans="1:4" ht="12">
      <c r="A38" s="12">
        <v>15</v>
      </c>
      <c r="B38" s="12">
        <v>1</v>
      </c>
      <c r="C38" s="12">
        <v>0.0817</v>
      </c>
      <c r="D38" s="12">
        <v>0.2617</v>
      </c>
    </row>
    <row r="39" spans="1:4" ht="12">
      <c r="A39" s="12">
        <v>16</v>
      </c>
      <c r="B39" s="12">
        <v>1</v>
      </c>
      <c r="C39" s="12">
        <v>0.0696</v>
      </c>
      <c r="D39" s="12">
        <v>0.2526</v>
      </c>
    </row>
    <row r="40" spans="1:4" ht="12">
      <c r="A40" s="12">
        <v>17</v>
      </c>
      <c r="B40" s="12">
        <v>1</v>
      </c>
      <c r="C40" s="12">
        <v>0.0574</v>
      </c>
      <c r="D40" s="12">
        <v>0.2303</v>
      </c>
    </row>
    <row r="41" spans="1:4" ht="12">
      <c r="A41" s="12">
        <v>18</v>
      </c>
      <c r="B41" s="12">
        <v>1</v>
      </c>
      <c r="C41" s="12">
        <v>0.0549</v>
      </c>
      <c r="D41" s="12">
        <v>0.2311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6" sqref="A6"/>
    </sheetView>
  </sheetViews>
  <sheetFormatPr defaultColWidth="9.140625" defaultRowHeight="12.75"/>
  <cols>
    <col min="1" max="1" width="18.57421875" style="12" customWidth="1"/>
    <col min="2" max="2" width="11.7109375" style="12" customWidth="1"/>
    <col min="3" max="16384" width="8.00390625" style="12" customWidth="1"/>
  </cols>
  <sheetData>
    <row r="1" spans="1:3" ht="12">
      <c r="A1" s="14" t="s">
        <v>372</v>
      </c>
      <c r="C1" s="20">
        <v>15.98</v>
      </c>
    </row>
    <row r="2" ht="12">
      <c r="A2" s="14" t="s">
        <v>373</v>
      </c>
    </row>
    <row r="3" spans="1:2" ht="12.75" thickBot="1">
      <c r="A3" s="14" t="s">
        <v>407</v>
      </c>
      <c r="B3" s="12">
        <v>0.02</v>
      </c>
    </row>
    <row r="4" spans="1:8" ht="12">
      <c r="A4" s="21" t="s">
        <v>22</v>
      </c>
      <c r="B4" s="22"/>
      <c r="C4" s="167" t="s">
        <v>370</v>
      </c>
      <c r="D4" s="22"/>
      <c r="E4" s="23"/>
      <c r="F4" s="22"/>
      <c r="G4" s="22"/>
      <c r="H4" s="24"/>
    </row>
    <row r="5" spans="1:8" ht="12">
      <c r="A5" s="25" t="s">
        <v>23</v>
      </c>
      <c r="B5" s="26" t="s">
        <v>24</v>
      </c>
      <c r="C5" s="26" t="s">
        <v>371</v>
      </c>
      <c r="D5" s="27"/>
      <c r="E5" s="26"/>
      <c r="F5" s="27"/>
      <c r="G5" s="27"/>
      <c r="H5" s="28"/>
    </row>
    <row r="6" spans="1:8" ht="12">
      <c r="A6" s="29">
        <v>5</v>
      </c>
      <c r="B6" s="47">
        <v>66.71</v>
      </c>
      <c r="C6" s="27"/>
      <c r="D6" s="27"/>
      <c r="E6" s="27"/>
      <c r="F6" s="27"/>
      <c r="G6" s="27"/>
      <c r="H6" s="28"/>
    </row>
    <row r="7" spans="1:8" ht="12">
      <c r="A7" s="29">
        <v>10</v>
      </c>
      <c r="B7" s="47">
        <v>35.55</v>
      </c>
      <c r="C7" s="27"/>
      <c r="D7" s="27"/>
      <c r="E7" s="27"/>
      <c r="F7" s="27"/>
      <c r="G7" s="27"/>
      <c r="H7" s="28"/>
    </row>
    <row r="8" spans="1:8" ht="12">
      <c r="A8" s="29">
        <v>15</v>
      </c>
      <c r="B8" s="47">
        <v>25.3</v>
      </c>
      <c r="C8" s="27"/>
      <c r="D8" s="27"/>
      <c r="E8" s="27"/>
      <c r="F8" s="27"/>
      <c r="G8" s="27"/>
      <c r="H8" s="28"/>
    </row>
    <row r="9" spans="1:8" ht="12">
      <c r="A9" s="29">
        <v>20</v>
      </c>
      <c r="B9" s="47">
        <v>20.25</v>
      </c>
      <c r="C9" s="27"/>
      <c r="D9" s="27"/>
      <c r="E9" s="27"/>
      <c r="F9" s="27"/>
      <c r="G9" s="27"/>
      <c r="H9" s="28"/>
    </row>
    <row r="10" spans="1:8" ht="12">
      <c r="A10" s="29">
        <v>25</v>
      </c>
      <c r="B10" s="47">
        <v>16.86</v>
      </c>
      <c r="C10" s="27"/>
      <c r="D10" s="27"/>
      <c r="E10" s="27"/>
      <c r="F10" s="27"/>
      <c r="G10" s="27"/>
      <c r="H10" s="28"/>
    </row>
    <row r="11" spans="1:8" ht="12">
      <c r="A11" s="29">
        <v>30</v>
      </c>
      <c r="B11" s="47">
        <v>14.55</v>
      </c>
      <c r="C11" s="27"/>
      <c r="D11" s="27"/>
      <c r="E11" s="27"/>
      <c r="F11" s="27"/>
      <c r="G11" s="27"/>
      <c r="H11" s="28"/>
    </row>
    <row r="12" spans="1:8" ht="12">
      <c r="A12" s="29">
        <v>35</v>
      </c>
      <c r="B12" s="47">
        <v>12.89</v>
      </c>
      <c r="C12" s="27"/>
      <c r="D12" s="27"/>
      <c r="E12" s="27"/>
      <c r="F12" s="27"/>
      <c r="G12" s="27"/>
      <c r="H12" s="28"/>
    </row>
    <row r="13" spans="1:8" ht="12">
      <c r="A13" s="29">
        <v>40</v>
      </c>
      <c r="B13" s="47">
        <v>11.67</v>
      </c>
      <c r="C13" s="27"/>
      <c r="D13" s="27"/>
      <c r="E13" s="27"/>
      <c r="F13" s="27"/>
      <c r="G13" s="27"/>
      <c r="H13" s="28"/>
    </row>
    <row r="14" spans="1:8" ht="12">
      <c r="A14" s="29">
        <v>45</v>
      </c>
      <c r="B14" s="47">
        <v>10.78</v>
      </c>
      <c r="C14" s="27"/>
      <c r="D14" s="27"/>
      <c r="E14" s="27"/>
      <c r="F14" s="27"/>
      <c r="G14" s="27"/>
      <c r="H14" s="28"/>
    </row>
    <row r="15" spans="1:8" ht="12">
      <c r="A15" s="29">
        <v>50</v>
      </c>
      <c r="B15" s="47">
        <v>10.36</v>
      </c>
      <c r="C15" s="27"/>
      <c r="D15" s="27"/>
      <c r="E15" s="27"/>
      <c r="F15" s="27"/>
      <c r="G15" s="27"/>
      <c r="H15" s="28"/>
    </row>
    <row r="16" spans="1:8" ht="12">
      <c r="A16" s="29">
        <v>55</v>
      </c>
      <c r="B16" s="47">
        <v>10.36</v>
      </c>
      <c r="C16" s="27"/>
      <c r="D16" s="27"/>
      <c r="E16" s="27"/>
      <c r="F16" s="27"/>
      <c r="G16" s="27"/>
      <c r="H16" s="28"/>
    </row>
    <row r="17" spans="1:8" ht="12">
      <c r="A17" s="29">
        <v>60</v>
      </c>
      <c r="B17" s="47">
        <v>18.93</v>
      </c>
      <c r="C17" s="27"/>
      <c r="D17" s="27"/>
      <c r="E17" s="27"/>
      <c r="F17" s="27"/>
      <c r="G17" s="27"/>
      <c r="H17" s="28"/>
    </row>
    <row r="18" spans="1:8" ht="12">
      <c r="A18" s="29">
        <v>65</v>
      </c>
      <c r="B18" s="47">
        <v>27.51</v>
      </c>
      <c r="C18" s="27"/>
      <c r="D18" s="27"/>
      <c r="E18" s="27"/>
      <c r="F18" s="27"/>
      <c r="G18" s="27"/>
      <c r="H18" s="28"/>
    </row>
    <row r="19" spans="1:8" ht="12">
      <c r="A19" s="29"/>
      <c r="B19" s="27"/>
      <c r="C19" s="27"/>
      <c r="D19" s="27"/>
      <c r="E19" s="27"/>
      <c r="F19" s="27"/>
      <c r="G19" s="27"/>
      <c r="H19" s="28"/>
    </row>
    <row r="20" spans="1:8" ht="12">
      <c r="A20" s="30" t="s">
        <v>25</v>
      </c>
      <c r="B20" s="27"/>
      <c r="C20" s="27"/>
      <c r="D20" s="27"/>
      <c r="E20" s="26"/>
      <c r="F20" s="27"/>
      <c r="G20" s="27"/>
      <c r="H20" s="28"/>
    </row>
    <row r="21" spans="1:8" ht="12">
      <c r="A21" s="25" t="s">
        <v>23</v>
      </c>
      <c r="B21" s="26" t="s">
        <v>24</v>
      </c>
      <c r="C21" s="27"/>
      <c r="D21" s="27"/>
      <c r="E21" s="27"/>
      <c r="F21" s="27"/>
      <c r="G21" s="27"/>
      <c r="H21" s="28"/>
    </row>
    <row r="22" spans="1:8" ht="12">
      <c r="A22" s="29">
        <v>5</v>
      </c>
      <c r="B22" s="47">
        <v>2</v>
      </c>
      <c r="C22" s="27"/>
      <c r="D22" s="46"/>
      <c r="E22" s="27"/>
      <c r="F22" s="27"/>
      <c r="G22" s="27"/>
      <c r="H22" s="28"/>
    </row>
    <row r="23" spans="1:8" ht="12">
      <c r="A23" s="29">
        <v>10</v>
      </c>
      <c r="B23" s="47">
        <v>1.78</v>
      </c>
      <c r="C23" s="27"/>
      <c r="D23" s="46"/>
      <c r="E23" s="27"/>
      <c r="F23" s="27"/>
      <c r="G23" s="27"/>
      <c r="H23" s="28"/>
    </row>
    <row r="24" spans="1:8" ht="12">
      <c r="A24" s="29">
        <v>15</v>
      </c>
      <c r="B24" s="47">
        <v>1.71</v>
      </c>
      <c r="C24" s="27"/>
      <c r="D24" s="46"/>
      <c r="E24" s="27"/>
      <c r="F24" s="27"/>
      <c r="G24" s="27"/>
      <c r="H24" s="28"/>
    </row>
    <row r="25" spans="1:8" ht="12">
      <c r="A25" s="29">
        <v>20</v>
      </c>
      <c r="B25" s="47">
        <v>1.68</v>
      </c>
      <c r="C25" s="27"/>
      <c r="D25" s="46"/>
      <c r="E25" s="27"/>
      <c r="F25" s="27"/>
      <c r="G25" s="27"/>
      <c r="H25" s="28"/>
    </row>
    <row r="26" spans="1:8" ht="12">
      <c r="A26" s="29">
        <v>25</v>
      </c>
      <c r="B26" s="47">
        <v>1.73</v>
      </c>
      <c r="C26" s="27"/>
      <c r="D26" s="46"/>
      <c r="E26" s="27"/>
      <c r="F26" s="27"/>
      <c r="G26" s="27"/>
      <c r="H26" s="28"/>
    </row>
    <row r="27" spans="1:8" ht="12">
      <c r="A27" s="29">
        <v>30</v>
      </c>
      <c r="B27" s="47">
        <v>1.77</v>
      </c>
      <c r="C27" s="27"/>
      <c r="D27" s="46"/>
      <c r="E27" s="27"/>
      <c r="F27" s="27"/>
      <c r="G27" s="27"/>
      <c r="H27" s="28"/>
    </row>
    <row r="28" spans="1:8" ht="12">
      <c r="A28" s="29">
        <v>35</v>
      </c>
      <c r="B28" s="47">
        <v>1.8</v>
      </c>
      <c r="C28" s="27"/>
      <c r="D28" s="46"/>
      <c r="E28" s="27"/>
      <c r="F28" s="27"/>
      <c r="G28" s="27"/>
      <c r="H28" s="28"/>
    </row>
    <row r="29" spans="1:8" ht="12">
      <c r="A29" s="29">
        <v>40</v>
      </c>
      <c r="B29" s="47">
        <v>1.82</v>
      </c>
      <c r="C29" s="27"/>
      <c r="D29" s="46"/>
      <c r="E29" s="27"/>
      <c r="F29" s="27"/>
      <c r="G29" s="27"/>
      <c r="H29" s="28"/>
    </row>
    <row r="30" spans="1:8" ht="12">
      <c r="A30" s="29">
        <v>45</v>
      </c>
      <c r="B30" s="47">
        <v>1.84</v>
      </c>
      <c r="C30" s="27"/>
      <c r="D30" s="46"/>
      <c r="E30" s="27"/>
      <c r="F30" s="27"/>
      <c r="G30" s="27"/>
      <c r="H30" s="28"/>
    </row>
    <row r="31" spans="1:8" ht="12">
      <c r="A31" s="29">
        <v>50</v>
      </c>
      <c r="B31" s="47">
        <v>2</v>
      </c>
      <c r="C31" s="27"/>
      <c r="D31" s="46"/>
      <c r="E31" s="27"/>
      <c r="F31" s="27"/>
      <c r="G31" s="27"/>
      <c r="H31" s="28"/>
    </row>
    <row r="32" spans="1:8" ht="12">
      <c r="A32" s="29">
        <v>55</v>
      </c>
      <c r="B32" s="47">
        <v>2.37</v>
      </c>
      <c r="C32" s="27"/>
      <c r="D32" s="46"/>
      <c r="E32" s="27"/>
      <c r="F32" s="27"/>
      <c r="G32" s="27"/>
      <c r="H32" s="28"/>
    </row>
    <row r="33" spans="1:8" ht="12">
      <c r="A33" s="29">
        <v>60</v>
      </c>
      <c r="B33" s="47">
        <v>2.74</v>
      </c>
      <c r="C33" s="27"/>
      <c r="D33" s="46"/>
      <c r="E33" s="27"/>
      <c r="F33" s="27"/>
      <c r="G33" s="27"/>
      <c r="H33" s="28"/>
    </row>
    <row r="34" spans="1:8" ht="12">
      <c r="A34" s="29">
        <v>65</v>
      </c>
      <c r="B34" s="47">
        <v>3.11</v>
      </c>
      <c r="C34" s="27"/>
      <c r="D34" s="46"/>
      <c r="E34" s="27"/>
      <c r="F34" s="27"/>
      <c r="G34" s="27"/>
      <c r="H34" s="28"/>
    </row>
    <row r="35" spans="1:8" ht="12">
      <c r="A35" s="29"/>
      <c r="B35" s="27"/>
      <c r="C35" s="27"/>
      <c r="D35" s="27"/>
      <c r="E35" s="27"/>
      <c r="F35" s="27"/>
      <c r="G35" s="27"/>
      <c r="H35" s="28"/>
    </row>
    <row r="36" spans="1:8" ht="12">
      <c r="A36" s="30" t="s">
        <v>102</v>
      </c>
      <c r="B36" s="27"/>
      <c r="C36" s="27"/>
      <c r="D36" s="27"/>
      <c r="E36" s="26"/>
      <c r="F36" s="27"/>
      <c r="G36" s="27"/>
      <c r="H36" s="28"/>
    </row>
    <row r="37" spans="1:8" ht="12">
      <c r="A37" s="25" t="s">
        <v>23</v>
      </c>
      <c r="B37" s="26" t="s">
        <v>24</v>
      </c>
      <c r="C37" s="27"/>
      <c r="D37" s="27"/>
      <c r="E37" s="27"/>
      <c r="F37" s="27"/>
      <c r="G37" s="27"/>
      <c r="H37" s="28"/>
    </row>
    <row r="38" spans="1:8" ht="12">
      <c r="A38" s="29">
        <v>5</v>
      </c>
      <c r="B38" s="47">
        <v>8.04</v>
      </c>
      <c r="C38" s="27"/>
      <c r="D38" s="27"/>
      <c r="E38" s="27"/>
      <c r="F38" s="27"/>
      <c r="G38" s="27"/>
      <c r="H38" s="28"/>
    </row>
    <row r="39" spans="1:8" ht="12">
      <c r="A39" s="29">
        <v>10</v>
      </c>
      <c r="B39" s="47">
        <v>4.3</v>
      </c>
      <c r="C39" s="27"/>
      <c r="D39" s="27"/>
      <c r="E39" s="27"/>
      <c r="F39" s="27"/>
      <c r="G39" s="27"/>
      <c r="H39" s="28"/>
    </row>
    <row r="40" spans="1:8" ht="12">
      <c r="A40" s="29">
        <v>15</v>
      </c>
      <c r="B40" s="47">
        <v>3.15</v>
      </c>
      <c r="C40" s="27"/>
      <c r="D40" s="27"/>
      <c r="E40" s="27"/>
      <c r="F40" s="27"/>
      <c r="G40" s="27"/>
      <c r="H40" s="28"/>
    </row>
    <row r="41" spans="1:8" ht="12">
      <c r="A41" s="29">
        <v>20</v>
      </c>
      <c r="B41" s="47">
        <v>2.51</v>
      </c>
      <c r="C41" s="27"/>
      <c r="D41" s="27"/>
      <c r="E41" s="27"/>
      <c r="F41" s="27"/>
      <c r="G41" s="27"/>
      <c r="H41" s="28"/>
    </row>
    <row r="42" spans="1:8" ht="12">
      <c r="A42" s="29">
        <v>25</v>
      </c>
      <c r="B42" s="47">
        <v>2.14</v>
      </c>
      <c r="C42" s="27"/>
      <c r="D42" s="27"/>
      <c r="E42" s="27"/>
      <c r="F42" s="27"/>
      <c r="G42" s="27"/>
      <c r="H42" s="28"/>
    </row>
    <row r="43" spans="1:8" ht="12">
      <c r="A43" s="29">
        <v>30</v>
      </c>
      <c r="B43" s="47">
        <v>1.89</v>
      </c>
      <c r="C43" s="27"/>
      <c r="D43" s="27"/>
      <c r="E43" s="27"/>
      <c r="F43" s="27"/>
      <c r="G43" s="27"/>
      <c r="H43" s="28"/>
    </row>
    <row r="44" spans="1:8" ht="12">
      <c r="A44" s="29">
        <v>35</v>
      </c>
      <c r="B44" s="47">
        <v>1.71</v>
      </c>
      <c r="C44" s="27"/>
      <c r="D44" s="27"/>
      <c r="E44" s="27"/>
      <c r="F44" s="27"/>
      <c r="G44" s="27"/>
      <c r="H44" s="28"/>
    </row>
    <row r="45" spans="1:8" ht="12">
      <c r="A45" s="29">
        <v>40</v>
      </c>
      <c r="B45" s="47">
        <v>1.56</v>
      </c>
      <c r="C45" s="27"/>
      <c r="D45" s="27"/>
      <c r="E45" s="27"/>
      <c r="F45" s="27"/>
      <c r="G45" s="27"/>
      <c r="H45" s="28"/>
    </row>
    <row r="46" spans="1:8" ht="12">
      <c r="A46" s="29">
        <v>45</v>
      </c>
      <c r="B46" s="47">
        <v>1.44</v>
      </c>
      <c r="C46" s="27"/>
      <c r="D46" s="27"/>
      <c r="E46" s="27"/>
      <c r="F46" s="27"/>
      <c r="G46" s="27"/>
      <c r="H46" s="28"/>
    </row>
    <row r="47" spans="1:8" ht="12">
      <c r="A47" s="29">
        <v>50</v>
      </c>
      <c r="B47" s="47">
        <v>1.38</v>
      </c>
      <c r="C47" s="27"/>
      <c r="D47" s="27"/>
      <c r="E47" s="27"/>
      <c r="F47" s="27"/>
      <c r="G47" s="27"/>
      <c r="H47" s="28"/>
    </row>
    <row r="48" spans="1:8" ht="12">
      <c r="A48" s="29">
        <v>55</v>
      </c>
      <c r="B48" s="47">
        <v>1.36</v>
      </c>
      <c r="C48" s="27"/>
      <c r="D48" s="27"/>
      <c r="E48" s="27"/>
      <c r="F48" s="27"/>
      <c r="G48" s="27"/>
      <c r="H48" s="28"/>
    </row>
    <row r="49" spans="1:8" ht="12">
      <c r="A49" s="29">
        <v>60</v>
      </c>
      <c r="B49" s="47">
        <v>1.6</v>
      </c>
      <c r="C49" s="27"/>
      <c r="D49" s="27"/>
      <c r="E49" s="27"/>
      <c r="F49" s="27"/>
      <c r="G49" s="27"/>
      <c r="H49" s="28"/>
    </row>
    <row r="50" spans="1:8" ht="12">
      <c r="A50" s="29">
        <v>65</v>
      </c>
      <c r="B50" s="47">
        <v>1.84</v>
      </c>
      <c r="C50" s="27"/>
      <c r="D50" s="27"/>
      <c r="E50" s="27"/>
      <c r="F50" s="27"/>
      <c r="G50" s="27"/>
      <c r="H50" s="28"/>
    </row>
    <row r="51" spans="1:8" ht="12.75" thickBot="1">
      <c r="A51" s="31"/>
      <c r="B51" s="32"/>
      <c r="C51" s="32"/>
      <c r="D51" s="32"/>
      <c r="E51" s="32"/>
      <c r="F51" s="32"/>
      <c r="G51" s="32"/>
      <c r="H51" s="33"/>
    </row>
    <row r="52" spans="1:2" ht="12">
      <c r="A52" s="20" t="s">
        <v>26</v>
      </c>
      <c r="B52" s="14" t="s">
        <v>374</v>
      </c>
    </row>
    <row r="53" spans="1:4" ht="12">
      <c r="A53" s="14" t="s">
        <v>23</v>
      </c>
      <c r="B53" s="14" t="s">
        <v>27</v>
      </c>
      <c r="D53" s="14" t="s">
        <v>375</v>
      </c>
    </row>
    <row r="54" spans="1:2" ht="12">
      <c r="A54" s="12">
        <v>5</v>
      </c>
      <c r="B54" s="12">
        <v>0.236</v>
      </c>
    </row>
    <row r="55" spans="1:2" ht="12">
      <c r="A55" s="12">
        <v>10</v>
      </c>
      <c r="B55" s="12">
        <v>0.195</v>
      </c>
    </row>
    <row r="56" spans="1:2" ht="12">
      <c r="A56" s="12">
        <v>15</v>
      </c>
      <c r="B56" s="12">
        <v>0.158</v>
      </c>
    </row>
    <row r="57" spans="1:2" ht="12">
      <c r="A57" s="12">
        <v>20</v>
      </c>
      <c r="B57" s="12">
        <v>0.134</v>
      </c>
    </row>
    <row r="58" spans="1:2" ht="12">
      <c r="A58" s="12">
        <v>25</v>
      </c>
      <c r="B58" s="12">
        <v>0.117</v>
      </c>
    </row>
    <row r="59" spans="1:2" ht="12">
      <c r="A59" s="12">
        <v>30</v>
      </c>
      <c r="B59" s="12">
        <v>0.104</v>
      </c>
    </row>
    <row r="60" spans="1:2" ht="12">
      <c r="A60" s="12">
        <v>35</v>
      </c>
      <c r="B60" s="12">
        <v>0.094</v>
      </c>
    </row>
    <row r="61" spans="1:2" ht="12">
      <c r="A61" s="12">
        <v>40</v>
      </c>
      <c r="B61" s="12">
        <v>0.089</v>
      </c>
    </row>
    <row r="62" spans="1:2" ht="12">
      <c r="A62" s="12">
        <v>45</v>
      </c>
      <c r="B62" s="12">
        <v>0.085</v>
      </c>
    </row>
    <row r="63" spans="1:2" ht="12">
      <c r="A63" s="12">
        <v>50</v>
      </c>
      <c r="B63" s="12">
        <v>0.084</v>
      </c>
    </row>
    <row r="64" spans="1:2" ht="12">
      <c r="A64" s="12">
        <v>55</v>
      </c>
      <c r="B64" s="12">
        <v>0.082</v>
      </c>
    </row>
    <row r="65" spans="1:2" ht="12">
      <c r="A65" s="12">
        <v>60</v>
      </c>
      <c r="B65" s="12">
        <v>0.082</v>
      </c>
    </row>
    <row r="66" spans="1:2" ht="12">
      <c r="A66" s="12">
        <v>65</v>
      </c>
      <c r="B66" s="12">
        <v>0.082</v>
      </c>
    </row>
  </sheetData>
  <sheetProtection sheet="1" objects="1" scenarios="1"/>
  <printOptions gridLines="1" horizontalCentered="1"/>
  <pageMargins left="0.75" right="0.75" top="0.5" bottom="0.5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1" sqref="B11"/>
    </sheetView>
  </sheetViews>
  <sheetFormatPr defaultColWidth="9.140625" defaultRowHeight="12.75"/>
  <cols>
    <col min="1" max="16384" width="8.00390625" style="12" customWidth="1"/>
  </cols>
  <sheetData>
    <row r="1" ht="12">
      <c r="A1" s="14" t="s">
        <v>28</v>
      </c>
    </row>
    <row r="2" spans="1:2" ht="12">
      <c r="A2" s="12">
        <v>1</v>
      </c>
      <c r="B2" s="12">
        <v>1.07</v>
      </c>
    </row>
    <row r="3" spans="1:2" ht="12">
      <c r="A3" s="12">
        <v>2</v>
      </c>
      <c r="B3" s="12">
        <v>0.553</v>
      </c>
    </row>
    <row r="4" spans="1:2" ht="12">
      <c r="A4" s="12">
        <v>3</v>
      </c>
      <c r="B4" s="12">
        <v>0.381</v>
      </c>
    </row>
    <row r="5" spans="1:2" ht="12">
      <c r="A5" s="12">
        <v>4</v>
      </c>
      <c r="B5" s="12">
        <v>0.295</v>
      </c>
    </row>
    <row r="6" spans="1:2" ht="12">
      <c r="A6" s="12">
        <v>5</v>
      </c>
      <c r="B6" s="12">
        <v>0.244</v>
      </c>
    </row>
    <row r="7" spans="1:2" ht="12">
      <c r="A7" s="12">
        <v>6</v>
      </c>
      <c r="B7" s="12">
        <v>0.21</v>
      </c>
    </row>
    <row r="8" spans="1:2" ht="12">
      <c r="A8" s="12">
        <v>7</v>
      </c>
      <c r="B8" s="12">
        <v>0.186</v>
      </c>
    </row>
    <row r="9" spans="1:2" ht="12">
      <c r="A9" s="12">
        <v>8</v>
      </c>
      <c r="B9" s="12">
        <v>0.167</v>
      </c>
    </row>
    <row r="10" spans="1:2" ht="12">
      <c r="A10" s="12">
        <v>9</v>
      </c>
      <c r="B10" s="12">
        <v>0.153</v>
      </c>
    </row>
    <row r="11" spans="1:2" ht="12">
      <c r="A11" s="12">
        <v>10</v>
      </c>
      <c r="B11" s="12">
        <v>0.142</v>
      </c>
    </row>
    <row r="12" spans="1:2" ht="12">
      <c r="A12" s="12">
        <v>11</v>
      </c>
      <c r="B12" s="12">
        <v>0.133</v>
      </c>
    </row>
    <row r="13" spans="1:2" ht="12">
      <c r="A13" s="12">
        <v>12</v>
      </c>
      <c r="B13" s="12">
        <v>0.126</v>
      </c>
    </row>
    <row r="14" spans="1:2" ht="12">
      <c r="A14" s="12">
        <v>13</v>
      </c>
      <c r="B14" s="12">
        <v>0.12</v>
      </c>
    </row>
    <row r="15" spans="1:2" ht="12">
      <c r="A15" s="12">
        <v>14</v>
      </c>
      <c r="B15" s="12">
        <v>0.114</v>
      </c>
    </row>
    <row r="16" spans="1:2" ht="12">
      <c r="A16" s="12">
        <v>15</v>
      </c>
      <c r="B16" s="12">
        <v>0.11</v>
      </c>
    </row>
    <row r="17" spans="1:2" ht="12">
      <c r="A17" s="12">
        <v>16</v>
      </c>
      <c r="B17" s="12">
        <v>0.106</v>
      </c>
    </row>
    <row r="18" spans="1:2" ht="12">
      <c r="A18" s="12">
        <v>17</v>
      </c>
      <c r="B18" s="12">
        <v>0.102</v>
      </c>
    </row>
    <row r="19" spans="1:2" ht="12">
      <c r="A19" s="12">
        <v>18</v>
      </c>
      <c r="B19" s="12">
        <v>0.099</v>
      </c>
    </row>
    <row r="20" spans="1:2" ht="12">
      <c r="A20" s="12">
        <v>19</v>
      </c>
      <c r="B20" s="12">
        <v>0.097</v>
      </c>
    </row>
    <row r="21" spans="1:2" ht="12">
      <c r="A21" s="12">
        <v>20</v>
      </c>
      <c r="B21" s="12">
        <v>0.094</v>
      </c>
    </row>
    <row r="22" spans="1:2" ht="12">
      <c r="A22" s="12">
        <v>25</v>
      </c>
      <c r="B22" s="12">
        <v>0.086</v>
      </c>
    </row>
    <row r="23" spans="1:2" ht="12">
      <c r="A23" s="12">
        <v>30</v>
      </c>
      <c r="B23" s="12">
        <v>0.081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E3" sqref="E3"/>
    </sheetView>
  </sheetViews>
  <sheetFormatPr defaultColWidth="9.140625" defaultRowHeight="12.75"/>
  <cols>
    <col min="1" max="1" width="6.57421875" style="0" customWidth="1"/>
    <col min="2" max="2" width="10.00390625" style="0" customWidth="1"/>
    <col min="6" max="6" width="12.140625" style="0" customWidth="1"/>
    <col min="7" max="7" width="10.8515625" style="0" customWidth="1"/>
  </cols>
  <sheetData>
    <row r="1" ht="12.75">
      <c r="A1" t="s">
        <v>412</v>
      </c>
    </row>
    <row r="2" spans="1:5" ht="44.25" customHeight="1">
      <c r="A2" s="254" t="s">
        <v>414</v>
      </c>
      <c r="B2" s="254"/>
      <c r="C2" s="255"/>
      <c r="D2" s="255"/>
      <c r="E2" s="255"/>
    </row>
    <row r="3" spans="1:3" ht="63.75">
      <c r="A3" s="11"/>
      <c r="B3" s="35" t="s">
        <v>61</v>
      </c>
      <c r="C3" s="36" t="s">
        <v>104</v>
      </c>
    </row>
    <row r="4" spans="1:3" ht="12.75">
      <c r="A4" s="11"/>
      <c r="B4" s="41">
        <v>1</v>
      </c>
      <c r="C4" s="42">
        <v>59.68</v>
      </c>
    </row>
    <row r="5" spans="1:3" ht="12.75">
      <c r="A5" s="11"/>
      <c r="B5" s="37">
        <v>1.1</v>
      </c>
      <c r="C5" s="43">
        <f>SUM(C4-0.031)</f>
        <v>59.649</v>
      </c>
    </row>
    <row r="6" spans="1:3" ht="12.75">
      <c r="A6" s="11"/>
      <c r="B6" s="37">
        <v>1.2</v>
      </c>
      <c r="C6" s="43">
        <f aca="true" t="shared" si="0" ref="C6:C13">SUM(C5-0.031)</f>
        <v>59.618</v>
      </c>
    </row>
    <row r="7" spans="1:3" ht="12.75">
      <c r="A7" s="11"/>
      <c r="B7" s="37">
        <v>1.3</v>
      </c>
      <c r="C7" s="43">
        <f t="shared" si="0"/>
        <v>59.587</v>
      </c>
    </row>
    <row r="8" spans="1:3" ht="12.75">
      <c r="A8" s="11"/>
      <c r="B8" s="37">
        <v>1.4</v>
      </c>
      <c r="C8" s="43">
        <f t="shared" si="0"/>
        <v>59.556000000000004</v>
      </c>
    </row>
    <row r="9" spans="1:3" ht="12.75">
      <c r="A9" s="11"/>
      <c r="B9" s="37">
        <v>1.5</v>
      </c>
      <c r="C9" s="43">
        <f t="shared" si="0"/>
        <v>59.525000000000006</v>
      </c>
    </row>
    <row r="10" spans="1:3" ht="12.75">
      <c r="A10" s="11"/>
      <c r="B10" s="37">
        <v>1.6</v>
      </c>
      <c r="C10" s="43">
        <f t="shared" si="0"/>
        <v>59.49400000000001</v>
      </c>
    </row>
    <row r="11" spans="1:3" ht="12.75">
      <c r="A11" s="11"/>
      <c r="B11" s="37">
        <v>1.7</v>
      </c>
      <c r="C11" s="43">
        <f t="shared" si="0"/>
        <v>59.46300000000001</v>
      </c>
    </row>
    <row r="12" spans="1:3" ht="12.75">
      <c r="A12" s="11"/>
      <c r="B12" s="37">
        <v>1.8</v>
      </c>
      <c r="C12" s="43">
        <f t="shared" si="0"/>
        <v>59.43200000000001</v>
      </c>
    </row>
    <row r="13" spans="1:3" ht="12.75">
      <c r="A13" s="11"/>
      <c r="B13" s="37">
        <v>1.9</v>
      </c>
      <c r="C13" s="43">
        <f t="shared" si="0"/>
        <v>59.40100000000001</v>
      </c>
    </row>
    <row r="14" spans="1:3" ht="12.75">
      <c r="A14" s="11"/>
      <c r="B14" s="41">
        <v>2</v>
      </c>
      <c r="C14" s="42">
        <v>59.37</v>
      </c>
    </row>
    <row r="15" spans="1:3" ht="12.75">
      <c r="A15" s="11"/>
      <c r="B15" s="37">
        <v>2.1</v>
      </c>
      <c r="C15" s="43">
        <f>SUM(C14-0.035)</f>
        <v>59.335</v>
      </c>
    </row>
    <row r="16" spans="1:3" ht="12.75">
      <c r="A16" s="11"/>
      <c r="B16" s="37">
        <v>2.2</v>
      </c>
      <c r="C16" s="43">
        <f aca="true" t="shared" si="1" ref="C16:C23">SUM(C15-0.035)</f>
        <v>59.300000000000004</v>
      </c>
    </row>
    <row r="17" spans="1:3" ht="12.75">
      <c r="A17" s="11"/>
      <c r="B17" s="37">
        <v>2.3</v>
      </c>
      <c r="C17" s="43">
        <f t="shared" si="1"/>
        <v>59.26500000000001</v>
      </c>
    </row>
    <row r="18" spans="1:3" ht="12.75">
      <c r="A18" s="11"/>
      <c r="B18" s="37">
        <v>2.4</v>
      </c>
      <c r="C18" s="43">
        <f t="shared" si="1"/>
        <v>59.23000000000001</v>
      </c>
    </row>
    <row r="19" spans="1:3" ht="12.75">
      <c r="A19" s="11"/>
      <c r="B19" s="37">
        <v>2.5</v>
      </c>
      <c r="C19" s="43">
        <f t="shared" si="1"/>
        <v>59.195000000000014</v>
      </c>
    </row>
    <row r="20" spans="1:3" ht="12.75">
      <c r="A20" s="11"/>
      <c r="B20" s="37">
        <v>2.6</v>
      </c>
      <c r="C20" s="43">
        <f t="shared" si="1"/>
        <v>59.16000000000002</v>
      </c>
    </row>
    <row r="21" spans="1:3" ht="12.75">
      <c r="A21" s="11"/>
      <c r="B21" s="37">
        <v>2.7</v>
      </c>
      <c r="C21" s="43">
        <f t="shared" si="1"/>
        <v>59.12500000000002</v>
      </c>
    </row>
    <row r="22" spans="1:3" ht="12.75">
      <c r="A22" s="11"/>
      <c r="B22" s="37">
        <v>2.8</v>
      </c>
      <c r="C22" s="43">
        <f t="shared" si="1"/>
        <v>59.090000000000025</v>
      </c>
    </row>
    <row r="23" spans="1:3" ht="12.75">
      <c r="A23" s="11"/>
      <c r="B23" s="37">
        <v>2.9</v>
      </c>
      <c r="C23" s="43">
        <f t="shared" si="1"/>
        <v>59.05500000000003</v>
      </c>
    </row>
    <row r="24" spans="1:3" ht="12.75">
      <c r="A24" s="11"/>
      <c r="B24" s="41">
        <v>3</v>
      </c>
      <c r="C24" s="42">
        <v>59.02</v>
      </c>
    </row>
    <row r="25" spans="1:3" ht="12.75">
      <c r="A25" s="11"/>
      <c r="B25" s="37">
        <v>3.1</v>
      </c>
      <c r="C25" s="43">
        <f>SUM(C24-0.038)</f>
        <v>58.982000000000006</v>
      </c>
    </row>
    <row r="26" spans="1:3" ht="12.75">
      <c r="A26" s="11"/>
      <c r="B26" s="37">
        <v>3.2</v>
      </c>
      <c r="C26" s="43">
        <f aca="true" t="shared" si="2" ref="C26:C33">SUM(C25-0.038)</f>
        <v>58.94400000000001</v>
      </c>
    </row>
    <row r="27" spans="1:3" ht="12.75">
      <c r="A27" s="11"/>
      <c r="B27" s="37">
        <v>3.3</v>
      </c>
      <c r="C27" s="43">
        <f t="shared" si="2"/>
        <v>58.90600000000001</v>
      </c>
    </row>
    <row r="28" spans="1:3" ht="12.75">
      <c r="A28" s="11"/>
      <c r="B28" s="37">
        <v>3.4</v>
      </c>
      <c r="C28" s="43">
        <f t="shared" si="2"/>
        <v>58.868000000000016</v>
      </c>
    </row>
    <row r="29" spans="1:3" ht="12.75">
      <c r="A29" s="11"/>
      <c r="B29" s="37">
        <v>3.5</v>
      </c>
      <c r="C29" s="43">
        <f t="shared" si="2"/>
        <v>58.83000000000002</v>
      </c>
    </row>
    <row r="30" spans="1:3" ht="12.75">
      <c r="A30" s="11"/>
      <c r="B30" s="37">
        <v>3.6</v>
      </c>
      <c r="C30" s="43">
        <f t="shared" si="2"/>
        <v>58.79200000000002</v>
      </c>
    </row>
    <row r="31" spans="1:3" ht="12.75">
      <c r="A31" s="11"/>
      <c r="B31" s="37">
        <v>3.7</v>
      </c>
      <c r="C31" s="43">
        <f t="shared" si="2"/>
        <v>58.754000000000026</v>
      </c>
    </row>
    <row r="32" spans="1:3" ht="12.75">
      <c r="A32" s="11"/>
      <c r="B32" s="37">
        <v>3.8</v>
      </c>
      <c r="C32" s="43">
        <f t="shared" si="2"/>
        <v>58.71600000000003</v>
      </c>
    </row>
    <row r="33" spans="1:3" ht="12.75">
      <c r="A33" s="11"/>
      <c r="B33" s="37">
        <v>3.9</v>
      </c>
      <c r="C33" s="43">
        <f t="shared" si="2"/>
        <v>58.67800000000003</v>
      </c>
    </row>
    <row r="34" spans="1:3" ht="12.75">
      <c r="A34" s="11"/>
      <c r="B34" s="41">
        <v>4</v>
      </c>
      <c r="C34" s="42">
        <v>58.64</v>
      </c>
    </row>
    <row r="35" spans="1:3" ht="12.75">
      <c r="A35" s="11"/>
      <c r="B35" s="37">
        <v>4.1</v>
      </c>
      <c r="C35" s="43">
        <f>SUM(C34-0.041)</f>
        <v>58.599000000000004</v>
      </c>
    </row>
    <row r="36" spans="1:3" ht="12.75">
      <c r="A36" s="11"/>
      <c r="B36" s="37">
        <v>4.2</v>
      </c>
      <c r="C36" s="43">
        <f aca="true" t="shared" si="3" ref="C36:C43">SUM(C35-0.041)</f>
        <v>58.55800000000001</v>
      </c>
    </row>
    <row r="37" spans="1:3" ht="12.75">
      <c r="A37" s="11"/>
      <c r="B37" s="37">
        <v>4.3</v>
      </c>
      <c r="C37" s="43">
        <f t="shared" si="3"/>
        <v>58.51700000000001</v>
      </c>
    </row>
    <row r="38" spans="1:3" ht="12.75">
      <c r="A38" s="11"/>
      <c r="B38" s="37">
        <v>4.4</v>
      </c>
      <c r="C38" s="43">
        <f t="shared" si="3"/>
        <v>58.47600000000001</v>
      </c>
    </row>
    <row r="39" spans="1:3" ht="12.75">
      <c r="A39" s="11"/>
      <c r="B39" s="37">
        <v>4.5</v>
      </c>
      <c r="C39" s="43">
        <f t="shared" si="3"/>
        <v>58.43500000000002</v>
      </c>
    </row>
    <row r="40" spans="1:3" ht="12.75">
      <c r="A40" s="11"/>
      <c r="B40" s="37">
        <v>4.6</v>
      </c>
      <c r="C40" s="43">
        <f t="shared" si="3"/>
        <v>58.39400000000002</v>
      </c>
    </row>
    <row r="41" spans="1:3" ht="12.75">
      <c r="A41" s="11"/>
      <c r="B41" s="37">
        <v>4.7</v>
      </c>
      <c r="C41" s="43">
        <f t="shared" si="3"/>
        <v>58.35300000000002</v>
      </c>
    </row>
    <row r="42" spans="1:3" ht="12.75">
      <c r="A42" s="11"/>
      <c r="B42" s="37">
        <v>3.8</v>
      </c>
      <c r="C42" s="43">
        <f t="shared" si="3"/>
        <v>58.312000000000026</v>
      </c>
    </row>
    <row r="43" spans="1:3" ht="12.75">
      <c r="A43" s="11"/>
      <c r="B43" s="37">
        <v>4.9</v>
      </c>
      <c r="C43" s="43">
        <f t="shared" si="3"/>
        <v>58.27100000000003</v>
      </c>
    </row>
    <row r="44" spans="1:3" ht="12.75">
      <c r="A44" s="11"/>
      <c r="B44" s="41">
        <v>5</v>
      </c>
      <c r="C44" s="42">
        <v>58.23</v>
      </c>
    </row>
    <row r="45" spans="1:3" ht="12.75">
      <c r="A45" s="11"/>
      <c r="B45" s="37">
        <v>5.1</v>
      </c>
      <c r="C45" s="43">
        <f>SUM(C44-0.043)</f>
        <v>58.187</v>
      </c>
    </row>
    <row r="46" spans="1:3" ht="12.75">
      <c r="A46" s="11"/>
      <c r="B46" s="37">
        <v>5.2</v>
      </c>
      <c r="C46" s="43">
        <f aca="true" t="shared" si="4" ref="C46:C53">SUM(C45-0.043)</f>
        <v>58.144</v>
      </c>
    </row>
    <row r="47" spans="1:3" ht="12.75">
      <c r="A47" s="11"/>
      <c r="B47" s="37">
        <v>5.3</v>
      </c>
      <c r="C47" s="43">
        <f t="shared" si="4"/>
        <v>58.101</v>
      </c>
    </row>
    <row r="48" spans="1:3" ht="12.75">
      <c r="A48" s="11"/>
      <c r="B48" s="37">
        <v>5.4</v>
      </c>
      <c r="C48" s="43">
        <f t="shared" si="4"/>
        <v>58.058</v>
      </c>
    </row>
    <row r="49" spans="1:3" ht="12.75">
      <c r="A49" s="11"/>
      <c r="B49" s="37">
        <v>5.5</v>
      </c>
      <c r="C49" s="43">
        <f t="shared" si="4"/>
        <v>58.015</v>
      </c>
    </row>
    <row r="50" spans="1:3" ht="12.75">
      <c r="A50" s="11"/>
      <c r="B50" s="37">
        <v>5.6</v>
      </c>
      <c r="C50" s="43">
        <f t="shared" si="4"/>
        <v>57.972</v>
      </c>
    </row>
    <row r="51" spans="1:3" ht="12.75">
      <c r="A51" s="11"/>
      <c r="B51" s="37">
        <v>5.7</v>
      </c>
      <c r="C51" s="43">
        <f t="shared" si="4"/>
        <v>57.929</v>
      </c>
    </row>
    <row r="52" spans="1:3" ht="12.75">
      <c r="A52" s="11"/>
      <c r="B52" s="37">
        <v>5.8</v>
      </c>
      <c r="C52" s="43">
        <f t="shared" si="4"/>
        <v>57.886</v>
      </c>
    </row>
    <row r="53" spans="1:3" ht="12.75">
      <c r="A53" s="11"/>
      <c r="B53" s="37">
        <v>5.9</v>
      </c>
      <c r="C53" s="43">
        <f t="shared" si="4"/>
        <v>57.843</v>
      </c>
    </row>
    <row r="54" spans="1:3" ht="12.75">
      <c r="A54" s="11"/>
      <c r="B54" s="41">
        <v>6</v>
      </c>
      <c r="C54" s="42">
        <v>57.8</v>
      </c>
    </row>
    <row r="55" spans="1:3" ht="12.75">
      <c r="A55" s="11"/>
      <c r="B55" s="37">
        <v>6.1</v>
      </c>
      <c r="C55" s="43">
        <f>SUM(C54-0.052)</f>
        <v>57.748</v>
      </c>
    </row>
    <row r="56" spans="1:3" ht="12.75">
      <c r="A56" s="11"/>
      <c r="B56" s="37">
        <v>6.2</v>
      </c>
      <c r="C56" s="43">
        <f aca="true" t="shared" si="5" ref="C56:C63">SUM(C55-0.052)</f>
        <v>57.696</v>
      </c>
    </row>
    <row r="57" spans="1:3" ht="12.75">
      <c r="A57" s="11"/>
      <c r="B57" s="37">
        <v>6.3</v>
      </c>
      <c r="C57" s="43">
        <f t="shared" si="5"/>
        <v>57.644</v>
      </c>
    </row>
    <row r="58" spans="1:3" ht="12.75">
      <c r="A58" s="11"/>
      <c r="B58" s="37">
        <v>6.4</v>
      </c>
      <c r="C58" s="43">
        <f t="shared" si="5"/>
        <v>57.592</v>
      </c>
    </row>
    <row r="59" spans="1:3" ht="12.75">
      <c r="A59" s="11"/>
      <c r="B59" s="37">
        <v>6.5</v>
      </c>
      <c r="C59" s="43">
        <f t="shared" si="5"/>
        <v>57.54</v>
      </c>
    </row>
    <row r="60" spans="1:3" ht="12.75">
      <c r="A60" s="11"/>
      <c r="B60" s="37">
        <v>6.6</v>
      </c>
      <c r="C60" s="43">
        <f t="shared" si="5"/>
        <v>57.488</v>
      </c>
    </row>
    <row r="61" spans="1:3" ht="12.75">
      <c r="A61" s="11"/>
      <c r="B61" s="37">
        <v>6.7</v>
      </c>
      <c r="C61" s="43">
        <f t="shared" si="5"/>
        <v>57.436</v>
      </c>
    </row>
    <row r="62" spans="1:3" ht="12.75">
      <c r="A62" s="11"/>
      <c r="B62" s="37">
        <v>6.8</v>
      </c>
      <c r="C62" s="43">
        <f t="shared" si="5"/>
        <v>57.384</v>
      </c>
    </row>
    <row r="63" spans="1:3" ht="12.75">
      <c r="A63" s="11"/>
      <c r="B63" s="37">
        <v>6.9</v>
      </c>
      <c r="C63" s="43">
        <f t="shared" si="5"/>
        <v>57.332</v>
      </c>
    </row>
    <row r="64" spans="1:3" ht="12.75">
      <c r="A64" s="11"/>
      <c r="B64" s="41">
        <v>7</v>
      </c>
      <c r="C64" s="42">
        <v>57.28</v>
      </c>
    </row>
    <row r="65" spans="1:3" ht="12.75">
      <c r="A65" s="11"/>
      <c r="B65" s="37">
        <v>7.1</v>
      </c>
      <c r="C65" s="43">
        <f>SUM(C64-0.085)</f>
        <v>57.195</v>
      </c>
    </row>
    <row r="66" spans="1:3" ht="12.75">
      <c r="A66" s="11"/>
      <c r="B66" s="37">
        <v>7.2</v>
      </c>
      <c r="C66" s="43">
        <f aca="true" t="shared" si="6" ref="C66:C73">SUM(C65-0.085)</f>
        <v>57.11</v>
      </c>
    </row>
    <row r="67" spans="1:3" ht="12.75">
      <c r="A67" s="11"/>
      <c r="B67" s="37">
        <v>7.3</v>
      </c>
      <c r="C67" s="43">
        <f t="shared" si="6"/>
        <v>57.025</v>
      </c>
    </row>
    <row r="68" spans="1:3" ht="12.75">
      <c r="A68" s="11"/>
      <c r="B68" s="37">
        <v>7.4</v>
      </c>
      <c r="C68" s="43">
        <f t="shared" si="6"/>
        <v>56.94</v>
      </c>
    </row>
    <row r="69" spans="1:3" ht="12.75">
      <c r="A69" s="11"/>
      <c r="B69" s="37">
        <v>7.5</v>
      </c>
      <c r="C69" s="43">
        <f t="shared" si="6"/>
        <v>56.855</v>
      </c>
    </row>
    <row r="70" spans="1:3" ht="12.75">
      <c r="A70" s="11"/>
      <c r="B70" s="37">
        <v>7.6</v>
      </c>
      <c r="C70" s="43">
        <f t="shared" si="6"/>
        <v>56.769999999999996</v>
      </c>
    </row>
    <row r="71" spans="1:3" ht="12.75">
      <c r="A71" s="11"/>
      <c r="B71" s="37">
        <v>7.7</v>
      </c>
      <c r="C71" s="43">
        <f t="shared" si="6"/>
        <v>56.684999999999995</v>
      </c>
    </row>
    <row r="72" spans="1:3" ht="12.75">
      <c r="A72" s="11"/>
      <c r="B72" s="37">
        <v>7.8</v>
      </c>
      <c r="C72" s="43">
        <f t="shared" si="6"/>
        <v>56.599999999999994</v>
      </c>
    </row>
    <row r="73" spans="1:3" ht="12.75">
      <c r="A73" s="11"/>
      <c r="B73" s="37">
        <v>7.9</v>
      </c>
      <c r="C73" s="43">
        <f t="shared" si="6"/>
        <v>56.51499999999999</v>
      </c>
    </row>
    <row r="74" spans="1:6" ht="12.75">
      <c r="A74" s="11"/>
      <c r="B74" s="41">
        <v>8</v>
      </c>
      <c r="C74" s="42">
        <v>56.43</v>
      </c>
      <c r="F74" s="40"/>
    </row>
    <row r="75" spans="1:6" ht="12.75">
      <c r="A75" s="11"/>
      <c r="B75" s="37">
        <v>8.1</v>
      </c>
      <c r="C75" s="43">
        <f>SUM(C74-0.185)</f>
        <v>56.245</v>
      </c>
      <c r="F75" s="40"/>
    </row>
    <row r="76" spans="1:6" ht="12.75">
      <c r="A76" s="11"/>
      <c r="B76" s="37">
        <v>8.2</v>
      </c>
      <c r="C76" s="43">
        <f aca="true" t="shared" si="7" ref="C76:C83">SUM(C75-0.185)</f>
        <v>56.059999999999995</v>
      </c>
      <c r="F76" s="40"/>
    </row>
    <row r="77" spans="1:6" ht="12.75">
      <c r="A77" s="11"/>
      <c r="B77" s="37">
        <v>8.3</v>
      </c>
      <c r="C77" s="43">
        <f t="shared" si="7"/>
        <v>55.87499999999999</v>
      </c>
      <c r="F77" s="40"/>
    </row>
    <row r="78" spans="1:6" ht="12.75">
      <c r="A78" s="11"/>
      <c r="B78" s="37">
        <v>8.4</v>
      </c>
      <c r="C78" s="43">
        <f t="shared" si="7"/>
        <v>55.68999999999999</v>
      </c>
      <c r="F78" s="40"/>
    </row>
    <row r="79" spans="1:6" ht="12.75">
      <c r="A79" s="11"/>
      <c r="B79" s="37">
        <v>8.5</v>
      </c>
      <c r="C79" s="43">
        <f t="shared" si="7"/>
        <v>55.50499999999999</v>
      </c>
      <c r="F79" s="40"/>
    </row>
    <row r="80" spans="1:6" ht="12.75">
      <c r="A80" s="11"/>
      <c r="B80" s="37">
        <v>8.6</v>
      </c>
      <c r="C80" s="43">
        <f t="shared" si="7"/>
        <v>55.319999999999986</v>
      </c>
      <c r="F80" s="40"/>
    </row>
    <row r="81" spans="1:6" ht="12.75">
      <c r="A81" s="11"/>
      <c r="B81" s="37">
        <v>8.7</v>
      </c>
      <c r="C81" s="43">
        <f t="shared" si="7"/>
        <v>55.134999999999984</v>
      </c>
      <c r="F81" s="40"/>
    </row>
    <row r="82" spans="1:6" ht="12.75">
      <c r="A82" s="11"/>
      <c r="B82" s="37">
        <v>8.8</v>
      </c>
      <c r="C82" s="43">
        <f t="shared" si="7"/>
        <v>54.94999999999998</v>
      </c>
      <c r="F82" s="40"/>
    </row>
    <row r="83" spans="1:6" ht="12.75">
      <c r="A83" s="11"/>
      <c r="B83" s="37">
        <v>8.9</v>
      </c>
      <c r="C83" s="43">
        <f t="shared" si="7"/>
        <v>54.76499999999998</v>
      </c>
      <c r="F83" s="40"/>
    </row>
    <row r="84" spans="1:3" ht="12" customHeight="1">
      <c r="A84" s="11"/>
      <c r="B84" s="41">
        <v>9</v>
      </c>
      <c r="C84" s="42">
        <v>54.58</v>
      </c>
    </row>
    <row r="85" spans="1:3" ht="12.75">
      <c r="A85" s="11"/>
      <c r="B85" s="37">
        <v>9.1</v>
      </c>
      <c r="C85" s="43">
        <f>SUM(C84-0.334)</f>
        <v>54.245999999999995</v>
      </c>
    </row>
    <row r="86" spans="1:3" ht="12.75">
      <c r="A86" s="11"/>
      <c r="B86" s="37">
        <v>9.2</v>
      </c>
      <c r="C86" s="43">
        <f aca="true" t="shared" si="8" ref="C86:C93">SUM(C85-0.334)</f>
        <v>53.91199999999999</v>
      </c>
    </row>
    <row r="87" spans="1:3" ht="12.75">
      <c r="A87" s="11"/>
      <c r="B87" s="37">
        <v>9.3</v>
      </c>
      <c r="C87" s="43">
        <f t="shared" si="8"/>
        <v>53.57799999999999</v>
      </c>
    </row>
    <row r="88" spans="1:3" ht="12.75">
      <c r="A88" s="11"/>
      <c r="B88" s="37">
        <v>9.4</v>
      </c>
      <c r="C88" s="43">
        <f t="shared" si="8"/>
        <v>53.243999999999986</v>
      </c>
    </row>
    <row r="89" spans="1:3" ht="12.75">
      <c r="A89" s="11"/>
      <c r="B89" s="37">
        <v>9.5</v>
      </c>
      <c r="C89" s="43">
        <f t="shared" si="8"/>
        <v>52.90999999999998</v>
      </c>
    </row>
    <row r="90" spans="1:3" ht="12.75">
      <c r="A90" s="11"/>
      <c r="B90" s="37">
        <v>9.6</v>
      </c>
      <c r="C90" s="43">
        <f t="shared" si="8"/>
        <v>52.57599999999998</v>
      </c>
    </row>
    <row r="91" spans="1:3" ht="12.75">
      <c r="A91" s="11"/>
      <c r="B91" s="37">
        <v>9.7</v>
      </c>
      <c r="C91" s="43">
        <f t="shared" si="8"/>
        <v>52.241999999999976</v>
      </c>
    </row>
    <row r="92" spans="1:3" ht="12.75">
      <c r="A92" s="11"/>
      <c r="B92" s="37">
        <v>9.8</v>
      </c>
      <c r="C92" s="43">
        <f t="shared" si="8"/>
        <v>51.90799999999997</v>
      </c>
    </row>
    <row r="93" spans="1:3" ht="12.75">
      <c r="A93" s="11"/>
      <c r="B93" s="37">
        <v>9.9</v>
      </c>
      <c r="C93" s="43">
        <f t="shared" si="8"/>
        <v>51.57399999999997</v>
      </c>
    </row>
    <row r="94" spans="1:3" ht="12.75">
      <c r="A94" s="11"/>
      <c r="B94" s="41">
        <v>10</v>
      </c>
      <c r="C94" s="42">
        <v>51.24</v>
      </c>
    </row>
    <row r="95" spans="1:3" ht="12.75">
      <c r="A95" s="11"/>
      <c r="B95" s="37">
        <v>10.1</v>
      </c>
      <c r="C95" s="43">
        <f>SUM(C94-0.462)</f>
        <v>50.778</v>
      </c>
    </row>
    <row r="96" spans="1:3" ht="12.75">
      <c r="A96" s="11"/>
      <c r="B96" s="37">
        <v>10.2</v>
      </c>
      <c r="C96" s="43">
        <f aca="true" t="shared" si="9" ref="C96:C103">SUM(C95-0.462)</f>
        <v>50.315999999999995</v>
      </c>
    </row>
    <row r="97" spans="1:3" ht="12.75">
      <c r="A97" s="11"/>
      <c r="B97" s="37">
        <v>10.3</v>
      </c>
      <c r="C97" s="43">
        <f t="shared" si="9"/>
        <v>49.85399999999999</v>
      </c>
    </row>
    <row r="98" spans="1:3" ht="12.75">
      <c r="A98" s="11"/>
      <c r="B98" s="37">
        <v>10.4</v>
      </c>
      <c r="C98" s="43">
        <f t="shared" si="9"/>
        <v>49.39199999999999</v>
      </c>
    </row>
    <row r="99" spans="1:3" ht="12.75">
      <c r="A99" s="11"/>
      <c r="B99" s="37">
        <v>10.5</v>
      </c>
      <c r="C99" s="43">
        <f t="shared" si="9"/>
        <v>48.929999999999986</v>
      </c>
    </row>
    <row r="100" spans="1:3" ht="12.75">
      <c r="A100" s="11"/>
      <c r="B100" s="37">
        <v>10.6</v>
      </c>
      <c r="C100" s="43">
        <f t="shared" si="9"/>
        <v>48.46799999999998</v>
      </c>
    </row>
    <row r="101" spans="1:3" ht="12.75">
      <c r="A101" s="11"/>
      <c r="B101" s="37">
        <v>10.7</v>
      </c>
      <c r="C101" s="43">
        <f t="shared" si="9"/>
        <v>48.00599999999998</v>
      </c>
    </row>
    <row r="102" spans="1:3" ht="12.75">
      <c r="A102" s="11"/>
      <c r="B102" s="37">
        <v>10.8</v>
      </c>
      <c r="C102" s="43">
        <f t="shared" si="9"/>
        <v>47.543999999999976</v>
      </c>
    </row>
    <row r="103" spans="1:3" ht="12.75">
      <c r="A103" s="11"/>
      <c r="B103" s="37">
        <v>10.9</v>
      </c>
      <c r="C103" s="43">
        <f t="shared" si="9"/>
        <v>47.08199999999997</v>
      </c>
    </row>
    <row r="104" spans="1:3" ht="12.75">
      <c r="A104" s="11"/>
      <c r="B104" s="41">
        <v>11</v>
      </c>
      <c r="C104" s="42">
        <v>46.62</v>
      </c>
    </row>
    <row r="105" spans="1:3" ht="12.75">
      <c r="A105" s="11"/>
      <c r="B105" s="37">
        <v>11.1</v>
      </c>
      <c r="C105" s="43">
        <f>SUM(C104-0.551)</f>
        <v>46.068999999999996</v>
      </c>
    </row>
    <row r="106" spans="1:3" ht="12.75">
      <c r="A106" s="11"/>
      <c r="B106" s="37">
        <v>11.2</v>
      </c>
      <c r="C106" s="43">
        <f aca="true" t="shared" si="10" ref="C106:C113">SUM(C105-0.551)</f>
        <v>45.517999999999994</v>
      </c>
    </row>
    <row r="107" spans="1:3" ht="12.75">
      <c r="A107" s="11"/>
      <c r="B107" s="37">
        <v>11.3</v>
      </c>
      <c r="C107" s="43">
        <f t="shared" si="10"/>
        <v>44.96699999999999</v>
      </c>
    </row>
    <row r="108" spans="1:3" ht="12.75">
      <c r="A108" s="11"/>
      <c r="B108" s="37">
        <v>11.4</v>
      </c>
      <c r="C108" s="43">
        <f t="shared" si="10"/>
        <v>44.41599999999999</v>
      </c>
    </row>
    <row r="109" spans="1:3" ht="12.75">
      <c r="A109" s="11"/>
      <c r="B109" s="37">
        <v>11.5</v>
      </c>
      <c r="C109" s="43">
        <f t="shared" si="10"/>
        <v>43.86499999999999</v>
      </c>
    </row>
    <row r="110" spans="1:3" ht="12.75">
      <c r="A110" s="11"/>
      <c r="B110" s="37">
        <v>11.6</v>
      </c>
      <c r="C110" s="43">
        <f t="shared" si="10"/>
        <v>43.313999999999986</v>
      </c>
    </row>
    <row r="111" spans="1:3" ht="12.75">
      <c r="A111" s="11"/>
      <c r="B111" s="37">
        <v>11.7</v>
      </c>
      <c r="C111" s="43">
        <f t="shared" si="10"/>
        <v>42.762999999999984</v>
      </c>
    </row>
    <row r="112" spans="1:3" ht="12.75">
      <c r="A112" s="11"/>
      <c r="B112" s="37">
        <v>11.8</v>
      </c>
      <c r="C112" s="43">
        <f t="shared" si="10"/>
        <v>42.21199999999998</v>
      </c>
    </row>
    <row r="113" spans="1:3" ht="12.75">
      <c r="A113" s="11"/>
      <c r="B113" s="37">
        <v>11.9</v>
      </c>
      <c r="C113" s="43">
        <f t="shared" si="10"/>
        <v>41.66099999999998</v>
      </c>
    </row>
    <row r="114" spans="1:3" ht="12.75">
      <c r="A114" s="11"/>
      <c r="B114" s="41">
        <v>12</v>
      </c>
      <c r="C114" s="42">
        <v>41.11</v>
      </c>
    </row>
    <row r="115" spans="1:3" ht="12.75">
      <c r="A115" s="11"/>
      <c r="B115" s="37">
        <v>12.1</v>
      </c>
      <c r="C115" s="43">
        <f>SUM(C114-0.581)</f>
        <v>40.528999999999996</v>
      </c>
    </row>
    <row r="116" spans="1:3" ht="12.75">
      <c r="A116" s="11"/>
      <c r="B116" s="37">
        <v>12.2</v>
      </c>
      <c r="C116" s="43">
        <f aca="true" t="shared" si="11" ref="C116:C123">SUM(C115-0.581)</f>
        <v>39.94799999999999</v>
      </c>
    </row>
    <row r="117" spans="1:3" ht="12.75">
      <c r="A117" s="11"/>
      <c r="B117" s="37">
        <v>12.3</v>
      </c>
      <c r="C117" s="43">
        <f t="shared" si="11"/>
        <v>39.36699999999999</v>
      </c>
    </row>
    <row r="118" spans="1:3" ht="12.75">
      <c r="A118" s="11"/>
      <c r="B118" s="37">
        <v>12.4</v>
      </c>
      <c r="C118" s="43">
        <f t="shared" si="11"/>
        <v>38.78599999999999</v>
      </c>
    </row>
    <row r="119" spans="1:3" ht="12.75">
      <c r="A119" s="11"/>
      <c r="B119" s="37">
        <v>12.5</v>
      </c>
      <c r="C119" s="43">
        <f t="shared" si="11"/>
        <v>38.204999999999984</v>
      </c>
    </row>
    <row r="120" spans="1:3" ht="12.75">
      <c r="A120" s="11"/>
      <c r="B120" s="37">
        <v>12.6</v>
      </c>
      <c r="C120" s="43">
        <f t="shared" si="11"/>
        <v>37.62399999999998</v>
      </c>
    </row>
    <row r="121" spans="1:3" ht="12.75">
      <c r="A121" s="11"/>
      <c r="B121" s="37">
        <v>12.7</v>
      </c>
      <c r="C121" s="43">
        <f t="shared" si="11"/>
        <v>37.04299999999998</v>
      </c>
    </row>
    <row r="122" spans="1:3" ht="12.75">
      <c r="A122" s="11"/>
      <c r="B122" s="37">
        <v>12.8</v>
      </c>
      <c r="C122" s="43">
        <f t="shared" si="11"/>
        <v>36.461999999999975</v>
      </c>
    </row>
    <row r="123" spans="1:3" ht="12.75">
      <c r="A123" s="11"/>
      <c r="B123" s="37">
        <v>12.9</v>
      </c>
      <c r="C123" s="43">
        <f t="shared" si="11"/>
        <v>35.88099999999997</v>
      </c>
    </row>
    <row r="124" spans="1:3" ht="12.75">
      <c r="A124" s="11"/>
      <c r="B124" s="41">
        <v>13</v>
      </c>
      <c r="C124" s="42">
        <v>35.3</v>
      </c>
    </row>
    <row r="125" spans="1:3" ht="12.75">
      <c r="A125" s="11"/>
      <c r="B125" s="37">
        <v>13.1</v>
      </c>
      <c r="C125" s="43">
        <f>SUM(C124-0.499)</f>
        <v>34.800999999999995</v>
      </c>
    </row>
    <row r="126" spans="1:3" ht="12.75">
      <c r="A126" s="11"/>
      <c r="B126" s="37">
        <v>13.2</v>
      </c>
      <c r="C126" s="43">
        <f aca="true" t="shared" si="12" ref="C126:C133">SUM(C125-0.499)</f>
        <v>34.30199999999999</v>
      </c>
    </row>
    <row r="127" spans="1:3" ht="12.75">
      <c r="A127" s="11"/>
      <c r="B127" s="37">
        <v>13.3</v>
      </c>
      <c r="C127" s="43">
        <f t="shared" si="12"/>
        <v>33.80299999999999</v>
      </c>
    </row>
    <row r="128" spans="1:3" ht="12.75">
      <c r="A128" s="11"/>
      <c r="B128" s="37">
        <v>13.4</v>
      </c>
      <c r="C128" s="43">
        <f t="shared" si="12"/>
        <v>33.30399999999999</v>
      </c>
    </row>
    <row r="129" spans="1:3" ht="12.75">
      <c r="A129" s="11"/>
      <c r="B129" s="37">
        <v>13.5</v>
      </c>
      <c r="C129" s="43">
        <f t="shared" si="12"/>
        <v>32.804999999999986</v>
      </c>
    </row>
    <row r="130" spans="1:3" ht="12.75">
      <c r="A130" s="11"/>
      <c r="B130" s="37">
        <v>13.6</v>
      </c>
      <c r="C130" s="43">
        <f t="shared" si="12"/>
        <v>32.30599999999998</v>
      </c>
    </row>
    <row r="131" spans="1:3" ht="12.75">
      <c r="A131" s="11"/>
      <c r="B131" s="37">
        <v>13.7</v>
      </c>
      <c r="C131" s="43">
        <f t="shared" si="12"/>
        <v>31.806999999999984</v>
      </c>
    </row>
    <row r="132" spans="1:3" ht="12.75">
      <c r="A132" s="11"/>
      <c r="B132" s="37">
        <v>13.8</v>
      </c>
      <c r="C132" s="43">
        <f t="shared" si="12"/>
        <v>31.307999999999986</v>
      </c>
    </row>
    <row r="133" spans="1:3" ht="12.75">
      <c r="A133" s="11"/>
      <c r="B133" s="37">
        <v>13.9</v>
      </c>
      <c r="C133" s="43">
        <f t="shared" si="12"/>
        <v>30.808999999999987</v>
      </c>
    </row>
    <row r="134" spans="1:3" ht="12.75">
      <c r="A134" s="11"/>
      <c r="B134" s="41">
        <v>14</v>
      </c>
      <c r="C134" s="42">
        <v>30.31</v>
      </c>
    </row>
    <row r="135" spans="1:3" ht="12.75">
      <c r="A135" s="11"/>
      <c r="B135" s="37">
        <v>14.1</v>
      </c>
      <c r="C135" s="43">
        <f>SUM(C134-0.435)</f>
        <v>29.875</v>
      </c>
    </row>
    <row r="136" spans="1:3" ht="12.75">
      <c r="A136" s="11"/>
      <c r="B136" s="37">
        <v>14.2</v>
      </c>
      <c r="C136" s="43">
        <f aca="true" t="shared" si="13" ref="C136:C143">SUM(C135-0.435)</f>
        <v>29.44</v>
      </c>
    </row>
    <row r="137" spans="1:3" ht="12.75">
      <c r="A137" s="11"/>
      <c r="B137" s="37">
        <v>14.3</v>
      </c>
      <c r="C137" s="43">
        <f t="shared" si="13"/>
        <v>29.005000000000003</v>
      </c>
    </row>
    <row r="138" spans="1:3" ht="12.75">
      <c r="A138" s="11"/>
      <c r="B138" s="37">
        <v>14.4</v>
      </c>
      <c r="C138" s="43">
        <f t="shared" si="13"/>
        <v>28.570000000000004</v>
      </c>
    </row>
    <row r="139" spans="1:3" ht="12.75">
      <c r="A139" s="11"/>
      <c r="B139" s="37">
        <v>14.5</v>
      </c>
      <c r="C139" s="43">
        <f t="shared" si="13"/>
        <v>28.135000000000005</v>
      </c>
    </row>
    <row r="140" spans="1:3" ht="12.75">
      <c r="A140" s="11"/>
      <c r="B140" s="37">
        <v>14.6</v>
      </c>
      <c r="C140" s="43">
        <f t="shared" si="13"/>
        <v>27.700000000000006</v>
      </c>
    </row>
    <row r="141" spans="1:3" ht="12.75">
      <c r="A141" s="11"/>
      <c r="B141" s="37">
        <v>14.7</v>
      </c>
      <c r="C141" s="43">
        <f t="shared" si="13"/>
        <v>27.265000000000008</v>
      </c>
    </row>
    <row r="142" spans="1:3" ht="12.75">
      <c r="A142" s="11"/>
      <c r="B142" s="37">
        <v>14.8</v>
      </c>
      <c r="C142" s="43">
        <f t="shared" si="13"/>
        <v>26.83000000000001</v>
      </c>
    </row>
    <row r="143" spans="1:3" ht="12.75">
      <c r="A143" s="11"/>
      <c r="B143" s="37">
        <v>14.9</v>
      </c>
      <c r="C143" s="43">
        <f t="shared" si="13"/>
        <v>26.39500000000001</v>
      </c>
    </row>
    <row r="144" spans="1:3" ht="12.75">
      <c r="A144" s="11"/>
      <c r="B144" s="41">
        <v>15</v>
      </c>
      <c r="C144" s="42">
        <v>25.95</v>
      </c>
    </row>
    <row r="145" spans="1:3" ht="12.75">
      <c r="A145" s="11"/>
      <c r="B145" s="37">
        <v>15.1</v>
      </c>
      <c r="C145" s="43">
        <f>SUM(C144-0.324)</f>
        <v>25.625999999999998</v>
      </c>
    </row>
    <row r="146" spans="1:3" ht="12.75">
      <c r="A146" s="11"/>
      <c r="B146" s="37">
        <v>15.2</v>
      </c>
      <c r="C146" s="43">
        <f aca="true" t="shared" si="14" ref="C146:C153">SUM(C145-0.324)</f>
        <v>25.301999999999996</v>
      </c>
    </row>
    <row r="147" spans="1:3" ht="12.75">
      <c r="A147" s="11"/>
      <c r="B147" s="37">
        <v>15.3</v>
      </c>
      <c r="C147" s="43">
        <f t="shared" si="14"/>
        <v>24.977999999999994</v>
      </c>
    </row>
    <row r="148" spans="1:3" ht="12.75">
      <c r="A148" s="11"/>
      <c r="B148" s="37">
        <v>15.4</v>
      </c>
      <c r="C148" s="43">
        <f t="shared" si="14"/>
        <v>24.653999999999993</v>
      </c>
    </row>
    <row r="149" spans="1:3" ht="12.75">
      <c r="A149" s="11"/>
      <c r="B149" s="37">
        <v>15.5</v>
      </c>
      <c r="C149" s="43">
        <f t="shared" si="14"/>
        <v>24.32999999999999</v>
      </c>
    </row>
    <row r="150" spans="1:3" ht="12.75">
      <c r="A150" s="11"/>
      <c r="B150" s="37">
        <v>15.6</v>
      </c>
      <c r="C150" s="43">
        <f t="shared" si="14"/>
        <v>24.00599999999999</v>
      </c>
    </row>
    <row r="151" spans="1:3" ht="12.75">
      <c r="A151" s="11"/>
      <c r="B151" s="37">
        <v>15.7</v>
      </c>
      <c r="C151" s="43">
        <f t="shared" si="14"/>
        <v>23.681999999999988</v>
      </c>
    </row>
    <row r="152" spans="1:3" ht="12.75">
      <c r="A152" s="11"/>
      <c r="B152" s="37">
        <v>15.8</v>
      </c>
      <c r="C152" s="43">
        <f t="shared" si="14"/>
        <v>23.357999999999986</v>
      </c>
    </row>
    <row r="153" spans="1:3" ht="12.75">
      <c r="A153" s="11"/>
      <c r="B153" s="37">
        <v>15.9</v>
      </c>
      <c r="C153" s="43">
        <f t="shared" si="14"/>
        <v>23.033999999999985</v>
      </c>
    </row>
    <row r="154" spans="1:3" ht="12.75">
      <c r="A154" s="11"/>
      <c r="B154" s="38">
        <v>16</v>
      </c>
      <c r="C154" s="39">
        <v>22.71</v>
      </c>
    </row>
    <row r="155" spans="2:3" ht="12.75">
      <c r="B155">
        <v>17</v>
      </c>
      <c r="C155">
        <v>19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413</v>
      </c>
    </row>
    <row r="2" ht="12.75">
      <c r="A2" t="s">
        <v>415</v>
      </c>
    </row>
    <row r="3" spans="3:4" ht="38.25">
      <c r="C3" s="48" t="s">
        <v>103</v>
      </c>
      <c r="D3" s="49"/>
    </row>
    <row r="4" spans="3:4" ht="63.75">
      <c r="C4" s="50" t="s">
        <v>61</v>
      </c>
      <c r="D4" s="50" t="s">
        <v>104</v>
      </c>
    </row>
    <row r="5" spans="3:4" ht="12.75">
      <c r="C5" s="51">
        <v>1</v>
      </c>
      <c r="D5" s="52">
        <v>27.7</v>
      </c>
    </row>
    <row r="6" spans="3:4" ht="12.75">
      <c r="C6" s="37">
        <f aca="true" t="shared" si="0" ref="C6:C69">SUM(C5+0.1)</f>
        <v>1.1</v>
      </c>
      <c r="D6" s="43">
        <f aca="true" t="shared" si="1" ref="D6:D14">SUM(D5-0.21)</f>
        <v>27.49</v>
      </c>
    </row>
    <row r="7" spans="3:4" ht="12.75">
      <c r="C7" s="37">
        <f t="shared" si="0"/>
        <v>1.2000000000000002</v>
      </c>
      <c r="D7" s="43">
        <f t="shared" si="1"/>
        <v>27.279999999999998</v>
      </c>
    </row>
    <row r="8" spans="3:4" ht="12.75">
      <c r="C8" s="37">
        <f t="shared" si="0"/>
        <v>1.3000000000000003</v>
      </c>
      <c r="D8" s="43">
        <f t="shared" si="1"/>
        <v>27.069999999999997</v>
      </c>
    </row>
    <row r="9" spans="3:4" ht="12.75">
      <c r="C9" s="37">
        <f t="shared" si="0"/>
        <v>1.4000000000000004</v>
      </c>
      <c r="D9" s="43">
        <f t="shared" si="1"/>
        <v>26.859999999999996</v>
      </c>
    </row>
    <row r="10" spans="3:4" ht="12.75">
      <c r="C10" s="37">
        <f t="shared" si="0"/>
        <v>1.5000000000000004</v>
      </c>
      <c r="D10" s="43">
        <f t="shared" si="1"/>
        <v>26.649999999999995</v>
      </c>
    </row>
    <row r="11" spans="3:4" ht="12.75">
      <c r="C11" s="37">
        <f t="shared" si="0"/>
        <v>1.6000000000000005</v>
      </c>
      <c r="D11" s="43">
        <f t="shared" si="1"/>
        <v>26.439999999999994</v>
      </c>
    </row>
    <row r="12" spans="3:4" ht="12.75">
      <c r="C12" s="37">
        <f t="shared" si="0"/>
        <v>1.7000000000000006</v>
      </c>
      <c r="D12" s="43">
        <f t="shared" si="1"/>
        <v>26.229999999999993</v>
      </c>
    </row>
    <row r="13" spans="3:4" ht="12.75">
      <c r="C13" s="37">
        <f t="shared" si="0"/>
        <v>1.8000000000000007</v>
      </c>
      <c r="D13" s="43">
        <f t="shared" si="1"/>
        <v>26.019999999999992</v>
      </c>
    </row>
    <row r="14" spans="3:4" ht="12.75">
      <c r="C14" s="37">
        <f t="shared" si="0"/>
        <v>1.9000000000000008</v>
      </c>
      <c r="D14" s="43">
        <f t="shared" si="1"/>
        <v>25.80999999999999</v>
      </c>
    </row>
    <row r="15" spans="3:4" ht="12.75">
      <c r="C15" s="51">
        <f t="shared" si="0"/>
        <v>2.000000000000001</v>
      </c>
      <c r="D15" s="52">
        <v>25.62</v>
      </c>
    </row>
    <row r="16" spans="3:4" ht="12.75">
      <c r="C16" s="37">
        <f t="shared" si="0"/>
        <v>2.100000000000001</v>
      </c>
      <c r="D16" s="43">
        <f aca="true" t="shared" si="2" ref="D16:D24">SUM(D15-0.16)</f>
        <v>25.46</v>
      </c>
    </row>
    <row r="17" spans="3:4" ht="12.75">
      <c r="C17" s="37">
        <f t="shared" si="0"/>
        <v>2.200000000000001</v>
      </c>
      <c r="D17" s="43">
        <f t="shared" si="2"/>
        <v>25.3</v>
      </c>
    </row>
    <row r="18" spans="3:4" ht="12.75">
      <c r="C18" s="37">
        <f t="shared" si="0"/>
        <v>2.300000000000001</v>
      </c>
      <c r="D18" s="43">
        <f t="shared" si="2"/>
        <v>25.14</v>
      </c>
    </row>
    <row r="19" spans="3:4" ht="12.75">
      <c r="C19" s="37">
        <f t="shared" si="0"/>
        <v>2.4000000000000012</v>
      </c>
      <c r="D19" s="43">
        <f t="shared" si="2"/>
        <v>24.98</v>
      </c>
    </row>
    <row r="20" spans="3:4" ht="12.75">
      <c r="C20" s="37">
        <f t="shared" si="0"/>
        <v>2.5000000000000013</v>
      </c>
      <c r="D20" s="43">
        <f t="shared" si="2"/>
        <v>24.82</v>
      </c>
    </row>
    <row r="21" spans="3:4" ht="12.75">
      <c r="C21" s="37">
        <f t="shared" si="0"/>
        <v>2.6000000000000014</v>
      </c>
      <c r="D21" s="43">
        <f t="shared" si="2"/>
        <v>24.66</v>
      </c>
    </row>
    <row r="22" spans="3:4" ht="12.75">
      <c r="C22" s="37">
        <f t="shared" si="0"/>
        <v>2.7000000000000015</v>
      </c>
      <c r="D22" s="43">
        <f t="shared" si="2"/>
        <v>24.5</v>
      </c>
    </row>
    <row r="23" spans="3:4" ht="12.75">
      <c r="C23" s="37">
        <f t="shared" si="0"/>
        <v>2.8000000000000016</v>
      </c>
      <c r="D23" s="43">
        <f t="shared" si="2"/>
        <v>24.34</v>
      </c>
    </row>
    <row r="24" spans="3:4" ht="12.75">
      <c r="C24" s="37">
        <f t="shared" si="0"/>
        <v>2.9000000000000017</v>
      </c>
      <c r="D24" s="43">
        <f t="shared" si="2"/>
        <v>24.18</v>
      </c>
    </row>
    <row r="25" spans="3:4" ht="12.75">
      <c r="C25" s="51">
        <f t="shared" si="0"/>
        <v>3.0000000000000018</v>
      </c>
      <c r="D25" s="52">
        <v>24.03</v>
      </c>
    </row>
    <row r="26" spans="3:4" ht="12.75">
      <c r="C26" s="37">
        <f t="shared" si="0"/>
        <v>3.100000000000002</v>
      </c>
      <c r="D26" s="43">
        <f aca="true" t="shared" si="3" ref="D26:D34">SUM(D25-0.15)</f>
        <v>23.880000000000003</v>
      </c>
    </row>
    <row r="27" spans="3:4" ht="12.75">
      <c r="C27" s="37">
        <f t="shared" si="0"/>
        <v>3.200000000000002</v>
      </c>
      <c r="D27" s="43">
        <f t="shared" si="3"/>
        <v>23.730000000000004</v>
      </c>
    </row>
    <row r="28" spans="3:4" ht="12.75">
      <c r="C28" s="37">
        <f t="shared" si="0"/>
        <v>3.300000000000002</v>
      </c>
      <c r="D28" s="43">
        <f t="shared" si="3"/>
        <v>23.580000000000005</v>
      </c>
    </row>
    <row r="29" spans="3:4" ht="12.75">
      <c r="C29" s="37">
        <f t="shared" si="0"/>
        <v>3.400000000000002</v>
      </c>
      <c r="D29" s="43">
        <f t="shared" si="3"/>
        <v>23.430000000000007</v>
      </c>
    </row>
    <row r="30" spans="3:4" ht="12.75">
      <c r="C30" s="37">
        <f t="shared" si="0"/>
        <v>3.500000000000002</v>
      </c>
      <c r="D30" s="43">
        <f t="shared" si="3"/>
        <v>23.28000000000001</v>
      </c>
    </row>
    <row r="31" spans="3:4" ht="12.75">
      <c r="C31" s="37">
        <f t="shared" si="0"/>
        <v>3.6000000000000023</v>
      </c>
      <c r="D31" s="43">
        <f t="shared" si="3"/>
        <v>23.13000000000001</v>
      </c>
    </row>
    <row r="32" spans="3:4" ht="12.75">
      <c r="C32" s="37">
        <f t="shared" si="0"/>
        <v>3.7000000000000024</v>
      </c>
      <c r="D32" s="43">
        <f t="shared" si="3"/>
        <v>22.98000000000001</v>
      </c>
    </row>
    <row r="33" spans="3:4" ht="12.75">
      <c r="C33" s="37">
        <f t="shared" si="0"/>
        <v>3.8000000000000025</v>
      </c>
      <c r="D33" s="43">
        <f t="shared" si="3"/>
        <v>22.830000000000013</v>
      </c>
    </row>
    <row r="34" spans="3:4" ht="12.75">
      <c r="C34" s="37">
        <f t="shared" si="0"/>
        <v>3.9000000000000026</v>
      </c>
      <c r="D34" s="43">
        <f t="shared" si="3"/>
        <v>22.680000000000014</v>
      </c>
    </row>
    <row r="35" spans="3:4" ht="12.75">
      <c r="C35" s="51">
        <f t="shared" si="0"/>
        <v>4.000000000000003</v>
      </c>
      <c r="D35" s="52">
        <v>22.53</v>
      </c>
    </row>
    <row r="36" spans="3:4" ht="12.75">
      <c r="C36" s="37">
        <f t="shared" si="0"/>
        <v>4.100000000000002</v>
      </c>
      <c r="D36" s="43">
        <f aca="true" t="shared" si="4" ref="D36:D44">SUM(D35-0.13)</f>
        <v>22.400000000000002</v>
      </c>
    </row>
    <row r="37" spans="3:4" ht="12.75">
      <c r="C37" s="37">
        <f t="shared" si="0"/>
        <v>4.200000000000002</v>
      </c>
      <c r="D37" s="43">
        <f t="shared" si="4"/>
        <v>22.270000000000003</v>
      </c>
    </row>
    <row r="38" spans="3:4" ht="12.75">
      <c r="C38" s="37">
        <f t="shared" si="0"/>
        <v>4.300000000000002</v>
      </c>
      <c r="D38" s="43">
        <f t="shared" si="4"/>
        <v>22.140000000000004</v>
      </c>
    </row>
    <row r="39" spans="3:4" ht="12.75">
      <c r="C39" s="37">
        <f t="shared" si="0"/>
        <v>4.400000000000001</v>
      </c>
      <c r="D39" s="43">
        <f t="shared" si="4"/>
        <v>22.010000000000005</v>
      </c>
    </row>
    <row r="40" spans="3:4" ht="12.75">
      <c r="C40" s="37">
        <f t="shared" si="0"/>
        <v>4.500000000000001</v>
      </c>
      <c r="D40" s="43">
        <f t="shared" si="4"/>
        <v>21.880000000000006</v>
      </c>
    </row>
    <row r="41" spans="3:4" ht="12.75">
      <c r="C41" s="37">
        <f t="shared" si="0"/>
        <v>4.6000000000000005</v>
      </c>
      <c r="D41" s="43">
        <f t="shared" si="4"/>
        <v>21.750000000000007</v>
      </c>
    </row>
    <row r="42" spans="3:4" ht="12.75">
      <c r="C42" s="37">
        <f t="shared" si="0"/>
        <v>4.7</v>
      </c>
      <c r="D42" s="43">
        <f t="shared" si="4"/>
        <v>21.620000000000008</v>
      </c>
    </row>
    <row r="43" spans="3:4" ht="12.75">
      <c r="C43" s="37">
        <f t="shared" si="0"/>
        <v>4.8</v>
      </c>
      <c r="D43" s="43">
        <f t="shared" si="4"/>
        <v>21.49000000000001</v>
      </c>
    </row>
    <row r="44" spans="3:4" ht="12.75">
      <c r="C44" s="37">
        <f t="shared" si="0"/>
        <v>4.8999999999999995</v>
      </c>
      <c r="D44" s="43">
        <f t="shared" si="4"/>
        <v>21.36000000000001</v>
      </c>
    </row>
    <row r="45" spans="3:4" ht="12.75">
      <c r="C45" s="51">
        <f t="shared" si="0"/>
        <v>4.999999999999999</v>
      </c>
      <c r="D45" s="52">
        <v>21.21</v>
      </c>
    </row>
    <row r="46" spans="3:4" ht="12.75">
      <c r="C46" s="37">
        <f t="shared" si="0"/>
        <v>5.099999999999999</v>
      </c>
      <c r="D46" s="43">
        <f aca="true" t="shared" si="5" ref="D46:D54">SUM(D45-0.12)</f>
        <v>21.09</v>
      </c>
    </row>
    <row r="47" spans="3:4" ht="12.75">
      <c r="C47" s="37">
        <f t="shared" si="0"/>
        <v>5.199999999999998</v>
      </c>
      <c r="D47" s="43">
        <f t="shared" si="5"/>
        <v>20.97</v>
      </c>
    </row>
    <row r="48" spans="3:4" ht="12.75">
      <c r="C48" s="37">
        <f t="shared" si="0"/>
        <v>5.299999999999998</v>
      </c>
      <c r="D48" s="43">
        <f t="shared" si="5"/>
        <v>20.849999999999998</v>
      </c>
    </row>
    <row r="49" spans="3:4" ht="12.75">
      <c r="C49" s="37">
        <f t="shared" si="0"/>
        <v>5.399999999999998</v>
      </c>
      <c r="D49" s="43">
        <f t="shared" si="5"/>
        <v>20.729999999999997</v>
      </c>
    </row>
    <row r="50" spans="3:4" ht="12.75">
      <c r="C50" s="37">
        <f t="shared" si="0"/>
        <v>5.499999999999997</v>
      </c>
      <c r="D50" s="43">
        <f t="shared" si="5"/>
        <v>20.609999999999996</v>
      </c>
    </row>
    <row r="51" spans="3:4" ht="12.75">
      <c r="C51" s="37">
        <f t="shared" si="0"/>
        <v>5.599999999999997</v>
      </c>
      <c r="D51" s="43">
        <f t="shared" si="5"/>
        <v>20.489999999999995</v>
      </c>
    </row>
    <row r="52" spans="3:4" ht="12.75">
      <c r="C52" s="37">
        <f t="shared" si="0"/>
        <v>5.699999999999997</v>
      </c>
      <c r="D52" s="43">
        <f t="shared" si="5"/>
        <v>20.369999999999994</v>
      </c>
    </row>
    <row r="53" spans="3:4" ht="12.75">
      <c r="C53" s="37">
        <f t="shared" si="0"/>
        <v>5.799999999999996</v>
      </c>
      <c r="D53" s="43">
        <f t="shared" si="5"/>
        <v>20.249999999999993</v>
      </c>
    </row>
    <row r="54" spans="3:4" ht="12.75">
      <c r="C54" s="37">
        <f t="shared" si="0"/>
        <v>5.899999999999996</v>
      </c>
      <c r="D54" s="43">
        <f t="shared" si="5"/>
        <v>20.129999999999992</v>
      </c>
    </row>
    <row r="55" spans="3:4" ht="12.75">
      <c r="C55" s="51">
        <f t="shared" si="0"/>
        <v>5.999999999999996</v>
      </c>
      <c r="D55" s="52">
        <v>20.04</v>
      </c>
    </row>
    <row r="56" spans="3:4" ht="12.75">
      <c r="C56" s="37">
        <f t="shared" si="0"/>
        <v>6.099999999999995</v>
      </c>
      <c r="D56" s="43">
        <f aca="true" t="shared" si="6" ref="D56:D64">SUM(D55-0.11)</f>
        <v>19.93</v>
      </c>
    </row>
    <row r="57" spans="3:4" ht="12.75">
      <c r="C57" s="37">
        <f t="shared" si="0"/>
        <v>6.199999999999995</v>
      </c>
      <c r="D57" s="43">
        <f t="shared" si="6"/>
        <v>19.82</v>
      </c>
    </row>
    <row r="58" spans="3:4" ht="12.75">
      <c r="C58" s="37">
        <f t="shared" si="0"/>
        <v>6.2999999999999945</v>
      </c>
      <c r="D58" s="43">
        <f t="shared" si="6"/>
        <v>19.71</v>
      </c>
    </row>
    <row r="59" spans="3:4" ht="12.75">
      <c r="C59" s="37">
        <f t="shared" si="0"/>
        <v>6.399999999999994</v>
      </c>
      <c r="D59" s="43">
        <f t="shared" si="6"/>
        <v>19.6</v>
      </c>
    </row>
    <row r="60" spans="3:4" ht="12.75">
      <c r="C60" s="37">
        <f t="shared" si="0"/>
        <v>6.499999999999994</v>
      </c>
      <c r="D60" s="43">
        <f t="shared" si="6"/>
        <v>19.490000000000002</v>
      </c>
    </row>
    <row r="61" spans="3:4" ht="12.75">
      <c r="C61" s="37">
        <f t="shared" si="0"/>
        <v>6.599999999999993</v>
      </c>
      <c r="D61" s="43">
        <f t="shared" si="6"/>
        <v>19.380000000000003</v>
      </c>
    </row>
    <row r="62" spans="3:4" ht="12.75">
      <c r="C62" s="37">
        <f t="shared" si="0"/>
        <v>6.699999999999993</v>
      </c>
      <c r="D62" s="43">
        <f t="shared" si="6"/>
        <v>19.270000000000003</v>
      </c>
    </row>
    <row r="63" spans="3:4" ht="12.75">
      <c r="C63" s="37">
        <f t="shared" si="0"/>
        <v>6.799999999999993</v>
      </c>
      <c r="D63" s="43">
        <f t="shared" si="6"/>
        <v>19.160000000000004</v>
      </c>
    </row>
    <row r="64" spans="3:4" ht="12.75">
      <c r="C64" s="37">
        <f t="shared" si="0"/>
        <v>6.899999999999992</v>
      </c>
      <c r="D64" s="43">
        <f t="shared" si="6"/>
        <v>19.050000000000004</v>
      </c>
    </row>
    <row r="65" spans="3:4" ht="12.75">
      <c r="C65" s="51">
        <f t="shared" si="0"/>
        <v>6.999999999999992</v>
      </c>
      <c r="D65" s="52">
        <v>18.99</v>
      </c>
    </row>
    <row r="66" spans="3:4" ht="12.75">
      <c r="C66" s="37">
        <f t="shared" si="0"/>
        <v>7.099999999999992</v>
      </c>
      <c r="D66" s="43">
        <f aca="true" t="shared" si="7" ref="D66:D74">SUM(D65-0.095)</f>
        <v>18.895</v>
      </c>
    </row>
    <row r="67" spans="3:4" ht="12.75">
      <c r="C67" s="37">
        <f t="shared" si="0"/>
        <v>7.199999999999991</v>
      </c>
      <c r="D67" s="43">
        <f t="shared" si="7"/>
        <v>18.8</v>
      </c>
    </row>
    <row r="68" spans="3:4" ht="12.75">
      <c r="C68" s="37">
        <f t="shared" si="0"/>
        <v>7.299999999999991</v>
      </c>
      <c r="D68" s="43">
        <f t="shared" si="7"/>
        <v>18.705000000000002</v>
      </c>
    </row>
    <row r="69" spans="3:4" ht="12.75">
      <c r="C69" s="37">
        <f t="shared" si="0"/>
        <v>7.399999999999991</v>
      </c>
      <c r="D69" s="43">
        <f t="shared" si="7"/>
        <v>18.610000000000003</v>
      </c>
    </row>
    <row r="70" spans="3:4" ht="12.75">
      <c r="C70" s="37">
        <f aca="true" t="shared" si="8" ref="C70:C133">SUM(C69+0.1)</f>
        <v>7.49999999999999</v>
      </c>
      <c r="D70" s="43">
        <f t="shared" si="7"/>
        <v>18.515000000000004</v>
      </c>
    </row>
    <row r="71" spans="3:4" ht="12.75">
      <c r="C71" s="37">
        <f t="shared" si="8"/>
        <v>7.59999999999999</v>
      </c>
      <c r="D71" s="43">
        <f t="shared" si="7"/>
        <v>18.420000000000005</v>
      </c>
    </row>
    <row r="72" spans="3:4" ht="12.75">
      <c r="C72" s="37">
        <f t="shared" si="8"/>
        <v>7.6999999999999895</v>
      </c>
      <c r="D72" s="43">
        <f t="shared" si="7"/>
        <v>18.325000000000006</v>
      </c>
    </row>
    <row r="73" spans="3:4" ht="12.75">
      <c r="C73" s="37">
        <f t="shared" si="8"/>
        <v>7.799999999999989</v>
      </c>
      <c r="D73" s="43">
        <f t="shared" si="7"/>
        <v>18.230000000000008</v>
      </c>
    </row>
    <row r="74" spans="3:4" ht="12.75">
      <c r="C74" s="37">
        <f t="shared" si="8"/>
        <v>7.899999999999989</v>
      </c>
      <c r="D74" s="43">
        <f t="shared" si="7"/>
        <v>18.13500000000001</v>
      </c>
    </row>
    <row r="75" spans="3:4" ht="12.75">
      <c r="C75" s="51">
        <f t="shared" si="8"/>
        <v>7.9999999999999885</v>
      </c>
      <c r="D75" s="52">
        <v>18.04</v>
      </c>
    </row>
    <row r="76" spans="3:4" ht="12.75">
      <c r="C76" s="37">
        <f t="shared" si="8"/>
        <v>8.099999999999989</v>
      </c>
      <c r="D76" s="43">
        <f aca="true" t="shared" si="9" ref="D76:D84">SUM(D75-0.09)</f>
        <v>17.95</v>
      </c>
    </row>
    <row r="77" spans="3:4" ht="12.75">
      <c r="C77" s="37">
        <f t="shared" si="8"/>
        <v>8.199999999999989</v>
      </c>
      <c r="D77" s="43">
        <f t="shared" si="9"/>
        <v>17.86</v>
      </c>
    </row>
    <row r="78" spans="3:4" ht="12.75">
      <c r="C78" s="37">
        <f t="shared" si="8"/>
        <v>8.299999999999988</v>
      </c>
      <c r="D78" s="43">
        <f t="shared" si="9"/>
        <v>17.77</v>
      </c>
    </row>
    <row r="79" spans="3:4" ht="12.75">
      <c r="C79" s="37">
        <f t="shared" si="8"/>
        <v>8.399999999999988</v>
      </c>
      <c r="D79" s="43">
        <f t="shared" si="9"/>
        <v>17.68</v>
      </c>
    </row>
    <row r="80" spans="3:4" ht="12.75">
      <c r="C80" s="37">
        <f t="shared" si="8"/>
        <v>8.499999999999988</v>
      </c>
      <c r="D80" s="43">
        <f t="shared" si="9"/>
        <v>17.59</v>
      </c>
    </row>
    <row r="81" spans="3:4" ht="12.75">
      <c r="C81" s="37">
        <f t="shared" si="8"/>
        <v>8.599999999999987</v>
      </c>
      <c r="D81" s="43">
        <f t="shared" si="9"/>
        <v>17.5</v>
      </c>
    </row>
    <row r="82" spans="3:4" ht="12.75">
      <c r="C82" s="37">
        <f t="shared" si="8"/>
        <v>8.699999999999987</v>
      </c>
      <c r="D82" s="43">
        <f t="shared" si="9"/>
        <v>17.41</v>
      </c>
    </row>
    <row r="83" spans="3:4" ht="12.75">
      <c r="C83" s="37">
        <f t="shared" si="8"/>
        <v>8.799999999999986</v>
      </c>
      <c r="D83" s="43">
        <f t="shared" si="9"/>
        <v>17.32</v>
      </c>
    </row>
    <row r="84" spans="3:4" ht="12.75">
      <c r="C84" s="37">
        <f t="shared" si="8"/>
        <v>8.899999999999986</v>
      </c>
      <c r="D84" s="43">
        <f t="shared" si="9"/>
        <v>17.23</v>
      </c>
    </row>
    <row r="85" spans="3:4" ht="12.75">
      <c r="C85" s="51">
        <f t="shared" si="8"/>
        <v>8.999999999999986</v>
      </c>
      <c r="D85" s="52">
        <v>17.18</v>
      </c>
    </row>
    <row r="86" spans="3:4" ht="12.75">
      <c r="C86" s="37">
        <f t="shared" si="8"/>
        <v>9.099999999999985</v>
      </c>
      <c r="D86" s="43">
        <f aca="true" t="shared" si="10" ref="D86:D94">SUM(D85-0.08)</f>
        <v>17.1</v>
      </c>
    </row>
    <row r="87" spans="3:4" ht="12.75">
      <c r="C87" s="37">
        <f t="shared" si="8"/>
        <v>9.199999999999985</v>
      </c>
      <c r="D87" s="43">
        <f t="shared" si="10"/>
        <v>17.020000000000003</v>
      </c>
    </row>
    <row r="88" spans="3:4" ht="12.75">
      <c r="C88" s="37">
        <f t="shared" si="8"/>
        <v>9.299999999999985</v>
      </c>
      <c r="D88" s="43">
        <f t="shared" si="10"/>
        <v>16.940000000000005</v>
      </c>
    </row>
    <row r="89" spans="3:4" ht="12.75">
      <c r="C89" s="37">
        <f t="shared" si="8"/>
        <v>9.399999999999984</v>
      </c>
      <c r="D89" s="43">
        <f t="shared" si="10"/>
        <v>16.860000000000007</v>
      </c>
    </row>
    <row r="90" spans="3:4" ht="12.75">
      <c r="C90" s="37">
        <f t="shared" si="8"/>
        <v>9.499999999999984</v>
      </c>
      <c r="D90" s="43">
        <f t="shared" si="10"/>
        <v>16.78000000000001</v>
      </c>
    </row>
    <row r="91" spans="3:4" ht="12.75">
      <c r="C91" s="37">
        <f t="shared" si="8"/>
        <v>9.599999999999984</v>
      </c>
      <c r="D91" s="43">
        <f t="shared" si="10"/>
        <v>16.70000000000001</v>
      </c>
    </row>
    <row r="92" spans="3:4" ht="12.75">
      <c r="C92" s="37">
        <f t="shared" si="8"/>
        <v>9.699999999999983</v>
      </c>
      <c r="D92" s="43">
        <f t="shared" si="10"/>
        <v>16.62000000000001</v>
      </c>
    </row>
    <row r="93" spans="3:4" ht="12.75">
      <c r="C93" s="37">
        <f t="shared" si="8"/>
        <v>9.799999999999983</v>
      </c>
      <c r="D93" s="43">
        <f t="shared" si="10"/>
        <v>16.540000000000013</v>
      </c>
    </row>
    <row r="94" spans="3:4" ht="12.75">
      <c r="C94" s="37">
        <f t="shared" si="8"/>
        <v>9.899999999999983</v>
      </c>
      <c r="D94" s="43">
        <f t="shared" si="10"/>
        <v>16.460000000000015</v>
      </c>
    </row>
    <row r="95" spans="3:4" ht="12.75">
      <c r="C95" s="51">
        <f t="shared" si="8"/>
        <v>9.999999999999982</v>
      </c>
      <c r="D95" s="52">
        <v>16.41</v>
      </c>
    </row>
    <row r="96" spans="3:4" ht="12.75">
      <c r="C96" s="37">
        <f t="shared" si="8"/>
        <v>10.099999999999982</v>
      </c>
      <c r="D96" s="43">
        <f aca="true" t="shared" si="11" ref="D96:D104">SUM(D95-0.14)</f>
        <v>16.27</v>
      </c>
    </row>
    <row r="97" spans="3:4" ht="12.75">
      <c r="C97" s="37">
        <f t="shared" si="8"/>
        <v>10.199999999999982</v>
      </c>
      <c r="D97" s="43">
        <f t="shared" si="11"/>
        <v>16.13</v>
      </c>
    </row>
    <row r="98" spans="3:4" ht="12.75">
      <c r="C98" s="37">
        <f t="shared" si="8"/>
        <v>10.299999999999981</v>
      </c>
      <c r="D98" s="43">
        <f t="shared" si="11"/>
        <v>15.989999999999998</v>
      </c>
    </row>
    <row r="99" spans="3:4" ht="12.75">
      <c r="C99" s="37">
        <f t="shared" si="8"/>
        <v>10.39999999999998</v>
      </c>
      <c r="D99" s="43">
        <f t="shared" si="11"/>
        <v>15.849999999999998</v>
      </c>
    </row>
    <row r="100" spans="3:4" ht="12.75">
      <c r="C100" s="37">
        <f t="shared" si="8"/>
        <v>10.49999999999998</v>
      </c>
      <c r="D100" s="43">
        <f t="shared" si="11"/>
        <v>15.709999999999997</v>
      </c>
    </row>
    <row r="101" spans="3:4" ht="12.75">
      <c r="C101" s="37">
        <f t="shared" si="8"/>
        <v>10.59999999999998</v>
      </c>
      <c r="D101" s="43">
        <f t="shared" si="11"/>
        <v>15.569999999999997</v>
      </c>
    </row>
    <row r="102" spans="3:4" ht="12.75">
      <c r="C102" s="37">
        <f t="shared" si="8"/>
        <v>10.69999999999998</v>
      </c>
      <c r="D102" s="43">
        <f t="shared" si="11"/>
        <v>15.429999999999996</v>
      </c>
    </row>
    <row r="103" spans="3:4" ht="12.75">
      <c r="C103" s="37">
        <f t="shared" si="8"/>
        <v>10.79999999999998</v>
      </c>
      <c r="D103" s="43">
        <f t="shared" si="11"/>
        <v>15.289999999999996</v>
      </c>
    </row>
    <row r="104" spans="3:4" ht="12.75">
      <c r="C104" s="37">
        <f t="shared" si="8"/>
        <v>10.899999999999979</v>
      </c>
      <c r="D104" s="43">
        <f t="shared" si="11"/>
        <v>15.149999999999995</v>
      </c>
    </row>
    <row r="105" spans="3:4" ht="12.75">
      <c r="C105" s="51">
        <f t="shared" si="8"/>
        <v>10.999999999999979</v>
      </c>
      <c r="D105" s="52">
        <v>15</v>
      </c>
    </row>
    <row r="106" spans="3:4" ht="12.75">
      <c r="C106" s="37">
        <f t="shared" si="8"/>
        <v>11.099999999999978</v>
      </c>
      <c r="D106" s="43">
        <f aca="true" t="shared" si="12" ref="D106:D114">SUM(D105-0.2)</f>
        <v>14.8</v>
      </c>
    </row>
    <row r="107" spans="3:4" ht="12.75">
      <c r="C107" s="37">
        <f t="shared" si="8"/>
        <v>11.199999999999978</v>
      </c>
      <c r="D107" s="43">
        <f t="shared" si="12"/>
        <v>14.600000000000001</v>
      </c>
    </row>
    <row r="108" spans="3:4" ht="12.75">
      <c r="C108" s="37">
        <f t="shared" si="8"/>
        <v>11.299999999999978</v>
      </c>
      <c r="D108" s="43">
        <f t="shared" si="12"/>
        <v>14.400000000000002</v>
      </c>
    </row>
    <row r="109" spans="3:4" ht="12.75">
      <c r="C109" s="37">
        <f t="shared" si="8"/>
        <v>11.399999999999977</v>
      </c>
      <c r="D109" s="43">
        <f t="shared" si="12"/>
        <v>14.200000000000003</v>
      </c>
    </row>
    <row r="110" spans="3:4" ht="12.75">
      <c r="C110" s="37">
        <f t="shared" si="8"/>
        <v>11.499999999999977</v>
      </c>
      <c r="D110" s="43">
        <f t="shared" si="12"/>
        <v>14.000000000000004</v>
      </c>
    </row>
    <row r="111" spans="3:4" ht="12.75">
      <c r="C111" s="37">
        <f t="shared" si="8"/>
        <v>11.599999999999977</v>
      </c>
      <c r="D111" s="43">
        <f t="shared" si="12"/>
        <v>13.800000000000004</v>
      </c>
    </row>
    <row r="112" spans="3:4" ht="12.75">
      <c r="C112" s="37">
        <f t="shared" si="8"/>
        <v>11.699999999999976</v>
      </c>
      <c r="D112" s="43">
        <f t="shared" si="12"/>
        <v>13.600000000000005</v>
      </c>
    </row>
    <row r="113" spans="3:4" ht="12.75">
      <c r="C113" s="37">
        <f t="shared" si="8"/>
        <v>11.799999999999976</v>
      </c>
      <c r="D113" s="43">
        <f t="shared" si="12"/>
        <v>13.400000000000006</v>
      </c>
    </row>
    <row r="114" spans="3:4" ht="12.75">
      <c r="C114" s="37">
        <f t="shared" si="8"/>
        <v>11.899999999999975</v>
      </c>
      <c r="D114" s="43">
        <f t="shared" si="12"/>
        <v>13.200000000000006</v>
      </c>
    </row>
    <row r="115" spans="3:4" ht="12.75">
      <c r="C115" s="51">
        <f t="shared" si="8"/>
        <v>11.999999999999975</v>
      </c>
      <c r="D115" s="52">
        <v>13.02</v>
      </c>
    </row>
    <row r="116" spans="3:4" ht="12.75">
      <c r="C116" s="37">
        <f t="shared" si="8"/>
        <v>12.099999999999975</v>
      </c>
      <c r="D116" s="43">
        <f aca="true" t="shared" si="13" ref="D116:D124">SUM(D115-0.12)</f>
        <v>12.9</v>
      </c>
    </row>
    <row r="117" spans="3:4" ht="12.75">
      <c r="C117" s="37">
        <f t="shared" si="8"/>
        <v>12.199999999999974</v>
      </c>
      <c r="D117" s="43">
        <f t="shared" si="13"/>
        <v>12.780000000000001</v>
      </c>
    </row>
    <row r="118" spans="3:4" ht="12.75">
      <c r="C118" s="37">
        <f t="shared" si="8"/>
        <v>12.299999999999974</v>
      </c>
      <c r="D118" s="43">
        <f t="shared" si="13"/>
        <v>12.660000000000002</v>
      </c>
    </row>
    <row r="119" spans="3:4" ht="12.75">
      <c r="C119" s="37">
        <f t="shared" si="8"/>
        <v>12.399999999999974</v>
      </c>
      <c r="D119" s="43">
        <f t="shared" si="13"/>
        <v>12.540000000000003</v>
      </c>
    </row>
    <row r="120" spans="3:4" ht="12.75">
      <c r="C120" s="37">
        <f t="shared" si="8"/>
        <v>12.499999999999973</v>
      </c>
      <c r="D120" s="43">
        <f t="shared" si="13"/>
        <v>12.420000000000003</v>
      </c>
    </row>
    <row r="121" spans="3:4" ht="12.75">
      <c r="C121" s="37">
        <f t="shared" si="8"/>
        <v>12.599999999999973</v>
      </c>
      <c r="D121" s="43">
        <f t="shared" si="13"/>
        <v>12.300000000000004</v>
      </c>
    </row>
    <row r="122" spans="3:4" ht="12.75">
      <c r="C122" s="37">
        <f t="shared" si="8"/>
        <v>12.699999999999973</v>
      </c>
      <c r="D122" s="43">
        <f t="shared" si="13"/>
        <v>12.180000000000005</v>
      </c>
    </row>
    <row r="123" spans="3:4" ht="12.75">
      <c r="C123" s="37">
        <f t="shared" si="8"/>
        <v>12.799999999999972</v>
      </c>
      <c r="D123" s="43">
        <f t="shared" si="13"/>
        <v>12.060000000000006</v>
      </c>
    </row>
    <row r="124" spans="3:4" ht="12.75">
      <c r="C124" s="37">
        <f t="shared" si="8"/>
        <v>12.899999999999972</v>
      </c>
      <c r="D124" s="43">
        <f t="shared" si="13"/>
        <v>11.940000000000007</v>
      </c>
    </row>
    <row r="125" spans="3:4" ht="12.75">
      <c r="C125" s="51">
        <f t="shared" si="8"/>
        <v>12.999999999999972</v>
      </c>
      <c r="D125" s="52">
        <v>11.79</v>
      </c>
    </row>
    <row r="126" spans="3:4" ht="12.75">
      <c r="C126" s="37">
        <f t="shared" si="8"/>
        <v>13.099999999999971</v>
      </c>
      <c r="D126" s="43">
        <f aca="true" t="shared" si="14" ref="D126:D134">SUM(D125-0.07)</f>
        <v>11.719999999999999</v>
      </c>
    </row>
    <row r="127" spans="3:4" ht="12.75">
      <c r="C127" s="37">
        <f t="shared" si="8"/>
        <v>13.19999999999997</v>
      </c>
      <c r="D127" s="43">
        <f t="shared" si="14"/>
        <v>11.649999999999999</v>
      </c>
    </row>
    <row r="128" spans="3:4" ht="12.75">
      <c r="C128" s="37">
        <f t="shared" si="8"/>
        <v>13.29999999999997</v>
      </c>
      <c r="D128" s="43">
        <f t="shared" si="14"/>
        <v>11.579999999999998</v>
      </c>
    </row>
    <row r="129" spans="3:4" ht="12.75">
      <c r="C129" s="37">
        <f t="shared" si="8"/>
        <v>13.39999999999997</v>
      </c>
      <c r="D129" s="43">
        <f t="shared" si="14"/>
        <v>11.509999999999998</v>
      </c>
    </row>
    <row r="130" spans="3:4" ht="12.75">
      <c r="C130" s="37">
        <f t="shared" si="8"/>
        <v>13.49999999999997</v>
      </c>
      <c r="D130" s="43">
        <f t="shared" si="14"/>
        <v>11.439999999999998</v>
      </c>
    </row>
    <row r="131" spans="3:4" ht="12.75">
      <c r="C131" s="37">
        <f t="shared" si="8"/>
        <v>13.59999999999997</v>
      </c>
      <c r="D131" s="43">
        <f t="shared" si="14"/>
        <v>11.369999999999997</v>
      </c>
    </row>
    <row r="132" spans="3:4" ht="12.75">
      <c r="C132" s="37">
        <f t="shared" si="8"/>
        <v>13.699999999999969</v>
      </c>
      <c r="D132" s="43">
        <f t="shared" si="14"/>
        <v>11.299999999999997</v>
      </c>
    </row>
    <row r="133" spans="3:4" ht="12.75">
      <c r="C133" s="37">
        <f t="shared" si="8"/>
        <v>13.799999999999969</v>
      </c>
      <c r="D133" s="43">
        <f t="shared" si="14"/>
        <v>11.229999999999997</v>
      </c>
    </row>
    <row r="134" spans="3:4" ht="12.75">
      <c r="C134" s="37">
        <f aca="true" t="shared" si="15" ref="C134:C155">SUM(C133+0.1)</f>
        <v>13.899999999999968</v>
      </c>
      <c r="D134" s="43">
        <f t="shared" si="14"/>
        <v>11.159999999999997</v>
      </c>
    </row>
    <row r="135" spans="3:4" ht="12.75">
      <c r="C135" s="51">
        <f t="shared" si="15"/>
        <v>13.999999999999968</v>
      </c>
      <c r="D135" s="52">
        <v>11.07</v>
      </c>
    </row>
    <row r="136" spans="3:4" ht="12.75">
      <c r="C136" s="37">
        <f t="shared" si="15"/>
        <v>14.099999999999968</v>
      </c>
      <c r="D136" s="43">
        <f aca="true" t="shared" si="16" ref="D136:D144">SUM(D135-0.1)</f>
        <v>10.97</v>
      </c>
    </row>
    <row r="137" spans="3:4" ht="12.75">
      <c r="C137" s="37">
        <f t="shared" si="15"/>
        <v>14.199999999999967</v>
      </c>
      <c r="D137" s="43">
        <f t="shared" si="16"/>
        <v>10.870000000000001</v>
      </c>
    </row>
    <row r="138" spans="3:4" ht="12.75">
      <c r="C138" s="37">
        <f t="shared" si="15"/>
        <v>14.299999999999967</v>
      </c>
      <c r="D138" s="43">
        <f t="shared" si="16"/>
        <v>10.770000000000001</v>
      </c>
    </row>
    <row r="139" spans="3:4" ht="12.75">
      <c r="C139" s="37">
        <f t="shared" si="15"/>
        <v>14.399999999999967</v>
      </c>
      <c r="D139" s="43">
        <f t="shared" si="16"/>
        <v>10.670000000000002</v>
      </c>
    </row>
    <row r="140" spans="3:4" ht="12.75">
      <c r="C140" s="37">
        <f t="shared" si="15"/>
        <v>14.499999999999966</v>
      </c>
      <c r="D140" s="43">
        <f t="shared" si="16"/>
        <v>10.570000000000002</v>
      </c>
    </row>
    <row r="141" spans="3:4" ht="12.75">
      <c r="C141" s="37">
        <f t="shared" si="15"/>
        <v>14.599999999999966</v>
      </c>
      <c r="D141" s="43">
        <f t="shared" si="16"/>
        <v>10.470000000000002</v>
      </c>
    </row>
    <row r="142" spans="3:4" ht="12.75">
      <c r="C142" s="37">
        <f t="shared" si="15"/>
        <v>14.699999999999966</v>
      </c>
      <c r="D142" s="43">
        <f t="shared" si="16"/>
        <v>10.370000000000003</v>
      </c>
    </row>
    <row r="143" spans="3:4" ht="12.75">
      <c r="C143" s="37">
        <f t="shared" si="15"/>
        <v>14.799999999999965</v>
      </c>
      <c r="D143" s="43">
        <f t="shared" si="16"/>
        <v>10.270000000000003</v>
      </c>
    </row>
    <row r="144" spans="3:4" ht="12.75">
      <c r="C144" s="37">
        <f t="shared" si="15"/>
        <v>14.899999999999965</v>
      </c>
      <c r="D144" s="43">
        <f t="shared" si="16"/>
        <v>10.170000000000003</v>
      </c>
    </row>
    <row r="145" spans="3:4" ht="12.75">
      <c r="C145" s="51">
        <f t="shared" si="15"/>
        <v>14.999999999999964</v>
      </c>
      <c r="D145" s="52">
        <v>10.03</v>
      </c>
    </row>
    <row r="146" spans="3:4" ht="12.75">
      <c r="C146" s="37">
        <f t="shared" si="15"/>
        <v>15.099999999999964</v>
      </c>
      <c r="D146" s="43">
        <f aca="true" t="shared" si="17" ref="D146:D154">SUM(D145-0.11)</f>
        <v>9.92</v>
      </c>
    </row>
    <row r="147" spans="3:4" ht="12.75">
      <c r="C147" s="37">
        <f t="shared" si="15"/>
        <v>15.199999999999964</v>
      </c>
      <c r="D147" s="43">
        <f t="shared" si="17"/>
        <v>9.81</v>
      </c>
    </row>
    <row r="148" spans="3:4" ht="12.75">
      <c r="C148" s="37">
        <f t="shared" si="15"/>
        <v>15.299999999999963</v>
      </c>
      <c r="D148" s="43">
        <f t="shared" si="17"/>
        <v>9.700000000000001</v>
      </c>
    </row>
    <row r="149" spans="3:4" ht="12.75">
      <c r="C149" s="37">
        <f t="shared" si="15"/>
        <v>15.399999999999963</v>
      </c>
      <c r="D149" s="43">
        <f t="shared" si="17"/>
        <v>9.590000000000002</v>
      </c>
    </row>
    <row r="150" spans="3:4" ht="12.75">
      <c r="C150" s="37">
        <f t="shared" si="15"/>
        <v>15.499999999999963</v>
      </c>
      <c r="D150" s="43">
        <f t="shared" si="17"/>
        <v>9.480000000000002</v>
      </c>
    </row>
    <row r="151" spans="3:4" ht="12.75">
      <c r="C151" s="37">
        <f t="shared" si="15"/>
        <v>15.599999999999962</v>
      </c>
      <c r="D151" s="43">
        <f t="shared" si="17"/>
        <v>9.370000000000003</v>
      </c>
    </row>
    <row r="152" spans="3:4" ht="12.75">
      <c r="C152" s="37">
        <f t="shared" si="15"/>
        <v>15.699999999999962</v>
      </c>
      <c r="D152" s="43">
        <f t="shared" si="17"/>
        <v>9.260000000000003</v>
      </c>
    </row>
    <row r="153" spans="3:4" ht="12.75">
      <c r="C153" s="37">
        <f t="shared" si="15"/>
        <v>15.799999999999962</v>
      </c>
      <c r="D153" s="43">
        <f t="shared" si="17"/>
        <v>9.150000000000004</v>
      </c>
    </row>
    <row r="154" spans="3:4" ht="12.75">
      <c r="C154" s="37">
        <f t="shared" si="15"/>
        <v>15.899999999999961</v>
      </c>
      <c r="D154" s="43">
        <f t="shared" si="17"/>
        <v>9.040000000000004</v>
      </c>
    </row>
    <row r="155" spans="3:4" ht="12.75">
      <c r="C155" s="53">
        <f t="shared" si="15"/>
        <v>15.999999999999961</v>
      </c>
      <c r="D155" s="54">
        <v>8.95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B6" sqref="B6:C7"/>
    </sheetView>
  </sheetViews>
  <sheetFormatPr defaultColWidth="9.140625" defaultRowHeight="12.75"/>
  <cols>
    <col min="1" max="1" width="57.8515625" style="0" customWidth="1"/>
    <col min="2" max="2" width="10.57421875" style="0" customWidth="1"/>
    <col min="3" max="3" width="26.00390625" style="0" customWidth="1"/>
    <col min="6" max="6" width="15.421875" style="0" customWidth="1"/>
  </cols>
  <sheetData>
    <row r="1" spans="1:5" s="63" customFormat="1" ht="18">
      <c r="A1" s="256" t="s">
        <v>29</v>
      </c>
      <c r="B1" s="257"/>
      <c r="C1" s="258"/>
      <c r="D1" s="81"/>
      <c r="E1" s="81"/>
    </row>
    <row r="2" spans="1:5" ht="12.75">
      <c r="A2" s="44"/>
      <c r="B2" s="110" t="s">
        <v>1</v>
      </c>
      <c r="C2" s="65" t="s">
        <v>175</v>
      </c>
      <c r="D2" s="44"/>
      <c r="E2" s="1"/>
    </row>
    <row r="3" spans="1:5" ht="12.75">
      <c r="A3" s="76" t="s">
        <v>30</v>
      </c>
      <c r="B3" s="265">
        <v>36062</v>
      </c>
      <c r="C3" s="266"/>
      <c r="D3" s="1"/>
      <c r="E3" s="1"/>
    </row>
    <row r="4" spans="1:5" ht="12.75">
      <c r="A4" s="44" t="s">
        <v>185</v>
      </c>
      <c r="B4" s="267" t="s">
        <v>187</v>
      </c>
      <c r="C4" s="268"/>
      <c r="D4" s="1"/>
      <c r="E4" s="1"/>
    </row>
    <row r="5" spans="1:5" ht="12.75">
      <c r="A5" s="44" t="s">
        <v>31</v>
      </c>
      <c r="B5" s="263" t="s">
        <v>32</v>
      </c>
      <c r="C5" s="264"/>
      <c r="D5" s="1"/>
      <c r="E5" s="1"/>
    </row>
    <row r="6" spans="1:5" ht="12.75">
      <c r="A6" s="104" t="s">
        <v>33</v>
      </c>
      <c r="B6" s="259" t="s">
        <v>34</v>
      </c>
      <c r="C6" s="260"/>
      <c r="D6" s="1"/>
      <c r="E6" s="1"/>
    </row>
    <row r="7" spans="1:5" ht="12.75">
      <c r="A7" s="44"/>
      <c r="B7" s="261"/>
      <c r="C7" s="262"/>
      <c r="D7" s="1"/>
      <c r="E7" s="1"/>
    </row>
    <row r="8" spans="1:5" ht="12.75">
      <c r="A8" s="44" t="s">
        <v>75</v>
      </c>
      <c r="B8" s="185">
        <v>10</v>
      </c>
      <c r="C8" s="66"/>
      <c r="D8" s="1"/>
      <c r="E8" s="1"/>
    </row>
    <row r="9" spans="1:5" ht="12.75">
      <c r="A9" s="44" t="s">
        <v>35</v>
      </c>
      <c r="B9" s="186">
        <v>0.5</v>
      </c>
      <c r="C9" s="66"/>
      <c r="D9" s="1"/>
      <c r="E9" s="1"/>
    </row>
    <row r="10" spans="1:5" ht="12.75">
      <c r="A10" s="44" t="s">
        <v>36</v>
      </c>
      <c r="B10" s="186">
        <v>1</v>
      </c>
      <c r="C10" s="66"/>
      <c r="D10" s="1"/>
      <c r="E10" s="1"/>
    </row>
    <row r="11" spans="1:5" ht="13.5" thickBot="1">
      <c r="A11" s="59" t="s">
        <v>37</v>
      </c>
      <c r="B11" s="187"/>
      <c r="C11" s="168">
        <f>B10-B9</f>
        <v>0.5</v>
      </c>
      <c r="D11" s="1"/>
      <c r="E11" s="1"/>
    </row>
    <row r="12" spans="1:5" ht="15.75">
      <c r="A12" s="145" t="s">
        <v>183</v>
      </c>
      <c r="B12" s="188"/>
      <c r="C12" s="67"/>
      <c r="D12" s="1"/>
      <c r="E12" s="1"/>
    </row>
    <row r="13" spans="1:5" ht="12.75">
      <c r="A13" s="58" t="s">
        <v>38</v>
      </c>
      <c r="B13" s="189">
        <v>2</v>
      </c>
      <c r="C13" s="67"/>
      <c r="D13" s="1"/>
      <c r="E13" s="1"/>
    </row>
    <row r="14" spans="1:5" ht="25.5">
      <c r="A14" s="58" t="s">
        <v>39</v>
      </c>
      <c r="B14" s="188"/>
      <c r="C14" s="68">
        <f>B13/Baseline!B52*C11</f>
        <v>0.025</v>
      </c>
      <c r="D14" s="1"/>
      <c r="E14" s="1"/>
    </row>
    <row r="15" spans="1:5" ht="12.75">
      <c r="A15" s="58" t="s">
        <v>364</v>
      </c>
      <c r="B15" s="188"/>
      <c r="C15" s="69">
        <f>C14*Baseline!C32</f>
        <v>143.821454633909</v>
      </c>
      <c r="D15" s="1"/>
      <c r="E15" s="1"/>
    </row>
    <row r="16" spans="1:5" ht="12.75">
      <c r="A16" s="58" t="s">
        <v>365</v>
      </c>
      <c r="B16" s="188"/>
      <c r="C16" s="70">
        <f>C15*Baseline!B11</f>
        <v>35955.363658477254</v>
      </c>
      <c r="D16" s="1"/>
      <c r="E16" s="1"/>
    </row>
    <row r="17" spans="1:5" ht="12.75">
      <c r="A17" s="58" t="s">
        <v>366</v>
      </c>
      <c r="B17" s="189">
        <v>0</v>
      </c>
      <c r="C17" s="71"/>
      <c r="D17" s="1"/>
      <c r="E17" s="13"/>
    </row>
    <row r="18" spans="1:5" ht="25.5">
      <c r="A18" s="58" t="s">
        <v>165</v>
      </c>
      <c r="B18" s="188"/>
      <c r="C18" s="69">
        <f>Baseline!C38</f>
        <v>33.24706833805095</v>
      </c>
      <c r="D18" s="1"/>
      <c r="E18" s="1"/>
    </row>
    <row r="19" spans="1:5" ht="12.75" customHeight="1">
      <c r="A19" s="58" t="s">
        <v>367</v>
      </c>
      <c r="B19" s="188"/>
      <c r="C19" s="69">
        <f>Baseline!C38-(Baseline!B14+B17)/(Baseline!C23+Baseline!C32+CCTV!C15)</f>
        <v>0.15821902270680965</v>
      </c>
      <c r="D19" s="1"/>
      <c r="E19" s="1"/>
    </row>
    <row r="20" spans="1:5" ht="12.75">
      <c r="A20" s="58" t="s">
        <v>166</v>
      </c>
      <c r="B20" s="188"/>
      <c r="C20" s="69">
        <f>SUM(C18:C19)</f>
        <v>33.40528736075776</v>
      </c>
      <c r="D20" s="1"/>
      <c r="E20" s="15"/>
    </row>
    <row r="21" spans="1:5" s="80" customFormat="1" ht="15.75">
      <c r="A21" s="116" t="s">
        <v>184</v>
      </c>
      <c r="B21" s="190"/>
      <c r="C21" s="117"/>
      <c r="D21" s="78"/>
      <c r="E21" s="79"/>
    </row>
    <row r="22" spans="1:5" ht="12.75">
      <c r="A22" s="58" t="s">
        <v>378</v>
      </c>
      <c r="B22" s="188"/>
      <c r="C22" s="72">
        <f>B17*emis_fac!C1*Baseline!B11/1000</f>
        <v>0</v>
      </c>
      <c r="D22" s="1"/>
      <c r="E22" s="1"/>
    </row>
    <row r="23" spans="1:5" ht="12.75" customHeight="1">
      <c r="A23" s="58" t="s">
        <v>167</v>
      </c>
      <c r="B23" s="188"/>
      <c r="C23" s="73">
        <f>((VLOOKUP($C20,emis_fac!$A6:$B18,2,TRUE)+(VLOOKUP($C20+5,emis_fac!$A6:$B18,2,TRUE)-VLOOKUP($C20,emis_fac!$A6:$B18,2,TRUE))*($C20-MATCH($C20,emis_fac!$A6:$A18,1)*5)/(MATCH($C20+5,emis_fac!$A6:$A18,1)*5-MATCH($C20,emis_fac!$A6:$A18,1)*5))*(Baseline!$B14+$B17)-(VLOOKUP($C18,emis_fac!$A6:$B18,2,TRUE)+(VLOOKUP($C18+5,emis_fac!$A6:$B18,2,TRUE)-VLOOKUP($C18,emis_fac!$A6:$B18,2,TRUE))*($C18-MATCH($C18,emis_fac!$A6:$A18,1)*5)/(MATCH($C18+5,emis_fac!$A6:$A18,1)*5-MATCH($C18,emis_fac!$A6:$A18,1)*5))*(Baseline!$B14))*Baseline!B11/454/2000</f>
        <v>-14.462752075622777</v>
      </c>
      <c r="D23" s="1"/>
      <c r="E23" s="1"/>
    </row>
    <row r="24" spans="1:5" ht="12.75">
      <c r="A24" s="58" t="s">
        <v>168</v>
      </c>
      <c r="B24" s="188"/>
      <c r="C24" s="73">
        <f>((VLOOKUP($C20,emis_fac!$A22:$B34,2,TRUE)+(VLOOKUP($C20+5,emis_fac!$A22:$B34,2,TRUE)-VLOOKUP($C20,emis_fac!$A22:$B34,2,TRUE))*($C20-MATCH($C20,emis_fac!$A22:$A34,1)*5)/(MATCH($C20+5,emis_fac!$A22:$A34,1)*5-MATCH($C20,emis_fac!$A22:$A34,1)*5))*(Baseline!$B14+$B17)-(VLOOKUP($C18,emis_fac!$A22:$B34,2,TRUE)+(VLOOKUP($C18+5,emis_fac!$A22:$B34,2,TRUE)-VLOOKUP($C18,emis_fac!$A22:$B34,2,TRUE))*($C18-MATCH($C18,emis_fac!$A22:$A34,1)*5)/(MATCH($C18+5,emis_fac!$A22:$A34,1)*5-MATCH($C18,emis_fac!$A22:$A34,1)*5))*(Baseline!$B14))*Baseline!B11/454/2000</f>
        <v>0.26137503751125113</v>
      </c>
      <c r="D24" s="1"/>
      <c r="E24" s="1"/>
    </row>
    <row r="25" spans="1:5" ht="12.75">
      <c r="A25" s="58" t="s">
        <v>169</v>
      </c>
      <c r="B25" s="188"/>
      <c r="C25" s="73">
        <f>((VLOOKUP($C20,emis_fac!$A38:$B50,2,TRUE)+(VLOOKUP($C20+5,emis_fac!$A38:$B50,2,TRUE)-VLOOKUP($C20,emis_fac!$A38:$B50,2,TRUE))*($C20-MATCH($C20,emis_fac!$A38:$A50,1)*5)/(MATCH($C20+5,emis_fac!$A38:$A50,1)*5-MATCH($C20,emis_fac!$A38:$A50,1)*5))*(Baseline!$B14+$B17)-(VLOOKUP($C18,emis_fac!$A38:$B50,2,TRUE)+(VLOOKUP($C18+5,emis_fac!$A38:$B50,2,TRUE)-VLOOKUP($C18,emis_fac!$A38:$B50,2,TRUE))*($C18-MATCH($C18,emis_fac!$A38:$A50,1)*5)/(MATCH($C18+5,emis_fac!$A38:$A50,1)*5-MATCH($C18,emis_fac!$A38:$A50,1)*5))*(Baseline!$B14))*Baseline!B11/454/2000</f>
        <v>-1.5682502250675068</v>
      </c>
      <c r="D25" s="1"/>
      <c r="E25" s="1"/>
    </row>
    <row r="26" spans="1:5" s="80" customFormat="1" ht="15.75">
      <c r="A26" s="116" t="s">
        <v>176</v>
      </c>
      <c r="B26" s="190"/>
      <c r="C26" s="118"/>
      <c r="D26" s="78"/>
      <c r="E26" s="78"/>
    </row>
    <row r="27" spans="1:5" s="80" customFormat="1" ht="15.75">
      <c r="A27" s="58" t="s">
        <v>368</v>
      </c>
      <c r="B27" s="188"/>
      <c r="C27" s="71">
        <f>C16*Baseline!C45</f>
        <v>514161.7003162248</v>
      </c>
      <c r="D27" s="78"/>
      <c r="E27" s="78"/>
    </row>
    <row r="28" spans="1:6" ht="12.75">
      <c r="A28" s="58" t="s">
        <v>369</v>
      </c>
      <c r="B28" s="188"/>
      <c r="C28" s="71">
        <f>(-(VLOOKUP($C20,emis_fac!$A54:$B66,2,TRUE)+(VLOOKUP($C20+5,emis_fac!$A54:$B66,2,TRUE)-VLOOKUP($C20,emis_fac!$A54:$B66,2,TRUE))*($C20-MATCH($C20,emis_fac!$A54:$A66,1)*5)/(MATCH($C20+5,emis_fac!$A54:$A66,1)*5-MATCH($C20,emis_fac!$A54:$A66,1)*5))*(Baseline!$B14-$B17)+(VLOOKUP($C18,emis_fac!$A54:$B66,2,TRUE)+(VLOOKUP($C18+5,emis_fac!$A54:$B66,2,TRUE)-VLOOKUP($C18,emis_fac!$A54:$B66,2,TRUE))*($C18-MATCH($C18,emis_fac!$A54:$A66,1)*5)/(MATCH($C18+5,emis_fac!$A54:$A66,1)*5-MATCH($C18,emis_fac!$A54:$A66,1)*5))*(Baseline!$B14))*Baseline!B11</f>
        <v>79109.51135340292</v>
      </c>
      <c r="D28" s="1"/>
      <c r="E28" s="1"/>
      <c r="F28" s="16"/>
    </row>
    <row r="29" spans="1:5" ht="25.5">
      <c r="A29" s="58" t="s">
        <v>170</v>
      </c>
      <c r="B29" s="188"/>
      <c r="C29" s="71">
        <f>C27+C28</f>
        <v>593271.2116696277</v>
      </c>
      <c r="D29" s="1"/>
      <c r="E29" s="1"/>
    </row>
    <row r="30" spans="1:5" ht="25.5">
      <c r="A30" s="58" t="s">
        <v>171</v>
      </c>
      <c r="B30" s="188"/>
      <c r="C30" s="71">
        <f>C29/Baseline!B16/250*365</f>
        <v>805220.7576811903</v>
      </c>
      <c r="D30" s="1"/>
      <c r="E30" s="1"/>
    </row>
    <row r="31" spans="1:5" ht="12.75">
      <c r="A31" s="58" t="s">
        <v>44</v>
      </c>
      <c r="B31" s="191">
        <v>500000</v>
      </c>
      <c r="C31" s="67"/>
      <c r="D31" s="1"/>
      <c r="E31" s="1"/>
    </row>
    <row r="32" spans="1:5" ht="12.75">
      <c r="A32" s="58" t="s">
        <v>45</v>
      </c>
      <c r="B32" s="189">
        <v>10</v>
      </c>
      <c r="C32" s="67"/>
      <c r="D32" s="1"/>
      <c r="E32" s="1"/>
    </row>
    <row r="33" spans="1:5" ht="12.75">
      <c r="A33" s="58" t="s">
        <v>46</v>
      </c>
      <c r="B33" s="191">
        <v>50000</v>
      </c>
      <c r="C33" s="67"/>
      <c r="D33" s="1"/>
      <c r="E33" s="1"/>
    </row>
    <row r="34" spans="1:5" ht="12.75">
      <c r="A34" s="58" t="s">
        <v>47</v>
      </c>
      <c r="B34" s="188"/>
      <c r="C34" s="67">
        <f>VLOOKUP(B32,ann_fac!A2:B23,2)</f>
        <v>0.142</v>
      </c>
      <c r="D34" s="1"/>
      <c r="E34" s="1"/>
    </row>
    <row r="35" spans="1:5" ht="12.75">
      <c r="A35" s="58" t="s">
        <v>48</v>
      </c>
      <c r="B35" s="188"/>
      <c r="C35" s="71">
        <f>B31*C34+B33</f>
        <v>121000</v>
      </c>
      <c r="D35" s="1"/>
      <c r="E35" s="1"/>
    </row>
    <row r="36" spans="1:5" ht="12.75">
      <c r="A36" s="58" t="s">
        <v>376</v>
      </c>
      <c r="B36" s="188"/>
      <c r="C36" s="71">
        <f>C29-C35</f>
        <v>472271.2116696277</v>
      </c>
      <c r="D36" s="1"/>
      <c r="E36" s="1"/>
    </row>
    <row r="37" spans="1:5" ht="12.75">
      <c r="A37" s="58" t="s">
        <v>377</v>
      </c>
      <c r="B37" s="188"/>
      <c r="C37" s="71">
        <f>C30-C35</f>
        <v>684220.7576811903</v>
      </c>
      <c r="D37" s="1"/>
      <c r="E37" s="1"/>
    </row>
    <row r="38" spans="1:5" ht="12.75">
      <c r="A38" s="58" t="s">
        <v>172</v>
      </c>
      <c r="B38" s="188"/>
      <c r="C38" s="74">
        <f>C29/C35</f>
        <v>4.9030678650382455</v>
      </c>
      <c r="D38" s="1"/>
      <c r="E38" s="1"/>
    </row>
    <row r="39" spans="1:5" ht="13.5" thickBot="1">
      <c r="A39" s="57" t="s">
        <v>173</v>
      </c>
      <c r="B39" s="192"/>
      <c r="C39" s="75">
        <f>C30/C35</f>
        <v>6.654717005629672</v>
      </c>
      <c r="D39" s="11"/>
      <c r="E39" s="11"/>
    </row>
    <row r="40" spans="4:5" ht="12.75">
      <c r="D40" s="11"/>
      <c r="E40" s="11"/>
    </row>
  </sheetData>
  <sheetProtection sheet="1" objects="1" scenarios="1"/>
  <mergeCells count="5">
    <mergeCell ref="A1:C1"/>
    <mergeCell ref="B6:C7"/>
    <mergeCell ref="B5:C5"/>
    <mergeCell ref="B3:C3"/>
    <mergeCell ref="B4:C4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6" sqref="A6"/>
    </sheetView>
  </sheetViews>
  <sheetFormatPr defaultColWidth="9.140625" defaultRowHeight="12.75"/>
  <cols>
    <col min="1" max="1" width="56.57421875" style="0" customWidth="1"/>
    <col min="2" max="2" width="10.140625" style="0" customWidth="1"/>
    <col min="3" max="3" width="25.57421875" style="0" customWidth="1"/>
  </cols>
  <sheetData>
    <row r="1" spans="1:3" ht="18">
      <c r="A1" s="256" t="s">
        <v>74</v>
      </c>
      <c r="B1" s="257"/>
      <c r="C1" s="258"/>
    </row>
    <row r="2" spans="1:3" ht="12.75">
      <c r="A2" s="44"/>
      <c r="B2" s="110" t="s">
        <v>1</v>
      </c>
      <c r="C2" s="65" t="s">
        <v>175</v>
      </c>
    </row>
    <row r="3" spans="1:3" ht="12.75">
      <c r="A3" s="76" t="s">
        <v>30</v>
      </c>
      <c r="B3" s="267">
        <v>36062</v>
      </c>
      <c r="C3" s="273"/>
    </row>
    <row r="4" spans="1:3" ht="12.75">
      <c r="A4" s="44" t="s">
        <v>185</v>
      </c>
      <c r="B4" s="267" t="s">
        <v>186</v>
      </c>
      <c r="C4" s="268"/>
    </row>
    <row r="5" spans="1:3" ht="12.75">
      <c r="A5" s="44" t="s">
        <v>31</v>
      </c>
      <c r="B5" s="263" t="s">
        <v>32</v>
      </c>
      <c r="C5" s="264"/>
    </row>
    <row r="6" spans="1:3" ht="12.75">
      <c r="A6" s="104" t="s">
        <v>33</v>
      </c>
      <c r="B6" s="269" t="s">
        <v>70</v>
      </c>
      <c r="C6" s="270"/>
    </row>
    <row r="7" spans="1:3" ht="12.75">
      <c r="A7" s="44"/>
      <c r="B7" s="271"/>
      <c r="C7" s="272"/>
    </row>
    <row r="8" spans="1:3" ht="12.75">
      <c r="A8" s="44" t="s">
        <v>69</v>
      </c>
      <c r="B8" s="186">
        <v>0.4</v>
      </c>
      <c r="C8" s="66"/>
    </row>
    <row r="9" spans="1:3" ht="12.75">
      <c r="A9" s="44" t="s">
        <v>71</v>
      </c>
      <c r="B9" s="186">
        <v>0.8</v>
      </c>
      <c r="C9" s="66"/>
    </row>
    <row r="10" spans="1:3" ht="12.75">
      <c r="A10" s="44" t="s">
        <v>72</v>
      </c>
      <c r="B10" s="193"/>
      <c r="C10" s="169">
        <f>B9-B8</f>
        <v>0.4</v>
      </c>
    </row>
    <row r="11" spans="1:3" ht="15.75">
      <c r="A11" s="105" t="s">
        <v>183</v>
      </c>
      <c r="B11" s="194"/>
      <c r="C11" s="113"/>
    </row>
    <row r="12" spans="1:3" ht="12.75">
      <c r="A12" s="44" t="s">
        <v>38</v>
      </c>
      <c r="B12" s="185">
        <v>3</v>
      </c>
      <c r="C12" s="66"/>
    </row>
    <row r="13" spans="1:3" ht="12.75">
      <c r="A13" s="44" t="s">
        <v>39</v>
      </c>
      <c r="B13" s="193"/>
      <c r="C13" s="82">
        <f>B12/Baseline!B52*C10</f>
        <v>0.03</v>
      </c>
    </row>
    <row r="14" spans="1:3" ht="12.75">
      <c r="A14" s="44" t="s">
        <v>364</v>
      </c>
      <c r="B14" s="193"/>
      <c r="C14" s="84">
        <f>C13*Baseline!C32</f>
        <v>172.58574556069078</v>
      </c>
    </row>
    <row r="15" spans="1:3" ht="12.75">
      <c r="A15" s="44" t="s">
        <v>365</v>
      </c>
      <c r="B15" s="193"/>
      <c r="C15" s="84">
        <f>C14*Baseline!B11</f>
        <v>43146.4363901727</v>
      </c>
    </row>
    <row r="16" spans="1:3" ht="12.75">
      <c r="A16" s="44" t="s">
        <v>40</v>
      </c>
      <c r="B16" s="185">
        <v>0</v>
      </c>
      <c r="C16" s="85"/>
    </row>
    <row r="17" spans="1:3" ht="12.75">
      <c r="A17" s="44" t="s">
        <v>41</v>
      </c>
      <c r="B17" s="193"/>
      <c r="C17" s="83">
        <f>Baseline!C38</f>
        <v>33.24706833805095</v>
      </c>
    </row>
    <row r="18" spans="1:3" ht="12.75">
      <c r="A18" s="44" t="s">
        <v>42</v>
      </c>
      <c r="B18" s="193"/>
      <c r="C18" s="83">
        <f>Baseline!C38-(Baseline!B14+B16)/(Baseline!C23+Baseline!C32+Detection!C14)</f>
        <v>0.1896822919507315</v>
      </c>
    </row>
    <row r="19" spans="1:3" ht="12.75">
      <c r="A19" s="44" t="s">
        <v>43</v>
      </c>
      <c r="B19" s="193"/>
      <c r="C19" s="83">
        <f>SUM(C17:C18)</f>
        <v>33.43675063000168</v>
      </c>
    </row>
    <row r="20" spans="1:3" s="80" customFormat="1" ht="15.75">
      <c r="A20" s="105" t="s">
        <v>184</v>
      </c>
      <c r="B20" s="195"/>
      <c r="C20" s="114"/>
    </row>
    <row r="21" spans="1:3" ht="12.75">
      <c r="A21" s="44" t="s">
        <v>378</v>
      </c>
      <c r="B21" s="193"/>
      <c r="C21" s="86">
        <f>B16*emis_fac!C1*Baseline!B11/1000</f>
        <v>0</v>
      </c>
    </row>
    <row r="22" spans="1:3" ht="12.75">
      <c r="A22" s="44" t="s">
        <v>167</v>
      </c>
      <c r="B22" s="193"/>
      <c r="C22" s="87">
        <f>((VLOOKUP($C19,emis_fac!$A6:$B18,2,TRUE)+(VLOOKUP($C19+5,emis_fac!$A6:$B18,2,TRUE)-VLOOKUP($C19,emis_fac!$A6:$B18,2,TRUE))*($C19-MATCH($C19,emis_fac!$A6:$A18,1)*5)/(MATCH($C19+5,emis_fac!$A6:$A18,1)*5-MATCH($C19,emis_fac!$A6:$A18,1)*5))*(Baseline!$B14+$B16)-(VLOOKUP($C17,emis_fac!$A6:$B18,2,TRUE)+(VLOOKUP($C17+5,emis_fac!$A6:$B18,2,TRUE)-VLOOKUP($C17,emis_fac!$A6:$B18,2,TRUE))*($C17-MATCH($C17,emis_fac!$A6:$A18,1)*5)/(MATCH($C17+5,emis_fac!$A6:$A18,1)*5-MATCH($C17,emis_fac!$A6:$A18,1)*5))*(Baseline!$B14))/1.076*365/454/2000</f>
        <v>-23.526624284129873</v>
      </c>
    </row>
    <row r="23" spans="1:3" ht="12.75">
      <c r="A23" s="44" t="s">
        <v>168</v>
      </c>
      <c r="B23" s="193"/>
      <c r="C23" s="87">
        <f>((VLOOKUP($C19,emis_fac!$A22:$B34,2,TRUE)+(VLOOKUP($C19+5,emis_fac!$A22:$B34,2,TRUE)-VLOOKUP($C19,emis_fac!$A22:$B34,2,TRUE))*($C19-MATCH($C19,emis_fac!$A22:$A34,1)*5)/(MATCH($C19+5,emis_fac!$A22:$A34,1)*5-MATCH($C19,emis_fac!$A22:$A34,1)*5))*(Baseline!$B14+$B16)-(VLOOKUP($C17,emis_fac!$A22:$B34,2,TRUE)+(VLOOKUP($C17+5,emis_fac!$A22:$B34,2,TRUE)-VLOOKUP($C17,emis_fac!$A22:$B34,2,TRUE))*($C17-MATCH($C17,emis_fac!$A22:$A34,1)*5)/(MATCH($C17+5,emis_fac!$A22:$A34,1)*5-MATCH($C17,emis_fac!$A22:$A34,1)*5))*(Baseline!$B14))/1.076*365/454/2000</f>
        <v>0.4251799569420024</v>
      </c>
    </row>
    <row r="24" spans="1:3" ht="12.75">
      <c r="A24" s="44" t="s">
        <v>169</v>
      </c>
      <c r="B24" s="193"/>
      <c r="C24" s="87">
        <f>((VLOOKUP($C19,emis_fac!$A38:$B50,2,TRUE)+(VLOOKUP($C19+5,emis_fac!$A38:$B50,2,TRUE)-VLOOKUP($C19,emis_fac!$A38:$B50,2,TRUE))*($C19-MATCH($C19,emis_fac!$A38:$A50,1)*5)/(MATCH($C19+5,emis_fac!$A38:$A50,1)*5-MATCH($C19,emis_fac!$A38:$A50,1)*5))*(Baseline!$B14+$B16)-(VLOOKUP($C17,emis_fac!$A38:$B50,2,TRUE)+(VLOOKUP($C17+5,emis_fac!$A38:$B50,2,TRUE)-VLOOKUP($C17,emis_fac!$A38:$B50,2,TRUE))*($C17-MATCH($C17,emis_fac!$A38:$A50,1)*5)/(MATCH($C17+5,emis_fac!$A38:$A50,1)*5-MATCH($C17,emis_fac!$A38:$A50,1)*5))*(Baseline!$B14))/1.076*365/454/2000</f>
        <v>-2.5510797416527105</v>
      </c>
    </row>
    <row r="25" spans="1:3" s="80" customFormat="1" ht="15.75">
      <c r="A25" s="105" t="s">
        <v>176</v>
      </c>
      <c r="B25" s="195"/>
      <c r="C25" s="115"/>
    </row>
    <row r="26" spans="1:3" s="80" customFormat="1" ht="15.75">
      <c r="A26" s="44" t="s">
        <v>384</v>
      </c>
      <c r="B26" s="193"/>
      <c r="C26" s="85">
        <f>C15*Baseline!C45</f>
        <v>616994.0403794696</v>
      </c>
    </row>
    <row r="27" spans="1:3" ht="12.75">
      <c r="A27" s="44" t="s">
        <v>369</v>
      </c>
      <c r="B27" s="193"/>
      <c r="C27" s="85">
        <f>(-(VLOOKUP($C19,emis_fac!$A54:$B66,2,TRUE)+(VLOOKUP($C19+5,emis_fac!$A54:$B66,2,TRUE)-VLOOKUP($C19,emis_fac!$A54:$B66,2,TRUE))*($C19-MATCH($C19,emis_fac!$A54:$A66,1)*5)/(MATCH($C19+5,emis_fac!$A54:$A66,1)*5-MATCH($C19,emis_fac!$A54:$A66,1)*5))*(Baseline!$B14+$B16)+(VLOOKUP($C17,emis_fac!$A54:$B66,2,TRUE)+(VLOOKUP($C17+5,emis_fac!$A54:$B66,2,TRUE)-VLOOKUP($C17,emis_fac!$A54:$B66,2,TRUE))*($C17-MATCH($C17,emis_fac!$A54:$A66,1)*5)/(MATCH($C17+5,emis_fac!$A54:$A66,1)*5-MATCH($C17,emis_fac!$A54:$A66,1)*5))*(Baseline!$B14))*250</f>
        <v>94841.14597536609</v>
      </c>
    </row>
    <row r="28" spans="1:3" ht="12.75">
      <c r="A28" s="44" t="s">
        <v>170</v>
      </c>
      <c r="B28" s="193"/>
      <c r="C28" s="85">
        <f>+C26+C27</f>
        <v>711835.1863548358</v>
      </c>
    </row>
    <row r="29" spans="1:3" ht="25.5">
      <c r="A29" s="58" t="s">
        <v>171</v>
      </c>
      <c r="B29" s="193"/>
      <c r="C29" s="85">
        <f>C28/1.076/250*365</f>
        <v>965873.0223773791</v>
      </c>
    </row>
    <row r="30" spans="1:3" ht="12.75">
      <c r="A30" s="44" t="s">
        <v>44</v>
      </c>
      <c r="B30" s="196">
        <v>1000000</v>
      </c>
      <c r="C30" s="66"/>
    </row>
    <row r="31" spans="1:3" ht="12.75">
      <c r="A31" s="44" t="s">
        <v>45</v>
      </c>
      <c r="B31" s="185">
        <v>10</v>
      </c>
      <c r="C31" s="66"/>
    </row>
    <row r="32" spans="1:3" ht="12.75">
      <c r="A32" s="44" t="s">
        <v>46</v>
      </c>
      <c r="B32" s="196">
        <v>100000</v>
      </c>
      <c r="C32" s="66"/>
    </row>
    <row r="33" spans="1:3" ht="12.75">
      <c r="A33" s="44" t="s">
        <v>47</v>
      </c>
      <c r="B33" s="193"/>
      <c r="C33" s="66">
        <f>VLOOKUP(B31,ann_fac!A2:B23,2)</f>
        <v>0.142</v>
      </c>
    </row>
    <row r="34" spans="1:3" ht="12.75">
      <c r="A34" s="44" t="s">
        <v>48</v>
      </c>
      <c r="B34" s="193"/>
      <c r="C34" s="85">
        <f>B30*C33+B32</f>
        <v>242000</v>
      </c>
    </row>
    <row r="35" spans="1:3" ht="12.75">
      <c r="A35" s="58" t="s">
        <v>376</v>
      </c>
      <c r="B35" s="188"/>
      <c r="C35" s="71">
        <f>C28-C34</f>
        <v>469835.18635483575</v>
      </c>
    </row>
    <row r="36" spans="1:3" ht="12.75">
      <c r="A36" s="58" t="s">
        <v>377</v>
      </c>
      <c r="B36" s="188"/>
      <c r="C36" s="71">
        <f>C29-C34</f>
        <v>723873.0223773791</v>
      </c>
    </row>
    <row r="37" spans="1:3" ht="12.75">
      <c r="A37" s="44" t="s">
        <v>172</v>
      </c>
      <c r="B37" s="193"/>
      <c r="C37" s="90">
        <f>C28/C34</f>
        <v>2.941467712210065</v>
      </c>
    </row>
    <row r="38" spans="1:3" ht="13.5" thickBot="1">
      <c r="A38" s="45" t="s">
        <v>173</v>
      </c>
      <c r="B38" s="197"/>
      <c r="C38" s="88">
        <f>C29/C34</f>
        <v>3.9912108362701617</v>
      </c>
    </row>
  </sheetData>
  <sheetProtection sheet="1" objects="1" scenarios="1"/>
  <mergeCells count="5">
    <mergeCell ref="A1:C1"/>
    <mergeCell ref="B6:C7"/>
    <mergeCell ref="B3:C3"/>
    <mergeCell ref="B5:C5"/>
    <mergeCell ref="B4:C4"/>
  </mergeCells>
  <printOptions horizontalCentered="1" verticalCentered="1"/>
  <pageMargins left="0.5" right="0.75" top="0.75" bottom="0.75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Fleger</dc:creator>
  <cp:keywords/>
  <dc:description/>
  <cp:lastModifiedBy>Barry Zimmer</cp:lastModifiedBy>
  <cp:lastPrinted>1999-01-26T02:05:55Z</cp:lastPrinted>
  <dcterms:created xsi:type="dcterms:W3CDTF">1998-06-24T04:23:19Z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