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0" windowWidth="16335" windowHeight="11670" activeTab="0"/>
  </bookViews>
  <sheets>
    <sheet name="Raw" sheetId="1" r:id="rId1"/>
    <sheet name="volume" sheetId="2" r:id="rId2"/>
    <sheet name="Sheet3" sheetId="3" r:id="rId3"/>
  </sheets>
  <definedNames>
    <definedName name="Evsize">'Raw'!$B$15</definedName>
    <definedName name="EvStream_a">'Raw'!$B$3</definedName>
    <definedName name="EvStream_b">'Raw'!$B$4</definedName>
    <definedName name="EvStream_c">'Raw'!$B$5</definedName>
    <definedName name="EvStream_d">'Raw'!$B$6</definedName>
    <definedName name="EvStream_e">'Raw'!$B$7</definedName>
    <definedName name="EvStream_g">'Raw'!$B$8</definedName>
    <definedName name="EvStream_h">'Raw'!$B$9</definedName>
    <definedName name="EvStream_j">'Raw'!$B$10</definedName>
    <definedName name="glasgow">'Raw'!$D$13</definedName>
    <definedName name="h_out1">'Raw'!$B$18</definedName>
    <definedName name="h_out2">'Raw'!$B$19</definedName>
    <definedName name="hout1Size">'Raw'!$B$18</definedName>
    <definedName name="hout2Size">'Raw'!$B$19</definedName>
    <definedName name="MinStream_a">'Raw'!$F$3</definedName>
    <definedName name="MinStream_b">'Raw'!$F$4</definedName>
    <definedName name="MinStream_c">'Raw'!$F$5</definedName>
    <definedName name="MinStream_d">'Raw'!$F$6</definedName>
    <definedName name="MinStream_e">'Raw'!$F$7</definedName>
    <definedName name="MinStream_g">'Raw'!$F$8</definedName>
    <definedName name="MinStream_h">'Raw'!$F$9</definedName>
    <definedName name="MinStream_j">'Raw'!$F$10</definedName>
    <definedName name="MinTotal">'Raw'!$F$11</definedName>
    <definedName name="ProductionRate">'Raw'!$B$16</definedName>
    <definedName name="ReProcessEvSize">'Raw'!$A$17:$B$17</definedName>
    <definedName name="rpEvSize">'Raw'!$B$17</definedName>
    <definedName name="TotalEvents">'Raw'!$B$11</definedName>
  </definedNames>
  <calcPr fullCalcOnLoad="1"/>
</workbook>
</file>

<file path=xl/sharedStrings.xml><?xml version="1.0" encoding="utf-8"?>
<sst xmlns="http://schemas.openxmlformats.org/spreadsheetml/2006/main" count="83" uniqueCount="41">
  <si>
    <t>GHzSec</t>
  </si>
  <si>
    <t>GHz</t>
  </si>
  <si>
    <t>Sec</t>
  </si>
  <si>
    <t>Day</t>
  </si>
  <si>
    <t>Hr</t>
  </si>
  <si>
    <t>yr</t>
  </si>
  <si>
    <t>glasgow</t>
  </si>
  <si>
    <t>EvSize</t>
  </si>
  <si>
    <t>Evsize</t>
  </si>
  <si>
    <t>GB</t>
  </si>
  <si>
    <t>Rate in</t>
  </si>
  <si>
    <t>Min</t>
  </si>
  <si>
    <t>TB</t>
  </si>
  <si>
    <t>GB/min</t>
  </si>
  <si>
    <t>TB/Day</t>
  </si>
  <si>
    <t>Raw EvSize</t>
  </si>
  <si>
    <t>ProductionRate</t>
  </si>
  <si>
    <t>rpEvSize</t>
  </si>
  <si>
    <t>MinStream_a</t>
  </si>
  <si>
    <t xml:space="preserve">MinStream_e         </t>
  </si>
  <si>
    <t xml:space="preserve">MinStream_g         </t>
  </si>
  <si>
    <t xml:space="preserve">MinStream_h         </t>
  </si>
  <si>
    <t xml:space="preserve">MinStream_j         </t>
  </si>
  <si>
    <t xml:space="preserve">MinStream_b         </t>
  </si>
  <si>
    <t>MinStream_d</t>
  </si>
  <si>
    <t>MinStream_c</t>
  </si>
  <si>
    <t>MinTotal</t>
  </si>
  <si>
    <t>Input</t>
  </si>
  <si>
    <t>Out1</t>
  </si>
  <si>
    <t>Out2</t>
  </si>
  <si>
    <t>hout1Size</t>
  </si>
  <si>
    <t>hout2Size</t>
  </si>
  <si>
    <t>Gb/Min</t>
  </si>
  <si>
    <t>Tape</t>
  </si>
  <si>
    <t>TotG/M</t>
  </si>
  <si>
    <t>Fileservers(read)</t>
  </si>
  <si>
    <t>Fileservers(write)</t>
  </si>
  <si>
    <t>No</t>
  </si>
  <si>
    <t>MB/sec</t>
  </si>
  <si>
    <t>WAN-now</t>
  </si>
  <si>
    <t>WAN-later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</si>
</sst>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1" fontId="0" fillId="2" borderId="2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16.28125" style="0" bestFit="1" customWidth="1"/>
    <col min="2" max="2" width="10.00390625" style="0" bestFit="1" customWidth="1"/>
    <col min="3" max="3" width="11.00390625" style="0" bestFit="1" customWidth="1"/>
    <col min="4" max="4" width="5.00390625" style="0" bestFit="1" customWidth="1"/>
    <col min="5" max="5" width="8.00390625" style="1" bestFit="1" customWidth="1"/>
    <col min="6" max="6" width="7.00390625" style="1" bestFit="1" customWidth="1"/>
    <col min="7" max="7" width="7.57421875" style="2" bestFit="1" customWidth="1"/>
    <col min="8" max="8" width="5.57421875" style="2" bestFit="1" customWidth="1"/>
    <col min="9" max="9" width="4.57421875" style="2" bestFit="1" customWidth="1"/>
    <col min="11" max="11" width="10.8515625" style="2" bestFit="1" customWidth="1"/>
    <col min="12" max="12" width="6.7109375" style="2" bestFit="1" customWidth="1"/>
    <col min="13" max="13" width="7.28125" style="2" bestFit="1" customWidth="1"/>
    <col min="14" max="14" width="8.57421875" style="2" bestFit="1" customWidth="1"/>
  </cols>
  <sheetData>
    <row r="1" spans="1:14" ht="13.5" thickTop="1">
      <c r="A1" s="3"/>
      <c r="B1" s="3"/>
      <c r="C1" s="3" t="s">
        <v>0</v>
      </c>
      <c r="D1" s="3" t="s">
        <v>1</v>
      </c>
      <c r="E1" s="4" t="s">
        <v>2</v>
      </c>
      <c r="F1" s="4" t="s">
        <v>11</v>
      </c>
      <c r="G1" s="5" t="s">
        <v>4</v>
      </c>
      <c r="H1" s="5" t="s">
        <v>3</v>
      </c>
      <c r="I1" s="5" t="s">
        <v>5</v>
      </c>
      <c r="J1" s="3"/>
      <c r="K1" s="5" t="s">
        <v>15</v>
      </c>
      <c r="L1" s="5" t="s">
        <v>7</v>
      </c>
      <c r="M1" s="5" t="s">
        <v>10</v>
      </c>
      <c r="N1" s="5" t="s">
        <v>10</v>
      </c>
    </row>
    <row r="2" spans="1:14" ht="13.5" thickBot="1">
      <c r="A2" s="6"/>
      <c r="B2" s="6"/>
      <c r="C2" s="6"/>
      <c r="D2" s="6"/>
      <c r="E2" s="7"/>
      <c r="F2" s="7"/>
      <c r="G2" s="8"/>
      <c r="H2" s="8"/>
      <c r="I2" s="8"/>
      <c r="J2" s="6"/>
      <c r="K2" s="8" t="s">
        <v>9</v>
      </c>
      <c r="L2" s="8" t="s">
        <v>12</v>
      </c>
      <c r="M2" s="8" t="s">
        <v>13</v>
      </c>
      <c r="N2" s="8" t="s">
        <v>14</v>
      </c>
    </row>
    <row r="3" spans="1:14" ht="13.5" thickTop="1">
      <c r="A3" t="s">
        <v>18</v>
      </c>
      <c r="B3">
        <v>20521173</v>
      </c>
      <c r="C3">
        <f>EvStream_a*ProductionRate</f>
        <v>41042346</v>
      </c>
      <c r="D3">
        <f aca="true" t="shared" si="0" ref="D3:D10">glasgow</f>
        <v>46</v>
      </c>
      <c r="E3" s="1">
        <f>C3/D3</f>
        <v>892224.9130434783</v>
      </c>
      <c r="F3" s="1">
        <f>E3/60</f>
        <v>14870.415217391304</v>
      </c>
      <c r="G3" s="2">
        <f>E3/3600</f>
        <v>247.8402536231884</v>
      </c>
      <c r="H3" s="2">
        <f>G3/24</f>
        <v>10.326677234299517</v>
      </c>
      <c r="I3" s="2">
        <f>H3/365</f>
        <v>0.02829226639534114</v>
      </c>
      <c r="K3" s="2">
        <f>EvStream_a*Evsize/1000000</f>
        <v>4514.65806</v>
      </c>
      <c r="L3" s="2">
        <f>K3/1000</f>
        <v>4.5146580599999995</v>
      </c>
      <c r="M3" s="2">
        <f>K3/MinStream_a</f>
        <v>0.3036</v>
      </c>
      <c r="N3" s="2">
        <f>M3*24*60/1000</f>
        <v>0.43718399999999996</v>
      </c>
    </row>
    <row r="4" spans="1:14" ht="12.75">
      <c r="A4" t="s">
        <v>23</v>
      </c>
      <c r="B4">
        <v>80915268</v>
      </c>
      <c r="C4">
        <f>EvStream_b*ProductionRate</f>
        <v>161830536</v>
      </c>
      <c r="D4">
        <f t="shared" si="0"/>
        <v>46</v>
      </c>
      <c r="E4" s="1">
        <f aca="true" t="shared" si="1" ref="E4:E11">C4/D4</f>
        <v>3518055.1304347827</v>
      </c>
      <c r="F4" s="1">
        <f aca="true" t="shared" si="2" ref="F4:F11">E4/60</f>
        <v>58634.252173913046</v>
      </c>
      <c r="G4" s="2">
        <f aca="true" t="shared" si="3" ref="G4:G11">E4/3600</f>
        <v>977.2375362318841</v>
      </c>
      <c r="H4" s="2">
        <f aca="true" t="shared" si="4" ref="H4:H11">G4/24</f>
        <v>40.7182306763285</v>
      </c>
      <c r="I4" s="2">
        <f aca="true" t="shared" si="5" ref="I4:I11">H4/365</f>
        <v>0.11155679637350274</v>
      </c>
      <c r="K4" s="2">
        <f>EvStream_b*Evsize/1000000</f>
        <v>17801.35896</v>
      </c>
      <c r="L4" s="2">
        <f aca="true" t="shared" si="6" ref="L4:L11">K4/1000</f>
        <v>17.80135896</v>
      </c>
      <c r="M4" s="2">
        <f>K4/MinStream_b</f>
        <v>0.30360000000000004</v>
      </c>
      <c r="N4" s="2">
        <f aca="true" t="shared" si="7" ref="N4:N11">M4*24*60/1000</f>
        <v>0.437184</v>
      </c>
    </row>
    <row r="5" spans="1:14" ht="12.75">
      <c r="A5" t="s">
        <v>25</v>
      </c>
      <c r="B5">
        <v>57487182</v>
      </c>
      <c r="C5">
        <f>EvStream_c*ProductionRate</f>
        <v>114974364</v>
      </c>
      <c r="D5">
        <f t="shared" si="0"/>
        <v>46</v>
      </c>
      <c r="E5" s="1">
        <f t="shared" si="1"/>
        <v>2499442.695652174</v>
      </c>
      <c r="F5" s="1">
        <f t="shared" si="2"/>
        <v>41657.37826086956</v>
      </c>
      <c r="G5" s="2">
        <f t="shared" si="3"/>
        <v>694.2896376811594</v>
      </c>
      <c r="H5" s="2">
        <f t="shared" si="4"/>
        <v>28.928734903381642</v>
      </c>
      <c r="I5" s="2">
        <f t="shared" si="5"/>
        <v>0.07925680795447025</v>
      </c>
      <c r="K5" s="2">
        <f>EvStream_c*Evsize/1000000</f>
        <v>12647.18004</v>
      </c>
      <c r="L5" s="2">
        <f t="shared" si="6"/>
        <v>12.647180039999999</v>
      </c>
      <c r="M5" s="2">
        <f>K5/MinStream_c</f>
        <v>0.3036</v>
      </c>
      <c r="N5" s="2">
        <f t="shared" si="7"/>
        <v>0.43718399999999996</v>
      </c>
    </row>
    <row r="6" spans="1:14" ht="12.75">
      <c r="A6" t="s">
        <v>24</v>
      </c>
      <c r="B6">
        <v>35100306</v>
      </c>
      <c r="C6">
        <f>EvStream_d*ProductionRate</f>
        <v>70200612</v>
      </c>
      <c r="D6">
        <f t="shared" si="0"/>
        <v>46</v>
      </c>
      <c r="E6" s="1">
        <f t="shared" si="1"/>
        <v>1526100.2608695652</v>
      </c>
      <c r="F6" s="1">
        <f t="shared" si="2"/>
        <v>25435.004347826085</v>
      </c>
      <c r="G6" s="2">
        <f t="shared" si="3"/>
        <v>423.9167391304348</v>
      </c>
      <c r="H6" s="2">
        <f t="shared" si="4"/>
        <v>17.663197463768118</v>
      </c>
      <c r="I6" s="2">
        <f t="shared" si="5"/>
        <v>0.04839232181854279</v>
      </c>
      <c r="K6" s="2">
        <f>EvStream_d*Evsize/1000000</f>
        <v>7722.06732</v>
      </c>
      <c r="L6" s="2">
        <f t="shared" si="6"/>
        <v>7.72206732</v>
      </c>
      <c r="M6" s="2">
        <f>K6/MinStream_d</f>
        <v>0.30360000000000004</v>
      </c>
      <c r="N6" s="2">
        <f t="shared" si="7"/>
        <v>0.437184</v>
      </c>
    </row>
    <row r="7" spans="1:14" ht="12.75">
      <c r="A7" t="s">
        <v>19</v>
      </c>
      <c r="B7">
        <v>67452861</v>
      </c>
      <c r="C7">
        <f>EvStream_e*ProductionRate</f>
        <v>134905722</v>
      </c>
      <c r="D7">
        <f t="shared" si="0"/>
        <v>46</v>
      </c>
      <c r="E7" s="1">
        <f t="shared" si="1"/>
        <v>2932733.086956522</v>
      </c>
      <c r="F7" s="1">
        <f t="shared" si="2"/>
        <v>48878.8847826087</v>
      </c>
      <c r="G7" s="2">
        <f t="shared" si="3"/>
        <v>814.648079710145</v>
      </c>
      <c r="H7" s="2">
        <f t="shared" si="4"/>
        <v>33.94366998792271</v>
      </c>
      <c r="I7" s="2">
        <f t="shared" si="5"/>
        <v>0.0929963561312951</v>
      </c>
      <c r="K7" s="2">
        <f>EvStream_e*Evsize/1000000</f>
        <v>14839.62942</v>
      </c>
      <c r="L7" s="2">
        <f t="shared" si="6"/>
        <v>14.83962942</v>
      </c>
      <c r="M7" s="2">
        <f>K7/MinStream_e</f>
        <v>0.3036</v>
      </c>
      <c r="N7" s="2">
        <f t="shared" si="7"/>
        <v>0.43718399999999996</v>
      </c>
    </row>
    <row r="8" spans="1:14" ht="12.75">
      <c r="A8" t="s">
        <v>20</v>
      </c>
      <c r="B8">
        <v>101170413</v>
      </c>
      <c r="C8">
        <f>EvStream_g*ProductionRate</f>
        <v>202340826</v>
      </c>
      <c r="D8">
        <f t="shared" si="0"/>
        <v>46</v>
      </c>
      <c r="E8" s="1">
        <f t="shared" si="1"/>
        <v>4398713.608695652</v>
      </c>
      <c r="F8" s="1">
        <f t="shared" si="2"/>
        <v>73311.89347826087</v>
      </c>
      <c r="G8" s="2">
        <f t="shared" si="3"/>
        <v>1221.8648913043478</v>
      </c>
      <c r="H8" s="2">
        <f t="shared" si="4"/>
        <v>50.911037137681156</v>
      </c>
      <c r="I8" s="2">
        <f t="shared" si="5"/>
        <v>0.13948229352789357</v>
      </c>
      <c r="K8" s="2">
        <f>EvStream_g*Evsize/1000000</f>
        <v>22257.49086</v>
      </c>
      <c r="L8" s="2">
        <f t="shared" si="6"/>
        <v>22.25749086</v>
      </c>
      <c r="M8" s="2">
        <f>K8/MinStream_g</f>
        <v>0.30360000000000004</v>
      </c>
      <c r="N8" s="2">
        <f t="shared" si="7"/>
        <v>0.437184</v>
      </c>
    </row>
    <row r="9" spans="1:14" ht="12.75">
      <c r="A9" t="s">
        <v>21</v>
      </c>
      <c r="B9">
        <v>155508683</v>
      </c>
      <c r="C9">
        <f>EvStream_h*ProductionRate</f>
        <v>311017366</v>
      </c>
      <c r="D9">
        <f>glasgow</f>
        <v>46</v>
      </c>
      <c r="E9" s="1">
        <f t="shared" si="1"/>
        <v>6761247.0869565215</v>
      </c>
      <c r="F9" s="1">
        <f t="shared" si="2"/>
        <v>112687.45144927535</v>
      </c>
      <c r="G9" s="2">
        <f t="shared" si="3"/>
        <v>1878.124190821256</v>
      </c>
      <c r="H9" s="2">
        <f t="shared" si="4"/>
        <v>78.25517461755233</v>
      </c>
      <c r="I9" s="2">
        <f t="shared" si="5"/>
        <v>0.21439773867822556</v>
      </c>
      <c r="K9" s="2">
        <f>EvStream_h*Evsize/1000000</f>
        <v>34211.91026</v>
      </c>
      <c r="L9" s="2">
        <f t="shared" si="6"/>
        <v>34.211910259999996</v>
      </c>
      <c r="M9" s="2">
        <f>K9/MinStream_h</f>
        <v>0.3036</v>
      </c>
      <c r="N9" s="2">
        <f t="shared" si="7"/>
        <v>0.43718399999999996</v>
      </c>
    </row>
    <row r="10" spans="1:14" ht="12.75">
      <c r="A10" t="s">
        <v>22</v>
      </c>
      <c r="B10">
        <v>70459709</v>
      </c>
      <c r="C10">
        <f>EvStream_j*ProductionRate</f>
        <v>140919418</v>
      </c>
      <c r="D10">
        <f t="shared" si="0"/>
        <v>46</v>
      </c>
      <c r="E10" s="1">
        <f t="shared" si="1"/>
        <v>3063465.6086956523</v>
      </c>
      <c r="F10" s="1">
        <f t="shared" si="2"/>
        <v>51057.76014492754</v>
      </c>
      <c r="G10" s="2">
        <f t="shared" si="3"/>
        <v>850.9626690821257</v>
      </c>
      <c r="H10" s="2">
        <f t="shared" si="4"/>
        <v>35.4567778784219</v>
      </c>
      <c r="I10" s="2">
        <f t="shared" si="5"/>
        <v>0.0971418572011559</v>
      </c>
      <c r="K10" s="2">
        <f>EvStream_j*Evsize/1000000</f>
        <v>15501.13598</v>
      </c>
      <c r="L10" s="2">
        <f t="shared" si="6"/>
        <v>15.501135979999999</v>
      </c>
      <c r="M10" s="2">
        <f>K10/MinStream_j</f>
        <v>0.3036</v>
      </c>
      <c r="N10" s="2">
        <f t="shared" si="7"/>
        <v>0.43718399999999996</v>
      </c>
    </row>
    <row r="11" spans="1:14" ht="12.75">
      <c r="A11" t="s">
        <v>26</v>
      </c>
      <c r="B11">
        <f>SUM(B3:B10)</f>
        <v>588615595</v>
      </c>
      <c r="C11">
        <f>TotalEvents*ProductionRate</f>
        <v>1177231190</v>
      </c>
      <c r="D11">
        <v>1000</v>
      </c>
      <c r="E11" s="1">
        <f t="shared" si="1"/>
        <v>1177231.19</v>
      </c>
      <c r="F11" s="1">
        <f t="shared" si="2"/>
        <v>19620.519833333332</v>
      </c>
      <c r="G11" s="2">
        <f t="shared" si="3"/>
        <v>327.00866388888886</v>
      </c>
      <c r="H11" s="2">
        <f t="shared" si="4"/>
        <v>13.62536099537037</v>
      </c>
      <c r="I11" s="2">
        <f t="shared" si="5"/>
        <v>0.037329756151699645</v>
      </c>
      <c r="K11" s="2">
        <f>TotalEvents*Evsize/1000000</f>
        <v>129495.4309</v>
      </c>
      <c r="L11" s="2">
        <f t="shared" si="6"/>
        <v>129.4954309</v>
      </c>
      <c r="M11" s="2">
        <f>K11/MinTotal</f>
        <v>6.6000000000000005</v>
      </c>
      <c r="N11" s="2">
        <f t="shared" si="7"/>
        <v>9.504</v>
      </c>
    </row>
    <row r="13" spans="1:4" ht="12.75">
      <c r="A13" t="s">
        <v>6</v>
      </c>
      <c r="B13">
        <v>20</v>
      </c>
      <c r="C13">
        <v>2.3</v>
      </c>
      <c r="D13">
        <f>B13*C13</f>
        <v>46</v>
      </c>
    </row>
    <row r="15" spans="1:2" ht="12.75">
      <c r="A15" t="s">
        <v>8</v>
      </c>
      <c r="B15">
        <v>220</v>
      </c>
    </row>
    <row r="16" spans="1:2" ht="12.75">
      <c r="A16" t="s">
        <v>16</v>
      </c>
      <c r="B16">
        <v>2</v>
      </c>
    </row>
    <row r="17" spans="1:2" ht="12.75">
      <c r="A17" t="s">
        <v>17</v>
      </c>
      <c r="B17">
        <v>30</v>
      </c>
    </row>
    <row r="18" spans="1:2" ht="12.75">
      <c r="A18" t="s">
        <v>30</v>
      </c>
      <c r="B18">
        <v>30</v>
      </c>
    </row>
    <row r="19" spans="1:2" ht="12.75">
      <c r="A19" t="s">
        <v>31</v>
      </c>
      <c r="B19">
        <v>150</v>
      </c>
    </row>
    <row r="20" spans="2:6" ht="12.75">
      <c r="B20" t="s">
        <v>38</v>
      </c>
      <c r="C20" t="s">
        <v>37</v>
      </c>
      <c r="E20" t="s">
        <v>32</v>
      </c>
      <c r="F20" s="1" t="s">
        <v>34</v>
      </c>
    </row>
    <row r="21" spans="1:6" ht="12.75">
      <c r="A21" t="s">
        <v>33</v>
      </c>
      <c r="B21">
        <v>15</v>
      </c>
      <c r="C21">
        <v>10</v>
      </c>
      <c r="E21">
        <f>B21*60/1000</f>
        <v>0.9</v>
      </c>
      <c r="F21" s="1">
        <f>E21*C21</f>
        <v>9</v>
      </c>
    </row>
    <row r="22" spans="1:6" ht="12.75">
      <c r="A22" t="s">
        <v>35</v>
      </c>
      <c r="B22">
        <v>40</v>
      </c>
      <c r="C22">
        <v>10</v>
      </c>
      <c r="E22">
        <f>B22*60/1000</f>
        <v>2.4</v>
      </c>
      <c r="F22" s="1">
        <f>E22*C22</f>
        <v>24</v>
      </c>
    </row>
    <row r="23" spans="1:6" ht="12.75">
      <c r="A23" t="s">
        <v>36</v>
      </c>
      <c r="B23">
        <v>25</v>
      </c>
      <c r="C23">
        <v>10</v>
      </c>
      <c r="E23">
        <f>B23*60/1000</f>
        <v>1.5</v>
      </c>
      <c r="F23" s="1">
        <f>E23*C23</f>
        <v>15</v>
      </c>
    </row>
    <row r="24" spans="1:6" ht="12.75">
      <c r="A24" t="s">
        <v>39</v>
      </c>
      <c r="B24">
        <f>622/8</f>
        <v>77.75</v>
      </c>
      <c r="C24">
        <v>1</v>
      </c>
      <c r="E24">
        <f>B24*60/1000</f>
        <v>4.665</v>
      </c>
      <c r="F24" s="1">
        <f>E24*C24</f>
        <v>4.665</v>
      </c>
    </row>
    <row r="25" spans="1:6" ht="12.75">
      <c r="A25" t="s">
        <v>40</v>
      </c>
      <c r="B25">
        <f>10000/8</f>
        <v>1250</v>
      </c>
      <c r="C25">
        <v>1</v>
      </c>
      <c r="E25">
        <f>B25*60/1000</f>
        <v>75</v>
      </c>
      <c r="F25" s="1">
        <f>E25*C25</f>
        <v>75</v>
      </c>
    </row>
    <row r="41" spans="1:2" ht="12.75">
      <c r="A41" t="s">
        <v>18</v>
      </c>
      <c r="B41">
        <v>14870.415217391304</v>
      </c>
    </row>
    <row r="42" spans="1:2" ht="12.75">
      <c r="A42" t="s">
        <v>23</v>
      </c>
      <c r="B42">
        <v>58634.252173913046</v>
      </c>
    </row>
    <row r="43" spans="1:2" ht="12.75">
      <c r="A43" t="s">
        <v>25</v>
      </c>
      <c r="B43">
        <v>41657.37826086956</v>
      </c>
    </row>
    <row r="44" spans="1:2" ht="12.75">
      <c r="A44" t="s">
        <v>24</v>
      </c>
      <c r="B44">
        <v>25435.004347826085</v>
      </c>
    </row>
    <row r="45" spans="1:2" ht="12.75">
      <c r="A45" t="s">
        <v>19</v>
      </c>
      <c r="B45">
        <v>48878.8847826087</v>
      </c>
    </row>
    <row r="46" spans="1:2" ht="12.75">
      <c r="A46" t="s">
        <v>20</v>
      </c>
      <c r="B46">
        <v>73311.89347826087</v>
      </c>
    </row>
    <row r="47" spans="1:2" ht="12.75">
      <c r="A47" t="s">
        <v>21</v>
      </c>
      <c r="B47">
        <v>112687.45144927535</v>
      </c>
    </row>
    <row r="48" spans="1:2" ht="12.75">
      <c r="A48" t="s">
        <v>22</v>
      </c>
      <c r="B48">
        <v>51057.76014492754</v>
      </c>
    </row>
    <row r="49" spans="1:2" ht="12.75">
      <c r="A49" t="s">
        <v>26</v>
      </c>
      <c r="B49">
        <v>19620.519833333332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A5" sqref="A5"/>
    </sheetView>
  </sheetViews>
  <sheetFormatPr defaultColWidth="9.140625" defaultRowHeight="12.75"/>
  <cols>
    <col min="1" max="1" width="12.8515625" style="0" customWidth="1"/>
    <col min="2" max="2" width="10.8515625" style="0" bestFit="1" customWidth="1"/>
    <col min="3" max="3" width="6.7109375" style="0" bestFit="1" customWidth="1"/>
    <col min="4" max="4" width="7.28125" style="0" bestFit="1" customWidth="1"/>
    <col min="5" max="5" width="7.140625" style="0" bestFit="1" customWidth="1"/>
    <col min="6" max="6" width="3.421875" style="0" customWidth="1"/>
    <col min="7" max="7" width="10.8515625" style="0" bestFit="1" customWidth="1"/>
    <col min="8" max="8" width="6.7109375" style="0" bestFit="1" customWidth="1"/>
    <col min="9" max="9" width="7.28125" style="0" bestFit="1" customWidth="1"/>
    <col min="10" max="10" width="7.140625" style="0" bestFit="1" customWidth="1"/>
    <col min="11" max="11" width="3.140625" style="0" customWidth="1"/>
    <col min="12" max="12" width="10.8515625" style="0" bestFit="1" customWidth="1"/>
    <col min="13" max="13" width="6.7109375" style="0" bestFit="1" customWidth="1"/>
    <col min="14" max="14" width="7.28125" style="0" bestFit="1" customWidth="1"/>
    <col min="15" max="15" width="7.140625" style="0" bestFit="1" customWidth="1"/>
    <col min="16" max="16" width="3.8515625" style="0" customWidth="1"/>
    <col min="17" max="17" width="10.8515625" style="0" bestFit="1" customWidth="1"/>
  </cols>
  <sheetData>
    <row r="1" spans="2:12" ht="13.5" thickBot="1">
      <c r="B1" t="s">
        <v>27</v>
      </c>
      <c r="G1" t="s">
        <v>28</v>
      </c>
      <c r="L1" t="s">
        <v>29</v>
      </c>
    </row>
    <row r="2" spans="2:20" ht="13.5" thickTop="1">
      <c r="B2" s="5" t="s">
        <v>15</v>
      </c>
      <c r="C2" s="5" t="s">
        <v>7</v>
      </c>
      <c r="D2" s="5" t="s">
        <v>10</v>
      </c>
      <c r="E2" s="5" t="s">
        <v>10</v>
      </c>
      <c r="G2" s="5" t="s">
        <v>15</v>
      </c>
      <c r="H2" s="5" t="s">
        <v>7</v>
      </c>
      <c r="I2" s="5" t="s">
        <v>10</v>
      </c>
      <c r="J2" s="5" t="s">
        <v>10</v>
      </c>
      <c r="L2" s="5" t="s">
        <v>15</v>
      </c>
      <c r="M2" s="5" t="s">
        <v>7</v>
      </c>
      <c r="N2" s="5" t="s">
        <v>10</v>
      </c>
      <c r="O2" s="5" t="s">
        <v>10</v>
      </c>
      <c r="Q2" s="5" t="s">
        <v>15</v>
      </c>
      <c r="R2" s="5" t="s">
        <v>7</v>
      </c>
      <c r="S2" s="5" t="s">
        <v>10</v>
      </c>
      <c r="T2" s="5" t="s">
        <v>10</v>
      </c>
    </row>
    <row r="3" spans="2:20" ht="13.5" thickBot="1">
      <c r="B3" s="8" t="s">
        <v>9</v>
      </c>
      <c r="C3" s="8" t="s">
        <v>12</v>
      </c>
      <c r="D3" s="8" t="s">
        <v>13</v>
      </c>
      <c r="E3" s="8" t="s">
        <v>14</v>
      </c>
      <c r="G3" s="8" t="s">
        <v>9</v>
      </c>
      <c r="H3" s="8" t="s">
        <v>12</v>
      </c>
      <c r="I3" s="8" t="s">
        <v>13</v>
      </c>
      <c r="J3" s="8" t="s">
        <v>14</v>
      </c>
      <c r="L3" s="8" t="s">
        <v>9</v>
      </c>
      <c r="M3" s="8" t="s">
        <v>12</v>
      </c>
      <c r="N3" s="8" t="s">
        <v>13</v>
      </c>
      <c r="O3" s="8" t="s">
        <v>14</v>
      </c>
      <c r="Q3" s="8" t="s">
        <v>9</v>
      </c>
      <c r="R3" s="8" t="s">
        <v>12</v>
      </c>
      <c r="S3" s="8" t="s">
        <v>13</v>
      </c>
      <c r="T3" s="8" t="s">
        <v>14</v>
      </c>
    </row>
    <row r="4" spans="1:20" ht="13.5" thickTop="1">
      <c r="A4" t="str">
        <f>Raw!A9</f>
        <v>MinStream_h         </v>
      </c>
      <c r="B4" s="2">
        <f>EvStream_h*rpEvSize/1000000</f>
        <v>4665.26049</v>
      </c>
      <c r="C4" s="2">
        <f>B4/1000</f>
        <v>4.66526049</v>
      </c>
      <c r="D4" s="2">
        <f>B4/MinStream_h</f>
        <v>0.0414</v>
      </c>
      <c r="E4" s="2">
        <f>D4*24*60/1000</f>
        <v>0.059616</v>
      </c>
      <c r="G4" s="2">
        <f>EvStream_h*hout1Size/1000000</f>
        <v>4665.26049</v>
      </c>
      <c r="H4" s="2">
        <f>G4/1000</f>
        <v>4.66526049</v>
      </c>
      <c r="I4" s="2">
        <f>G4/MinStream_h</f>
        <v>0.0414</v>
      </c>
      <c r="J4" s="2">
        <f>I4*24*60/1000</f>
        <v>0.059616</v>
      </c>
      <c r="L4" s="2">
        <f>EvStream_h*hout2Size/1000000</f>
        <v>23326.30245</v>
      </c>
      <c r="M4" s="2">
        <f>L4/1000</f>
        <v>23.32630245</v>
      </c>
      <c r="N4" s="2">
        <f>L4/MinStream_h</f>
        <v>0.20700000000000002</v>
      </c>
      <c r="O4" s="2">
        <f>N4*24*60/1000</f>
        <v>0.29808</v>
      </c>
      <c r="Q4" s="2">
        <f>B4+G4+L4</f>
        <v>32656.823429999997</v>
      </c>
      <c r="R4" s="2">
        <f>C4+H4+M4</f>
        <v>32.65682343</v>
      </c>
      <c r="S4" s="2">
        <f>D4+I4+N4</f>
        <v>0.2898</v>
      </c>
      <c r="T4" s="2">
        <f>E4+J4+O4</f>
        <v>0.417312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Glasgow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stdenis</dc:creator>
  <cp:keywords/>
  <dc:description/>
  <cp:lastModifiedBy>stdenis</cp:lastModifiedBy>
  <dcterms:created xsi:type="dcterms:W3CDTF">2004-02-08T15:23:39Z</dcterms:created>
  <dcterms:modified xsi:type="dcterms:W3CDTF">2004-02-08T18:40:51Z</dcterms:modified>
  <cp:category/>
  <cp:version/>
  <cp:contentType/>
  <cp:contentStatus/>
</cp:coreProperties>
</file>