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XYZdates" sheetId="1" r:id="rId1"/>
    <sheet name="UnpaidFees" sheetId="2" r:id="rId2"/>
    <sheet name="Sheet3" sheetId="3" r:id="rId3"/>
  </sheets>
  <definedNames>
    <definedName name="_xlnm.Print_Area" localSheetId="0">'XYZdates'!$A$2:$I$110</definedName>
  </definedNames>
  <calcPr fullCalcOnLoad="1"/>
</workbook>
</file>

<file path=xl/comments1.xml><?xml version="1.0" encoding="utf-8"?>
<comments xmlns="http://schemas.openxmlformats.org/spreadsheetml/2006/main">
  <authors>
    <author>CKB</author>
    <author>Region8</author>
    <author>Cindy Beeler</author>
  </authors>
  <commentList>
    <comment ref="C10" authorId="0">
      <text>
        <r>
          <rPr>
            <b/>
            <sz val="8"/>
            <rFont val="Tahoma"/>
            <family val="0"/>
          </rPr>
          <t>CKB:</t>
        </r>
        <r>
          <rPr>
            <sz val="8"/>
            <rFont val="Tahoma"/>
            <family val="0"/>
          </rPr>
          <t xml:space="preserve">
Letter from Ingerson, Comapny to Paser, EPA saying yes, HH applies to this facility</t>
        </r>
      </text>
    </comment>
    <comment ref="C24" authorId="0">
      <text>
        <r>
          <rPr>
            <b/>
            <sz val="8"/>
            <rFont val="Tahoma"/>
            <family val="0"/>
          </rPr>
          <t>CKB:</t>
        </r>
        <r>
          <rPr>
            <sz val="8"/>
            <rFont val="Tahoma"/>
            <family val="0"/>
          </rPr>
          <t xml:space="preserve">
Per Tim DeJulis, UDEQ Company reported installation/start-up of permitted modifications (i.e. controls on tanks and dehyds)</t>
        </r>
      </text>
    </comment>
    <comment ref="C29" authorId="0">
      <text>
        <r>
          <rPr>
            <b/>
            <sz val="8"/>
            <rFont val="Tahoma"/>
            <family val="0"/>
          </rPr>
          <t>CKB:</t>
        </r>
        <r>
          <rPr>
            <sz val="8"/>
            <rFont val="Tahoma"/>
            <family val="0"/>
          </rPr>
          <t xml:space="preserve">
current date</t>
        </r>
      </text>
    </comment>
    <comment ref="C27" authorId="0">
      <text>
        <r>
          <rPr>
            <b/>
            <sz val="8"/>
            <rFont val="Tahoma"/>
            <family val="0"/>
          </rPr>
          <t>CKB:</t>
        </r>
        <r>
          <rPr>
            <sz val="8"/>
            <rFont val="Tahoma"/>
            <family val="0"/>
          </rPr>
          <t xml:space="preserve">
current date</t>
        </r>
      </text>
    </comment>
    <comment ref="C16" authorId="0">
      <text>
        <r>
          <rPr>
            <b/>
            <sz val="8"/>
            <rFont val="Tahoma"/>
            <family val="0"/>
          </rPr>
          <t>CKB:</t>
        </r>
        <r>
          <rPr>
            <sz val="8"/>
            <rFont val="Tahoma"/>
            <family val="0"/>
          </rPr>
          <t xml:space="preserve">
current date</t>
        </r>
      </text>
    </comment>
    <comment ref="C19" authorId="0">
      <text>
        <r>
          <rPr>
            <b/>
            <sz val="8"/>
            <rFont val="Tahoma"/>
            <family val="0"/>
          </rPr>
          <t>CKB:</t>
        </r>
        <r>
          <rPr>
            <sz val="8"/>
            <rFont val="Tahoma"/>
            <family val="0"/>
          </rPr>
          <t xml:space="preserve">
current date</t>
        </r>
      </text>
    </comment>
    <comment ref="C20" authorId="0">
      <text>
        <r>
          <rPr>
            <b/>
            <sz val="8"/>
            <rFont val="Tahoma"/>
            <family val="0"/>
          </rPr>
          <t>CKB:</t>
        </r>
        <r>
          <rPr>
            <sz val="8"/>
            <rFont val="Tahoma"/>
            <family val="0"/>
          </rPr>
          <t xml:space="preserve">
current date</t>
        </r>
      </text>
    </comment>
    <comment ref="C21" authorId="0">
      <text>
        <r>
          <rPr>
            <b/>
            <sz val="8"/>
            <rFont val="Tahoma"/>
            <family val="0"/>
          </rPr>
          <t>CKB:</t>
        </r>
        <r>
          <rPr>
            <sz val="8"/>
            <rFont val="Tahoma"/>
            <family val="0"/>
          </rPr>
          <t xml:space="preserve">
current date</t>
        </r>
      </text>
    </comment>
    <comment ref="C13" authorId="0">
      <text>
        <r>
          <rPr>
            <b/>
            <sz val="8"/>
            <rFont val="Tahoma"/>
            <family val="0"/>
          </rPr>
          <t>CKB:</t>
        </r>
        <r>
          <rPr>
            <sz val="8"/>
            <rFont val="Tahoma"/>
            <family val="0"/>
          </rPr>
          <t xml:space="preserve">
current date</t>
        </r>
      </text>
    </comment>
    <comment ref="B9" authorId="0">
      <text>
        <r>
          <rPr>
            <b/>
            <sz val="8"/>
            <rFont val="Tahoma"/>
            <family val="0"/>
          </rPr>
          <t>CKB:</t>
        </r>
        <r>
          <rPr>
            <sz val="8"/>
            <rFont val="Tahoma"/>
            <family val="0"/>
          </rPr>
          <t xml:space="preserve">
63.775(b)(1) required from exisitng sources by 1 year after affected source becomes subject to HH or by June 17, 2000, whichever is later.</t>
        </r>
      </text>
    </comment>
    <comment ref="C22" authorId="0">
      <text>
        <r>
          <rPr>
            <b/>
            <sz val="8"/>
            <rFont val="Tahoma"/>
            <family val="0"/>
          </rPr>
          <t>CKB:</t>
        </r>
        <r>
          <rPr>
            <sz val="8"/>
            <rFont val="Tahoma"/>
            <family val="0"/>
          </rPr>
          <t xml:space="preserve">
current date</t>
        </r>
      </text>
    </comment>
    <comment ref="C12" authorId="1">
      <text>
        <r>
          <rPr>
            <b/>
            <sz val="8"/>
            <rFont val="Tahoma"/>
            <family val="0"/>
          </rPr>
          <t>Region8:</t>
        </r>
        <r>
          <rPr>
            <sz val="8"/>
            <rFont val="Tahoma"/>
            <family val="0"/>
          </rPr>
          <t xml:space="preserve">
63.775(d) shall submit NoSCR within 180 days after compliance date</t>
        </r>
      </text>
    </comment>
    <comment ref="C15" authorId="1">
      <text>
        <r>
          <rPr>
            <b/>
            <sz val="8"/>
            <rFont val="Tahoma"/>
            <family val="0"/>
          </rPr>
          <t>Region8:</t>
        </r>
        <r>
          <rPr>
            <sz val="8"/>
            <rFont val="Tahoma"/>
            <family val="0"/>
          </rPr>
          <t xml:space="preserve">
63.776(e)(1) first Periodic Report due NLT 240 days after the Notice of Compliance Status Report is due.</t>
        </r>
      </text>
    </comment>
    <comment ref="I19" authorId="1">
      <text>
        <r>
          <rPr>
            <b/>
            <sz val="8"/>
            <rFont val="Tahoma"/>
            <family val="0"/>
          </rPr>
          <t>Region8:</t>
        </r>
        <r>
          <rPr>
            <sz val="8"/>
            <rFont val="Tahoma"/>
            <family val="0"/>
          </rPr>
          <t xml:space="preserve">
For length of violation just use lateness of first missed semi-annual report.</t>
        </r>
      </text>
    </comment>
    <comment ref="I10" authorId="1">
      <text>
        <r>
          <rPr>
            <b/>
            <sz val="8"/>
            <rFont val="Tahoma"/>
            <family val="0"/>
          </rPr>
          <t>Region8:</t>
        </r>
        <r>
          <rPr>
            <sz val="8"/>
            <rFont val="Tahoma"/>
            <family val="0"/>
          </rPr>
          <t xml:space="preserve">
Per David Rochlin - previous court rulings for notifications consider in effect, 1 day.</t>
        </r>
      </text>
    </comment>
    <comment ref="C26" authorId="1">
      <text>
        <r>
          <rPr>
            <b/>
            <sz val="8"/>
            <rFont val="Tahoma"/>
            <family val="0"/>
          </rPr>
          <t>Region8:</t>
        </r>
        <r>
          <rPr>
            <sz val="8"/>
            <rFont val="Tahoma"/>
            <family val="0"/>
          </rPr>
          <t xml:space="preserve">
performance testing within 180 days of compliance date [63.7(a)(2)]</t>
        </r>
      </text>
    </comment>
    <comment ref="C102" authorId="0">
      <text>
        <r>
          <rPr>
            <b/>
            <sz val="8"/>
            <rFont val="Tahoma"/>
            <family val="0"/>
          </rPr>
          <t>CKB:</t>
        </r>
        <r>
          <rPr>
            <sz val="8"/>
            <rFont val="Tahoma"/>
            <family val="0"/>
          </rPr>
          <t xml:space="preserve">
T5 permit application rec'd 3/13/06
</t>
        </r>
      </text>
    </comment>
    <comment ref="I102" authorId="1">
      <text>
        <r>
          <rPr>
            <b/>
            <sz val="8"/>
            <rFont val="Tahoma"/>
            <family val="0"/>
          </rPr>
          <t>Region8:</t>
        </r>
        <r>
          <rPr>
            <sz val="8"/>
            <rFont val="Tahoma"/>
            <family val="0"/>
          </rPr>
          <t xml:space="preserve">
Statute of limitations is 5 years = 60 months.</t>
        </r>
      </text>
    </comment>
    <comment ref="C108" authorId="0">
      <text>
        <r>
          <rPr>
            <b/>
            <sz val="8"/>
            <rFont val="Tahoma"/>
            <family val="0"/>
          </rPr>
          <t>CKB:</t>
        </r>
        <r>
          <rPr>
            <sz val="8"/>
            <rFont val="Tahoma"/>
            <family val="0"/>
          </rPr>
          <t xml:space="preserve">
current date</t>
        </r>
      </text>
    </comment>
    <comment ref="I109" authorId="1">
      <text>
        <r>
          <rPr>
            <b/>
            <sz val="8"/>
            <rFont val="Tahoma"/>
            <family val="0"/>
          </rPr>
          <t>Region8:</t>
        </r>
        <r>
          <rPr>
            <sz val="8"/>
            <rFont val="Tahoma"/>
            <family val="0"/>
          </rPr>
          <t xml:space="preserve">
Statute of limitations is 5 years = 60 months.</t>
        </r>
      </text>
    </comment>
    <comment ref="C65" authorId="0">
      <text>
        <r>
          <rPr>
            <b/>
            <sz val="8"/>
            <rFont val="Tahoma"/>
            <family val="0"/>
          </rPr>
          <t>CKB:</t>
        </r>
        <r>
          <rPr>
            <sz val="8"/>
            <rFont val="Tahoma"/>
            <family val="0"/>
          </rPr>
          <t xml:space="preserve">
63.6645(c) required from sources constructed after 8/16/04 must submit within 120 days after becoming subject, i.e. startup.</t>
        </r>
      </text>
    </comment>
    <comment ref="C66" authorId="0">
      <text>
        <r>
          <rPr>
            <b/>
            <sz val="8"/>
            <rFont val="Tahoma"/>
            <family val="0"/>
          </rPr>
          <t>CKB:</t>
        </r>
        <r>
          <rPr>
            <sz val="8"/>
            <rFont val="Tahoma"/>
            <family val="0"/>
          </rPr>
          <t xml:space="preserve">
Sent 12/10/04</t>
        </r>
      </text>
    </comment>
    <comment ref="C69" authorId="0">
      <text>
        <r>
          <rPr>
            <b/>
            <sz val="8"/>
            <rFont val="Tahoma"/>
            <family val="0"/>
          </rPr>
          <t>CKB:</t>
        </r>
        <r>
          <rPr>
            <sz val="8"/>
            <rFont val="Tahoma"/>
            <family val="0"/>
          </rPr>
          <t xml:space="preserve">
Sent 12/3/04 … can't find hard copy just electronic record of file</t>
        </r>
      </text>
    </comment>
    <comment ref="C71" authorId="1">
      <text>
        <r>
          <rPr>
            <b/>
            <sz val="8"/>
            <rFont val="Tahoma"/>
            <family val="0"/>
          </rPr>
          <t>Region8:</t>
        </r>
        <r>
          <rPr>
            <sz val="8"/>
            <rFont val="Tahoma"/>
            <family val="0"/>
          </rPr>
          <t xml:space="preserve">
63.6610(a) shall conduct test within 180 days after compliance date</t>
        </r>
      </text>
    </comment>
    <comment ref="C72" authorId="0">
      <text>
        <r>
          <rPr>
            <b/>
            <sz val="8"/>
            <rFont val="Tahoma"/>
            <family val="0"/>
          </rPr>
          <t>CKB:</t>
        </r>
        <r>
          <rPr>
            <sz val="8"/>
            <rFont val="Tahoma"/>
            <family val="0"/>
          </rPr>
          <t xml:space="preserve">
Sent NoCSR 4/20/05 … can't find hard copy just electronic record of file so assume it included perfromance test results and that perfromance test was done on time.</t>
        </r>
      </text>
    </comment>
    <comment ref="C74" authorId="1">
      <text>
        <r>
          <rPr>
            <b/>
            <sz val="8"/>
            <rFont val="Tahoma"/>
            <family val="0"/>
          </rPr>
          <t>Region8:</t>
        </r>
        <r>
          <rPr>
            <sz val="8"/>
            <rFont val="Tahoma"/>
            <family val="0"/>
          </rPr>
          <t xml:space="preserve">
63.6645(f)(2) submit NoCSR, including perf. Test results, before the close of the 60th day after completion of test.</t>
        </r>
      </text>
    </comment>
    <comment ref="C75" authorId="0">
      <text>
        <r>
          <rPr>
            <b/>
            <sz val="8"/>
            <rFont val="Tahoma"/>
            <family val="0"/>
          </rPr>
          <t>CKB:</t>
        </r>
        <r>
          <rPr>
            <sz val="8"/>
            <rFont val="Tahoma"/>
            <family val="0"/>
          </rPr>
          <t xml:space="preserve">
Sent 4/20/05 - cannot find hard copy just electronic record of file.</t>
        </r>
      </text>
    </comment>
    <comment ref="D77" authorId="1">
      <text>
        <r>
          <rPr>
            <b/>
            <sz val="8"/>
            <rFont val="Tahoma"/>
            <family val="0"/>
          </rPr>
          <t>Region8:</t>
        </r>
        <r>
          <rPr>
            <sz val="8"/>
            <rFont val="Tahoma"/>
            <family val="0"/>
          </rPr>
          <t xml:space="preserve">
63.6650(b)(2) first Compliance Rpt must be postmarked NLT 7/31 or 1/31, whichever date follows the end of the first calendar half after the compliance date.</t>
        </r>
      </text>
    </comment>
    <comment ref="C78" authorId="0">
      <text>
        <r>
          <rPr>
            <b/>
            <sz val="8"/>
            <rFont val="Tahoma"/>
            <family val="0"/>
          </rPr>
          <t>CKB:</t>
        </r>
        <r>
          <rPr>
            <sz val="8"/>
            <rFont val="Tahoma"/>
            <family val="0"/>
          </rPr>
          <t xml:space="preserve">
current date</t>
        </r>
      </text>
    </comment>
    <comment ref="I78" authorId="1">
      <text>
        <r>
          <rPr>
            <b/>
            <sz val="8"/>
            <rFont val="Tahoma"/>
            <family val="0"/>
          </rPr>
          <t>Region8:</t>
        </r>
        <r>
          <rPr>
            <sz val="8"/>
            <rFont val="Tahoma"/>
            <family val="0"/>
          </rPr>
          <t xml:space="preserve">
For length of violation just use lateness of first missed semi-annual report.</t>
        </r>
      </text>
    </comment>
    <comment ref="B80" authorId="1">
      <text>
        <r>
          <rPr>
            <b/>
            <sz val="8"/>
            <rFont val="Tahoma"/>
            <family val="0"/>
          </rPr>
          <t>Region8:</t>
        </r>
        <r>
          <rPr>
            <sz val="8"/>
            <rFont val="Tahoma"/>
            <family val="0"/>
          </rPr>
          <t xml:space="preserve">
63.6650(b)(4) each subsequent report must be postmarked NLT 7/31 or 1/31.</t>
        </r>
      </text>
    </comment>
    <comment ref="C80" authorId="0">
      <text>
        <r>
          <rPr>
            <b/>
            <sz val="8"/>
            <rFont val="Tahoma"/>
            <family val="0"/>
          </rPr>
          <t>CKB:</t>
        </r>
        <r>
          <rPr>
            <sz val="8"/>
            <rFont val="Tahoma"/>
            <family val="0"/>
          </rPr>
          <t xml:space="preserve">
current date</t>
        </r>
      </text>
    </comment>
    <comment ref="C81" authorId="0">
      <text>
        <r>
          <rPr>
            <b/>
            <sz val="8"/>
            <rFont val="Tahoma"/>
            <family val="0"/>
          </rPr>
          <t>CKB:</t>
        </r>
        <r>
          <rPr>
            <sz val="8"/>
            <rFont val="Tahoma"/>
            <family val="0"/>
          </rPr>
          <t xml:space="preserve">
current date</t>
        </r>
      </text>
    </comment>
    <comment ref="C83" authorId="1">
      <text>
        <r>
          <rPr>
            <b/>
            <sz val="8"/>
            <rFont val="Tahoma"/>
            <family val="0"/>
          </rPr>
          <t>Region8:</t>
        </r>
        <r>
          <rPr>
            <sz val="8"/>
            <rFont val="Tahoma"/>
            <family val="0"/>
          </rPr>
          <t xml:space="preserve">
63.6615, Table 3 - must conduct subsequent perfromance tests semiannually.</t>
        </r>
      </text>
    </comment>
    <comment ref="C84" authorId="0">
      <text>
        <r>
          <rPr>
            <b/>
            <sz val="8"/>
            <rFont val="Tahoma"/>
            <family val="0"/>
          </rPr>
          <t>CKB:</t>
        </r>
        <r>
          <rPr>
            <sz val="8"/>
            <rFont val="Tahoma"/>
            <family val="0"/>
          </rPr>
          <t xml:space="preserve">
current date</t>
        </r>
      </text>
    </comment>
    <comment ref="C85" authorId="1">
      <text>
        <r>
          <rPr>
            <b/>
            <sz val="8"/>
            <rFont val="Tahoma"/>
            <family val="0"/>
          </rPr>
          <t>Region8:</t>
        </r>
        <r>
          <rPr>
            <sz val="8"/>
            <rFont val="Tahoma"/>
            <family val="0"/>
          </rPr>
          <t xml:space="preserve">
63.6615, Table 3 - must conduct subsequent perfromance tests semiannually.</t>
        </r>
      </text>
    </comment>
    <comment ref="C86" authorId="0">
      <text>
        <r>
          <rPr>
            <b/>
            <sz val="8"/>
            <rFont val="Tahoma"/>
            <family val="0"/>
          </rPr>
          <t>CKB:</t>
        </r>
        <r>
          <rPr>
            <sz val="8"/>
            <rFont val="Tahoma"/>
            <family val="0"/>
          </rPr>
          <t xml:space="preserve">
current date</t>
        </r>
      </text>
    </comment>
    <comment ref="C91" authorId="0">
      <text>
        <r>
          <rPr>
            <b/>
            <sz val="8"/>
            <rFont val="Tahoma"/>
            <family val="0"/>
          </rPr>
          <t>CKB:</t>
        </r>
        <r>
          <rPr>
            <sz val="8"/>
            <rFont val="Tahoma"/>
            <family val="0"/>
          </rPr>
          <t xml:space="preserve">
current date</t>
        </r>
      </text>
    </comment>
    <comment ref="C93" authorId="0">
      <text>
        <r>
          <rPr>
            <b/>
            <sz val="8"/>
            <rFont val="Tahoma"/>
            <family val="0"/>
          </rPr>
          <t>CKB:</t>
        </r>
        <r>
          <rPr>
            <sz val="8"/>
            <rFont val="Tahoma"/>
            <family val="0"/>
          </rPr>
          <t xml:space="preserve">
current date</t>
        </r>
      </text>
    </comment>
    <comment ref="C88" authorId="0">
      <text>
        <r>
          <rPr>
            <b/>
            <sz val="8"/>
            <rFont val="Tahoma"/>
            <family val="0"/>
          </rPr>
          <t>CKB:</t>
        </r>
        <r>
          <rPr>
            <sz val="8"/>
            <rFont val="Tahoma"/>
            <family val="0"/>
          </rPr>
          <t xml:space="preserve">
current date</t>
        </r>
      </text>
    </comment>
    <comment ref="A88" authorId="2">
      <text>
        <r>
          <rPr>
            <b/>
            <sz val="8"/>
            <rFont val="Tahoma"/>
            <family val="0"/>
          </rPr>
          <t>Cindy Beeler:</t>
        </r>
        <r>
          <rPr>
            <sz val="8"/>
            <rFont val="Tahoma"/>
            <family val="0"/>
          </rPr>
          <t xml:space="preserve">
We cannot locate Notice of Compliance Status sent 4/20/05 which presumably would include perfromance test results … did it come up w. formald &lt;14 ppmvd?</t>
        </r>
      </text>
    </comment>
    <comment ref="C68" authorId="1">
      <text>
        <r>
          <rPr>
            <b/>
            <sz val="8"/>
            <rFont val="Tahoma"/>
            <family val="0"/>
          </rPr>
          <t>Region8:</t>
        </r>
        <r>
          <rPr>
            <sz val="8"/>
            <rFont val="Tahoma"/>
            <family val="0"/>
          </rPr>
          <t xml:space="preserve">
63.6645(e) must notify of a performance test at least 60 days prior to test.</t>
        </r>
      </text>
    </comment>
  </commentList>
</comments>
</file>

<file path=xl/comments2.xml><?xml version="1.0" encoding="utf-8"?>
<comments xmlns="http://schemas.openxmlformats.org/spreadsheetml/2006/main">
  <authors>
    <author>CKB</author>
    <author>Cindy Beeler</author>
  </authors>
  <commentList>
    <comment ref="H8" authorId="0">
      <text>
        <r>
          <rPr>
            <b/>
            <sz val="8"/>
            <rFont val="Tahoma"/>
            <family val="0"/>
          </rPr>
          <t>CKB:</t>
        </r>
        <r>
          <rPr>
            <sz val="8"/>
            <rFont val="Tahoma"/>
            <family val="0"/>
          </rPr>
          <t xml:space="preserve">
www.unclefed.com/Tax-Bulls/2004/rr04-111.pdf </t>
        </r>
      </text>
    </comment>
    <comment ref="H16" authorId="0">
      <text>
        <r>
          <rPr>
            <b/>
            <sz val="8"/>
            <rFont val="Tahoma"/>
            <family val="0"/>
          </rPr>
          <t>CKB:</t>
        </r>
        <r>
          <rPr>
            <sz val="8"/>
            <rFont val="Tahoma"/>
            <family val="0"/>
          </rPr>
          <t xml:space="preserve">
www.unclefed.com/Tax-Bulls/2004/rr04-111.pdf </t>
        </r>
      </text>
    </comment>
    <comment ref="H22" authorId="0">
      <text>
        <r>
          <rPr>
            <b/>
            <sz val="8"/>
            <rFont val="Tahoma"/>
            <family val="0"/>
          </rPr>
          <t>CKB:</t>
        </r>
        <r>
          <rPr>
            <sz val="8"/>
            <rFont val="Tahoma"/>
            <family val="0"/>
          </rPr>
          <t xml:space="preserve">
www.unclefed.com/Tax-Bulls/2004/rr04-111.pdf </t>
        </r>
      </text>
    </comment>
    <comment ref="H28" authorId="0">
      <text>
        <r>
          <rPr>
            <b/>
            <sz val="8"/>
            <rFont val="Tahoma"/>
            <family val="0"/>
          </rPr>
          <t>CKB:</t>
        </r>
        <r>
          <rPr>
            <sz val="8"/>
            <rFont val="Tahoma"/>
            <family val="0"/>
          </rPr>
          <t xml:space="preserve">
www.unclefed.com/Tax-Bulls/2004/rr04-111.pdf </t>
        </r>
      </text>
    </comment>
    <comment ref="D29" authorId="1">
      <text>
        <r>
          <rPr>
            <b/>
            <sz val="8"/>
            <rFont val="Tahoma"/>
            <family val="0"/>
          </rPr>
          <t>Cindy Beeler:</t>
        </r>
        <r>
          <rPr>
            <sz val="8"/>
            <rFont val="Tahoma"/>
            <family val="0"/>
          </rPr>
          <t xml:space="preserve">
Assume this rate same as 2001.</t>
        </r>
      </text>
    </comment>
    <comment ref="P45" authorId="1">
      <text>
        <r>
          <rPr>
            <b/>
            <sz val="8"/>
            <rFont val="Tahoma"/>
            <family val="0"/>
          </rPr>
          <t>Cindy Beeler:</t>
        </r>
        <r>
          <rPr>
            <sz val="8"/>
            <rFont val="Tahoma"/>
            <family val="0"/>
          </rPr>
          <t xml:space="preserve">
Prior to combustor, there was a Hanover BTEX Eliminator - condenser (but too many problems so put in combustor) - use same emission reduction efficiency as Reyes used for WVCS </t>
        </r>
      </text>
    </comment>
    <comment ref="O42" authorId="1">
      <text>
        <r>
          <rPr>
            <b/>
            <sz val="8"/>
            <rFont val="Tahoma"/>
            <family val="0"/>
          </rPr>
          <t>Cindy Beeler:</t>
        </r>
        <r>
          <rPr>
            <sz val="8"/>
            <rFont val="Tahoma"/>
            <family val="0"/>
          </rPr>
          <t xml:space="preserve">
+0.05 SO2 + 0.32 PM10</t>
        </r>
      </text>
    </comment>
  </commentList>
</comments>
</file>

<file path=xl/sharedStrings.xml><?xml version="1.0" encoding="utf-8"?>
<sst xmlns="http://schemas.openxmlformats.org/spreadsheetml/2006/main" count="220" uniqueCount="111">
  <si>
    <t>+ 180 days =</t>
  </si>
  <si>
    <t>+ 240 days =</t>
  </si>
  <si>
    <t>Notification of Compliance Status Report</t>
  </si>
  <si>
    <t>years</t>
  </si>
  <si>
    <t>months</t>
  </si>
  <si>
    <t>No required controls from</t>
  </si>
  <si>
    <t>6/17/1999</t>
  </si>
  <si>
    <t>HH Compliance date</t>
  </si>
  <si>
    <t>Failure to submit semi-annual Periodic Reports</t>
  </si>
  <si>
    <t>2nd due</t>
  </si>
  <si>
    <t>3rd due</t>
  </si>
  <si>
    <t>1st due</t>
  </si>
  <si>
    <t>Start-up Shutdown &amp; Malfunction plan to be prepared by compliance date</t>
  </si>
  <si>
    <t>+ 365 days =</t>
  </si>
  <si>
    <t xml:space="preserve">Failure to demonstrate compliance for control device performance requirements </t>
  </si>
  <si>
    <t>Part 71 effective date</t>
  </si>
  <si>
    <t>Failure to submit Part 71 permit application</t>
  </si>
  <si>
    <t>months (assume)</t>
  </si>
  <si>
    <t>+ Time to issue permit</t>
  </si>
  <si>
    <t>Failure to send Initial Notification</t>
  </si>
  <si>
    <r>
      <t>"</t>
    </r>
    <r>
      <rPr>
        <i/>
        <sz val="10"/>
        <rFont val="Arial"/>
        <family val="2"/>
      </rPr>
      <t>Present</t>
    </r>
    <r>
      <rPr>
        <sz val="10"/>
        <rFont val="Arial"/>
        <family val="0"/>
      </rPr>
      <t>" date for penalty calculations</t>
    </r>
  </si>
  <si>
    <t>Due Date</t>
  </si>
  <si>
    <t>Present Date</t>
  </si>
  <si>
    <t>Penalty  +50%</t>
  </si>
  <si>
    <t xml:space="preserve">Year </t>
  </si>
  <si>
    <t>6621(a)(2) Interest Rate</t>
  </si>
  <si>
    <t>Owed = Penalty + Interest</t>
  </si>
  <si>
    <t>Fee ($/ton)</t>
  </si>
  <si>
    <t>Tons of Pollutant Underpaid</t>
  </si>
  <si>
    <t xml:space="preserve">Amount Underpaid </t>
  </si>
  <si>
    <t>HH effective date (promulgated)</t>
  </si>
  <si>
    <t>USER INPUT APPROPRIATE DATE HERE              (will be used automatically in calculations below)</t>
  </si>
  <si>
    <t>4th due</t>
  </si>
  <si>
    <t>+ 120 days =</t>
  </si>
  <si>
    <t>PSD Violations</t>
  </si>
  <si>
    <t>0-1 month</t>
  </si>
  <si>
    <t>First Periodic Report</t>
  </si>
  <si>
    <t>Length of violation</t>
  </si>
  <si>
    <t>For Penalty:</t>
  </si>
  <si>
    <t>% Over Standard Calculation</t>
  </si>
  <si>
    <t xml:space="preserve">% over std = [(highest excess emission/standard) x 100] - 100 </t>
  </si>
  <si>
    <t>From 3/9/06 T5 Permit Application, Uncontrolled Total HAPs:</t>
  </si>
  <si>
    <t xml:space="preserve">DEHY02 = </t>
  </si>
  <si>
    <t xml:space="preserve">DEHY01 = </t>
  </si>
  <si>
    <t xml:space="preserve">Emission Redx Std = </t>
  </si>
  <si>
    <t xml:space="preserve">w/ condenser Emission Rdx = </t>
  </si>
  <si>
    <t xml:space="preserve">% Over Standard = </t>
  </si>
  <si>
    <t>total HAPS</t>
  </si>
  <si>
    <t>HAPS w/ std met</t>
  </si>
  <si>
    <t>HAPS before combustor</t>
  </si>
  <si>
    <t>Penalty</t>
  </si>
  <si>
    <t xml:space="preserve">1st 300% = </t>
  </si>
  <si>
    <t xml:space="preserve">Each Add'l 30% increment = </t>
  </si>
  <si>
    <t>$k</t>
  </si>
  <si>
    <t xml:space="preserve">Total Penalty ($k) = </t>
  </si>
  <si>
    <t>MACT ZZZZ Violations</t>
  </si>
  <si>
    <t>MACT HH Violations</t>
  </si>
  <si>
    <t>Part 71 Violations</t>
  </si>
  <si>
    <t>Part 71 Effective Date?</t>
  </si>
  <si>
    <t>ZZZZ effective date (promulgated)</t>
  </si>
  <si>
    <t>ZZZZ Compliance date</t>
  </si>
  <si>
    <t>Failure to provide notice and obtain written approval in advance of construction</t>
  </si>
  <si>
    <t>Failure to submit notice of performance test</t>
  </si>
  <si>
    <t>Failure to do initial performance test</t>
  </si>
  <si>
    <t>- 60 days =</t>
  </si>
  <si>
    <t>Not Violation</t>
  </si>
  <si>
    <t>+ 60 days =</t>
  </si>
  <si>
    <t>Failure to conduct subsequent performance tests</t>
  </si>
  <si>
    <t>First Compliance Report</t>
  </si>
  <si>
    <t>Failure to submit semi-annual Compliance Reports</t>
  </si>
  <si>
    <t xml:space="preserve">Failure to demonstrate continuous compliance by installing CPMS </t>
  </si>
  <si>
    <t>This facility was operating under a UDAQ permit and the first engine was installed in 10/97.</t>
  </si>
  <si>
    <t>No required controls on ENG02???</t>
  </si>
  <si>
    <t>ENG01</t>
  </si>
  <si>
    <t>ENG02</t>
  </si>
  <si>
    <t>ENG03</t>
  </si>
  <si>
    <t>ENG04</t>
  </si>
  <si>
    <t>DEHY01</t>
  </si>
  <si>
    <t>DEHY02</t>
  </si>
  <si>
    <t>T08</t>
  </si>
  <si>
    <t>T09</t>
  </si>
  <si>
    <t>EB</t>
  </si>
  <si>
    <t>PC</t>
  </si>
  <si>
    <t>COMB01</t>
  </si>
  <si>
    <t>Nox</t>
  </si>
  <si>
    <t>VOC</t>
  </si>
  <si>
    <t>HAPS</t>
  </si>
  <si>
    <t>TOTAL</t>
  </si>
  <si>
    <t>2005 (tons)</t>
  </si>
  <si>
    <t>Combustor effic =</t>
  </si>
  <si>
    <t>Condenser effic. =</t>
  </si>
  <si>
    <t>For Dehyds:</t>
  </si>
  <si>
    <t>For Tanks:</t>
  </si>
  <si>
    <t>No previous controls</t>
  </si>
  <si>
    <r>
      <t>2004 (tons)</t>
    </r>
    <r>
      <rPr>
        <sz val="10"/>
        <rFont val="Arial"/>
        <family val="2"/>
      </rPr>
      <t xml:space="preserve"> only one month w/o combustor</t>
    </r>
  </si>
  <si>
    <r>
      <t>2000-2003 (tons)</t>
    </r>
    <r>
      <rPr>
        <sz val="10"/>
        <rFont val="Arial"/>
        <family val="2"/>
      </rPr>
      <t xml:space="preserve"> all year w/o combustor</t>
    </r>
  </si>
  <si>
    <t>PM10 =</t>
  </si>
  <si>
    <t>SO2 =</t>
  </si>
  <si>
    <t>Company</t>
  </si>
  <si>
    <t>XYZ Compressor Station</t>
  </si>
  <si>
    <r>
      <t xml:space="preserve">because construction commenced </t>
    </r>
    <r>
      <rPr>
        <i/>
        <sz val="10"/>
        <rFont val="Arial"/>
        <family val="2"/>
      </rPr>
      <t>before</t>
    </r>
    <r>
      <rPr>
        <sz val="10"/>
        <rFont val="Arial"/>
        <family val="2"/>
      </rPr>
      <t xml:space="preserve"> 2/6/1998 … compliance date would be upon startup if construction commenced after 2/6/1998</t>
    </r>
  </si>
  <si>
    <t>effective date because constructed after 12/19/02 but startup before 8/16/04 … compliance date would be upon startup if constructed after effective date</t>
  </si>
  <si>
    <t>USER INPUT APPROPRIATE DATE HERE                           (will be used automatically in calculations below)</t>
  </si>
  <si>
    <t>XYZ CS</t>
  </si>
  <si>
    <t xml:space="preserve">ABC CS </t>
  </si>
  <si>
    <t>DEF CS</t>
  </si>
  <si>
    <t>GHI CS</t>
  </si>
  <si>
    <t>Existing 4SLB installed 10/97, a 4SLB installed 8/03, a 4SRB installed 4/05 - for purposes of date calculations use 8/03 date since penalty policy does not stipulate penalties for each engine but a site total (see 1/17/92 Rasnic memo). Existing engine compliance date is 6/15/07.</t>
  </si>
  <si>
    <t>From 6/17/02 (compliance date for HH) until 2/1/04 (install date of combustor) XYZ CS exceeded the HH emission standard.</t>
  </si>
  <si>
    <t xml:space="preserve">Prior to combustor, there was a Hanover BTEX Eliminator - condenser (but too many problems so put in combustor) - use same emission reduction efficiency as Reyes used for ABC CS </t>
  </si>
  <si>
    <t>Part 71 program effective date .. It would be upon startup if constructed after 3/22/99 Part 71effective date.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</si>
</sst>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"/>
    <numFmt numFmtId="171" formatCode="&quot;$&quot;#,##0.0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10"/>
      <name val="Arial"/>
      <family val="0"/>
    </font>
    <font>
      <u val="single"/>
      <sz val="10"/>
      <name val="Arial"/>
      <family val="0"/>
    </font>
    <font>
      <sz val="9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 vertical="center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Alignment="1">
      <alignment/>
    </xf>
    <xf numFmtId="14" fontId="0" fillId="0" borderId="0" xfId="0" applyNumberFormat="1" applyAlignment="1">
      <alignment horizontal="right"/>
    </xf>
    <xf numFmtId="14" fontId="0" fillId="0" borderId="0" xfId="0" applyNumberFormat="1" applyAlignment="1" quotePrefix="1">
      <alignment vertical="center"/>
    </xf>
    <xf numFmtId="0" fontId="0" fillId="0" borderId="0" xfId="0" applyAlignment="1" quotePrefix="1">
      <alignment horizontal="right"/>
    </xf>
    <xf numFmtId="0" fontId="0" fillId="0" borderId="0" xfId="0" applyAlignment="1" quotePrefix="1">
      <alignment horizontal="right" vertical="center"/>
    </xf>
    <xf numFmtId="0" fontId="5" fillId="0" borderId="0" xfId="0" applyFont="1" applyAlignment="1">
      <alignment/>
    </xf>
    <xf numFmtId="14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165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1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right" wrapText="1"/>
    </xf>
    <xf numFmtId="1" fontId="0" fillId="0" borderId="0" xfId="0" applyNumberFormat="1" applyAlignment="1">
      <alignment vertical="center"/>
    </xf>
    <xf numFmtId="165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 quotePrefix="1">
      <alignment horizontal="right"/>
    </xf>
    <xf numFmtId="14" fontId="1" fillId="0" borderId="0" xfId="0" applyNumberFormat="1" applyFont="1" applyAlignment="1" quotePrefix="1">
      <alignment vertical="center"/>
    </xf>
    <xf numFmtId="14" fontId="0" fillId="0" borderId="0" xfId="0" applyNumberFormat="1" applyAlignment="1" quotePrefix="1">
      <alignment horizontal="right" vertical="top"/>
    </xf>
    <xf numFmtId="14" fontId="0" fillId="0" borderId="0" xfId="0" applyNumberFormat="1" applyAlignment="1" quotePrefix="1">
      <alignment horizontal="right"/>
    </xf>
    <xf numFmtId="0" fontId="0" fillId="0" borderId="0" xfId="0" applyAlignment="1" quotePrefix="1">
      <alignment horizontal="right" vertical="top"/>
    </xf>
    <xf numFmtId="0" fontId="0" fillId="2" borderId="0" xfId="0" applyFill="1" applyAlignment="1">
      <alignment/>
    </xf>
    <xf numFmtId="14" fontId="0" fillId="2" borderId="0" xfId="0" applyNumberFormat="1" applyFill="1" applyAlignment="1" quotePrefix="1">
      <alignment/>
    </xf>
    <xf numFmtId="0" fontId="1" fillId="2" borderId="0" xfId="0" applyFont="1" applyFill="1" applyAlignment="1">
      <alignment/>
    </xf>
    <xf numFmtId="0" fontId="6" fillId="0" borderId="0" xfId="0" applyFont="1" applyAlignment="1">
      <alignment/>
    </xf>
    <xf numFmtId="1" fontId="0" fillId="0" borderId="0" xfId="0" applyNumberFormat="1" applyFont="1" applyAlignment="1">
      <alignment vertical="center"/>
    </xf>
    <xf numFmtId="14" fontId="7" fillId="0" borderId="0" xfId="0" applyNumberFormat="1" applyFont="1" applyAlignment="1">
      <alignment/>
    </xf>
    <xf numFmtId="14" fontId="7" fillId="0" borderId="0" xfId="0" applyNumberFormat="1" applyFont="1" applyAlignment="1">
      <alignment vertical="top"/>
    </xf>
    <xf numFmtId="14" fontId="7" fillId="0" borderId="0" xfId="0" applyNumberFormat="1" applyFont="1" applyAlignment="1">
      <alignment vertical="center"/>
    </xf>
    <xf numFmtId="170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4" fontId="10" fillId="0" borderId="0" xfId="0" applyNumberFormat="1" applyFont="1" applyAlignment="1" quotePrefix="1">
      <alignment vertical="center"/>
    </xf>
    <xf numFmtId="14" fontId="0" fillId="0" borderId="0" xfId="0" applyNumberFormat="1" applyFont="1" applyAlignment="1">
      <alignment/>
    </xf>
    <xf numFmtId="1" fontId="0" fillId="0" borderId="0" xfId="0" applyNumberFormat="1" applyAlignment="1">
      <alignment horizontal="center" vertical="top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1" fontId="0" fillId="0" borderId="1" xfId="0" applyNumberFormat="1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" fontId="1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14" fontId="0" fillId="0" borderId="0" xfId="0" applyNumberFormat="1" applyFill="1" applyAlignment="1" quotePrefix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vertical="center"/>
    </xf>
    <xf numFmtId="14" fontId="7" fillId="0" borderId="1" xfId="0" applyNumberFormat="1" applyFont="1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1" fontId="0" fillId="0" borderId="0" xfId="0" applyNumberForma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14" fontId="1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4" fontId="0" fillId="0" borderId="0" xfId="0" applyNumberFormat="1" applyFont="1" applyAlignment="1">
      <alignment vertical="top"/>
    </xf>
    <xf numFmtId="14" fontId="0" fillId="0" borderId="0" xfId="0" applyNumberFormat="1" applyAlignment="1">
      <alignment horizontal="right" vertical="top"/>
    </xf>
    <xf numFmtId="165" fontId="1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wrapText="1"/>
    </xf>
    <xf numFmtId="165" fontId="1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170" fontId="1" fillId="0" borderId="2" xfId="0" applyNumberFormat="1" applyFont="1" applyBorder="1" applyAlignment="1">
      <alignment horizontal="center"/>
    </xf>
    <xf numFmtId="14" fontId="14" fillId="0" borderId="0" xfId="0" applyNumberFormat="1" applyFont="1" applyAlignment="1">
      <alignment vertical="top"/>
    </xf>
    <xf numFmtId="14" fontId="13" fillId="0" borderId="0" xfId="0" applyNumberFormat="1" applyFont="1" applyAlignment="1" quotePrefix="1">
      <alignment vertic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4" fontId="12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4"/>
  <sheetViews>
    <sheetView tabSelected="1" workbookViewId="0" topLeftCell="A56">
      <selection activeCell="C68" sqref="C68"/>
    </sheetView>
  </sheetViews>
  <sheetFormatPr defaultColWidth="9.140625" defaultRowHeight="12.75"/>
  <cols>
    <col min="1" max="1" width="28.00390625" style="0" customWidth="1"/>
    <col min="2" max="2" width="10.140625" style="0" bestFit="1" customWidth="1"/>
    <col min="3" max="3" width="14.8515625" style="0" customWidth="1"/>
    <col min="4" max="4" width="13.421875" style="0" bestFit="1" customWidth="1"/>
    <col min="6" max="6" width="8.8515625" style="0" customWidth="1"/>
    <col min="7" max="7" width="7.7109375" style="0" customWidth="1"/>
    <col min="8" max="8" width="10.7109375" style="0" customWidth="1"/>
    <col min="9" max="9" width="13.7109375" style="0" customWidth="1"/>
  </cols>
  <sheetData>
    <row r="2" spans="1:3" ht="18">
      <c r="A2" s="35" t="s">
        <v>98</v>
      </c>
      <c r="B2" s="13" t="s">
        <v>99</v>
      </c>
      <c r="C2" s="13"/>
    </row>
    <row r="4" spans="1:3" ht="12.75">
      <c r="A4" s="13" t="s">
        <v>56</v>
      </c>
      <c r="B4" s="13"/>
      <c r="C4" s="4"/>
    </row>
    <row r="5" spans="1:3" ht="12.75">
      <c r="A5" t="s">
        <v>30</v>
      </c>
      <c r="B5" s="27" t="s">
        <v>6</v>
      </c>
      <c r="C5" s="4"/>
    </row>
    <row r="6" spans="1:9" ht="28.5" customHeight="1">
      <c r="A6" s="97" t="s">
        <v>7</v>
      </c>
      <c r="B6" s="103">
        <v>37424</v>
      </c>
      <c r="C6" s="104" t="s">
        <v>100</v>
      </c>
      <c r="D6" s="105"/>
      <c r="E6" s="105"/>
      <c r="F6" s="105"/>
      <c r="G6" s="105"/>
      <c r="H6" s="105"/>
      <c r="I6" s="105"/>
    </row>
    <row r="7" spans="1:6" ht="25.5">
      <c r="A7" s="2" t="s">
        <v>20</v>
      </c>
      <c r="B7" s="46">
        <v>38912</v>
      </c>
      <c r="C7" s="121" t="s">
        <v>31</v>
      </c>
      <c r="D7" s="105"/>
      <c r="E7" s="105"/>
      <c r="F7" s="105"/>
    </row>
    <row r="8" spans="1:9" ht="12.75">
      <c r="A8" s="32"/>
      <c r="B8" s="33"/>
      <c r="C8" s="34"/>
      <c r="D8" s="51" t="s">
        <v>21</v>
      </c>
      <c r="E8" s="32"/>
      <c r="F8" s="32"/>
      <c r="G8" s="109" t="s">
        <v>37</v>
      </c>
      <c r="H8" s="109"/>
      <c r="I8" s="51" t="s">
        <v>38</v>
      </c>
    </row>
    <row r="9" spans="1:4" ht="12.75">
      <c r="A9" s="105" t="s">
        <v>19</v>
      </c>
      <c r="B9" s="30">
        <v>36694</v>
      </c>
      <c r="C9" s="11" t="s">
        <v>13</v>
      </c>
      <c r="D9" s="1">
        <f>+B9+365</f>
        <v>37059</v>
      </c>
    </row>
    <row r="10" spans="1:9" ht="12.75">
      <c r="A10" s="105"/>
      <c r="B10" s="14">
        <f>+D9</f>
        <v>37059</v>
      </c>
      <c r="C10" s="14">
        <v>38371</v>
      </c>
      <c r="D10" s="15">
        <f>+C10-B10</f>
        <v>1312</v>
      </c>
      <c r="E10" s="16">
        <f>+D10/365</f>
        <v>3.5945205479452054</v>
      </c>
      <c r="F10" s="17" t="s">
        <v>3</v>
      </c>
      <c r="G10" s="18">
        <f>+E10*12</f>
        <v>43.134246575342466</v>
      </c>
      <c r="H10" s="19" t="s">
        <v>4</v>
      </c>
      <c r="I10" s="43" t="s">
        <v>35</v>
      </c>
    </row>
    <row r="11" spans="1:9" ht="12.75">
      <c r="A11" s="2"/>
      <c r="B11" s="30"/>
      <c r="C11" s="11"/>
      <c r="D11" s="1"/>
      <c r="I11" s="43"/>
    </row>
    <row r="12" spans="1:9" ht="12.75">
      <c r="A12" s="105" t="s">
        <v>2</v>
      </c>
      <c r="B12" s="10">
        <f>+B6</f>
        <v>37424</v>
      </c>
      <c r="C12" s="12" t="s">
        <v>0</v>
      </c>
      <c r="D12" s="3">
        <f>+B12+180</f>
        <v>37604</v>
      </c>
      <c r="I12" s="43"/>
    </row>
    <row r="13" spans="1:9" ht="12.75">
      <c r="A13" s="105"/>
      <c r="B13" s="1">
        <f>+D12</f>
        <v>37604</v>
      </c>
      <c r="C13" s="37">
        <f>+$B$7</f>
        <v>38912</v>
      </c>
      <c r="D13" s="5">
        <f>+C13-B13</f>
        <v>1308</v>
      </c>
      <c r="E13" s="6">
        <f>+D13/365</f>
        <v>3.5835616438356164</v>
      </c>
      <c r="F13" s="7" t="s">
        <v>3</v>
      </c>
      <c r="G13" s="8">
        <f>+E13*12</f>
        <v>43.0027397260274</v>
      </c>
      <c r="H13" s="4" t="s">
        <v>4</v>
      </c>
      <c r="I13" s="49">
        <f>+G13</f>
        <v>43.0027397260274</v>
      </c>
    </row>
    <row r="14" spans="1:9" ht="12.75">
      <c r="A14" s="2"/>
      <c r="B14" s="10"/>
      <c r="C14" s="12"/>
      <c r="D14" s="3"/>
      <c r="I14" s="43"/>
    </row>
    <row r="15" spans="1:9" ht="12.75">
      <c r="A15" s="122" t="s">
        <v>36</v>
      </c>
      <c r="B15" s="1">
        <f>+D12</f>
        <v>37604</v>
      </c>
      <c r="C15" s="11" t="s">
        <v>1</v>
      </c>
      <c r="D15" s="1">
        <f>+B15+240</f>
        <v>37844</v>
      </c>
      <c r="I15" s="43"/>
    </row>
    <row r="16" spans="1:9" ht="12.75">
      <c r="A16" s="122"/>
      <c r="B16" s="14">
        <f>+D15</f>
        <v>37844</v>
      </c>
      <c r="C16" s="38">
        <f>+$B$7</f>
        <v>38912</v>
      </c>
      <c r="D16" s="15">
        <f>+C16-B16</f>
        <v>1068</v>
      </c>
      <c r="E16" s="16">
        <f>+D16/365</f>
        <v>2.926027397260274</v>
      </c>
      <c r="F16" s="17" t="s">
        <v>3</v>
      </c>
      <c r="G16" s="18">
        <f>+E16*12</f>
        <v>35.11232876712329</v>
      </c>
      <c r="H16" s="19" t="s">
        <v>4</v>
      </c>
      <c r="I16" s="49">
        <f>+G16</f>
        <v>35.11232876712329</v>
      </c>
    </row>
    <row r="17" spans="5:9" ht="12.75">
      <c r="E17" s="7"/>
      <c r="F17" s="7"/>
      <c r="G17" s="4"/>
      <c r="H17" s="4"/>
      <c r="I17" s="43"/>
    </row>
    <row r="18" spans="1:10" ht="25.5">
      <c r="A18" s="2" t="s">
        <v>8</v>
      </c>
      <c r="B18" s="14"/>
      <c r="C18" s="14"/>
      <c r="D18" s="15"/>
      <c r="E18" s="16"/>
      <c r="F18" s="17"/>
      <c r="G18" s="18"/>
      <c r="H18" s="19"/>
      <c r="I18" s="48"/>
      <c r="J18" s="20"/>
    </row>
    <row r="19" spans="1:9" ht="12.75">
      <c r="A19" s="21" t="s">
        <v>11</v>
      </c>
      <c r="B19" s="14">
        <f>+B16+180</f>
        <v>38024</v>
      </c>
      <c r="C19" s="37">
        <f>+$B$7</f>
        <v>38912</v>
      </c>
      <c r="D19" s="15">
        <f>+C19-B19</f>
        <v>888</v>
      </c>
      <c r="E19" s="16">
        <f>+D19/365</f>
        <v>2.4328767123287673</v>
      </c>
      <c r="F19" s="17" t="s">
        <v>3</v>
      </c>
      <c r="G19" s="18">
        <f>+E19*12</f>
        <v>29.19452054794521</v>
      </c>
      <c r="H19" s="19" t="s">
        <v>4</v>
      </c>
      <c r="I19" s="119">
        <f>+G19</f>
        <v>29.19452054794521</v>
      </c>
    </row>
    <row r="20" spans="1:9" ht="12.75">
      <c r="A20" s="21" t="s">
        <v>9</v>
      </c>
      <c r="B20" s="14">
        <f>+B19+180</f>
        <v>38204</v>
      </c>
      <c r="C20" s="37">
        <f>+$B$7</f>
        <v>38912</v>
      </c>
      <c r="D20" s="15">
        <f>+C20-B20</f>
        <v>708</v>
      </c>
      <c r="E20" s="16">
        <f>+D20/365</f>
        <v>1.9397260273972603</v>
      </c>
      <c r="F20" s="17" t="s">
        <v>3</v>
      </c>
      <c r="G20" s="18">
        <f>+E20*12</f>
        <v>23.276712328767125</v>
      </c>
      <c r="H20" s="19" t="s">
        <v>4</v>
      </c>
      <c r="I20" s="120"/>
    </row>
    <row r="21" spans="1:9" ht="12.75">
      <c r="A21" s="21" t="s">
        <v>10</v>
      </c>
      <c r="B21" s="14">
        <f>+B20+180</f>
        <v>38384</v>
      </c>
      <c r="C21" s="37">
        <f>+$B$7</f>
        <v>38912</v>
      </c>
      <c r="D21" s="15">
        <f>+C21-B21</f>
        <v>528</v>
      </c>
      <c r="E21" s="16">
        <f>+D21/365</f>
        <v>1.4465753424657535</v>
      </c>
      <c r="F21" s="17" t="s">
        <v>3</v>
      </c>
      <c r="G21" s="18">
        <f>+E21*12</f>
        <v>17.35890410958904</v>
      </c>
      <c r="H21" s="19" t="s">
        <v>4</v>
      </c>
      <c r="I21" s="120"/>
    </row>
    <row r="22" spans="1:9" ht="12.75">
      <c r="A22" s="21" t="s">
        <v>32</v>
      </c>
      <c r="B22" s="14">
        <f>+B21+180</f>
        <v>38564</v>
      </c>
      <c r="C22" s="37">
        <f>+$B$7</f>
        <v>38912</v>
      </c>
      <c r="D22" s="15">
        <f>+C22-B22</f>
        <v>348</v>
      </c>
      <c r="E22" s="16">
        <f>+D22/365</f>
        <v>0.9534246575342465</v>
      </c>
      <c r="F22" s="17" t="s">
        <v>3</v>
      </c>
      <c r="G22" s="18">
        <f>+E22*12</f>
        <v>11.441095890410958</v>
      </c>
      <c r="H22" s="19" t="s">
        <v>4</v>
      </c>
      <c r="I22" s="114"/>
    </row>
    <row r="23" ht="12.75">
      <c r="I23" s="43"/>
    </row>
    <row r="24" spans="1:9" ht="12.75">
      <c r="A24" s="2" t="s">
        <v>5</v>
      </c>
      <c r="B24" s="9">
        <f>+B12</f>
        <v>37424</v>
      </c>
      <c r="C24" s="1">
        <v>38018</v>
      </c>
      <c r="D24" s="5">
        <f>+C24-B24</f>
        <v>594</v>
      </c>
      <c r="E24" s="6">
        <f>+D24/365</f>
        <v>1.6273972602739726</v>
      </c>
      <c r="F24" s="7" t="s">
        <v>3</v>
      </c>
      <c r="G24" s="8">
        <f>+E24*12</f>
        <v>19.528767123287672</v>
      </c>
      <c r="H24" s="4" t="s">
        <v>4</v>
      </c>
      <c r="I24" s="49">
        <f>+G24</f>
        <v>19.528767123287672</v>
      </c>
    </row>
    <row r="25" ht="12" customHeight="1">
      <c r="I25" s="43"/>
    </row>
    <row r="26" spans="1:9" ht="12.75">
      <c r="A26" s="105" t="s">
        <v>14</v>
      </c>
      <c r="B26" s="14">
        <f>+B6</f>
        <v>37424</v>
      </c>
      <c r="C26" s="29" t="s">
        <v>0</v>
      </c>
      <c r="D26" s="14">
        <f>+B26+180</f>
        <v>37604</v>
      </c>
      <c r="E26" s="6"/>
      <c r="F26" s="7"/>
      <c r="G26" s="8"/>
      <c r="H26" s="4"/>
      <c r="I26" s="43"/>
    </row>
    <row r="27" spans="1:9" ht="12.75">
      <c r="A27" s="108"/>
      <c r="B27" s="1">
        <f>+D26</f>
        <v>37604</v>
      </c>
      <c r="C27" s="37">
        <f>+$B$7</f>
        <v>38912</v>
      </c>
      <c r="D27" s="5">
        <f>+C27-B27</f>
        <v>1308</v>
      </c>
      <c r="E27" s="6">
        <f>+D27/365</f>
        <v>3.5835616438356164</v>
      </c>
      <c r="F27" s="7" t="s">
        <v>3</v>
      </c>
      <c r="G27" s="8">
        <f>+E27*12</f>
        <v>43.0027397260274</v>
      </c>
      <c r="H27" s="4" t="s">
        <v>4</v>
      </c>
      <c r="I27" s="49">
        <f>+G27</f>
        <v>43.0027397260274</v>
      </c>
    </row>
    <row r="28" spans="2:9" ht="12.75">
      <c r="B28" s="14"/>
      <c r="C28" s="29"/>
      <c r="D28" s="14"/>
      <c r="I28" s="43"/>
    </row>
    <row r="29" spans="1:9" ht="51">
      <c r="A29" s="2" t="s">
        <v>12</v>
      </c>
      <c r="B29" s="3">
        <f>+B6</f>
        <v>37424</v>
      </c>
      <c r="C29" s="39">
        <f>+$B$7</f>
        <v>38912</v>
      </c>
      <c r="D29" s="22">
        <f>+C29-B29</f>
        <v>1488</v>
      </c>
      <c r="E29" s="23">
        <f>+D29/365</f>
        <v>4.076712328767123</v>
      </c>
      <c r="F29" s="24" t="s">
        <v>3</v>
      </c>
      <c r="G29" s="25">
        <f>+E29*12</f>
        <v>48.920547945205485</v>
      </c>
      <c r="H29" s="26" t="s">
        <v>4</v>
      </c>
      <c r="I29" s="50">
        <f>+G29</f>
        <v>48.920547945205485</v>
      </c>
    </row>
    <row r="30" spans="1:9" ht="12.75">
      <c r="A30" s="76"/>
      <c r="B30" s="77"/>
      <c r="C30" s="78"/>
      <c r="D30" s="56"/>
      <c r="E30" s="57"/>
      <c r="F30" s="58"/>
      <c r="G30" s="59"/>
      <c r="H30" s="60"/>
      <c r="I30" s="79"/>
    </row>
    <row r="31" spans="1:9" ht="12.75">
      <c r="A31" s="2"/>
      <c r="B31" s="3"/>
      <c r="C31" s="39"/>
      <c r="D31" s="22"/>
      <c r="E31" s="23"/>
      <c r="F31" s="24"/>
      <c r="G31" s="25"/>
      <c r="H31" s="26"/>
      <c r="I31" s="50"/>
    </row>
    <row r="32" spans="2:9" ht="12.75">
      <c r="B32" s="1"/>
      <c r="C32" s="1"/>
      <c r="D32" s="22"/>
      <c r="E32" s="23"/>
      <c r="F32" s="24"/>
      <c r="G32" s="25"/>
      <c r="H32" s="26"/>
      <c r="I32" s="43"/>
    </row>
    <row r="33" spans="1:9" ht="12.75">
      <c r="A33" s="13" t="s">
        <v>39</v>
      </c>
      <c r="B33" s="1"/>
      <c r="C33" s="1"/>
      <c r="D33" s="22"/>
      <c r="E33" s="23"/>
      <c r="F33" s="24"/>
      <c r="G33" s="25"/>
      <c r="H33" s="26"/>
      <c r="I33" s="43"/>
    </row>
    <row r="34" spans="2:9" ht="12.75">
      <c r="B34" s="1"/>
      <c r="C34" s="1"/>
      <c r="D34" s="22"/>
      <c r="E34" s="23"/>
      <c r="F34" s="24"/>
      <c r="G34" s="25"/>
      <c r="H34" s="26"/>
      <c r="I34" s="43"/>
    </row>
    <row r="35" spans="1:9" ht="12.75">
      <c r="A35" t="s">
        <v>108</v>
      </c>
      <c r="B35" s="1"/>
      <c r="C35" s="1"/>
      <c r="D35" s="22"/>
      <c r="E35" s="23"/>
      <c r="F35" s="24"/>
      <c r="G35" s="25"/>
      <c r="H35" s="26"/>
      <c r="I35" s="43"/>
    </row>
    <row r="36" spans="2:9" ht="12.75">
      <c r="B36" s="1"/>
      <c r="C36" s="1"/>
      <c r="D36" s="22"/>
      <c r="E36" s="23"/>
      <c r="F36" s="24"/>
      <c r="G36" s="25"/>
      <c r="H36" s="26"/>
      <c r="I36" s="43"/>
    </row>
    <row r="37" spans="1:9" ht="12.75">
      <c r="A37" t="s">
        <v>40</v>
      </c>
      <c r="B37" s="1"/>
      <c r="C37" s="1"/>
      <c r="D37" s="22"/>
      <c r="E37" s="23"/>
      <c r="F37" s="24"/>
      <c r="G37" s="25"/>
      <c r="H37" s="26"/>
      <c r="I37" s="43"/>
    </row>
    <row r="38" spans="2:9" ht="12.75">
      <c r="B38" s="1"/>
      <c r="C38" s="1"/>
      <c r="D38" s="22"/>
      <c r="E38" s="23"/>
      <c r="F38" s="24"/>
      <c r="G38" s="25"/>
      <c r="H38" s="26"/>
      <c r="I38" s="43"/>
    </row>
    <row r="39" spans="1:9" ht="12.75">
      <c r="A39" t="s">
        <v>41</v>
      </c>
      <c r="B39" s="1"/>
      <c r="C39" s="1"/>
      <c r="D39" s="22"/>
      <c r="E39" s="23"/>
      <c r="F39" s="24"/>
      <c r="G39" s="25"/>
      <c r="H39" s="26"/>
      <c r="I39" s="43"/>
    </row>
    <row r="40" spans="1:12" ht="12.75">
      <c r="A40" s="62" t="s">
        <v>43</v>
      </c>
      <c r="B40" s="69">
        <v>36.2</v>
      </c>
      <c r="C40" s="1"/>
      <c r="D40" s="22"/>
      <c r="E40" s="23"/>
      <c r="F40" s="24"/>
      <c r="G40" s="25"/>
      <c r="H40" s="26"/>
      <c r="I40" s="43"/>
      <c r="K40">
        <f>+B40+B41</f>
        <v>68.4</v>
      </c>
      <c r="L40" t="s">
        <v>47</v>
      </c>
    </row>
    <row r="41" spans="1:9" ht="12.75">
      <c r="A41" s="62" t="s">
        <v>42</v>
      </c>
      <c r="B41" s="69">
        <v>32.2</v>
      </c>
      <c r="C41" s="1"/>
      <c r="D41" s="22"/>
      <c r="E41" s="23"/>
      <c r="F41" s="24"/>
      <c r="G41" s="25"/>
      <c r="H41" s="26"/>
      <c r="I41" s="43"/>
    </row>
    <row r="42" spans="1:9" ht="30" customHeight="1">
      <c r="A42" s="106" t="s">
        <v>109</v>
      </c>
      <c r="B42" s="107"/>
      <c r="C42" s="107"/>
      <c r="D42" s="107"/>
      <c r="E42" s="107"/>
      <c r="F42" s="107"/>
      <c r="G42" s="107"/>
      <c r="H42" s="107"/>
      <c r="I42" s="107"/>
    </row>
    <row r="43" spans="1:12" ht="12.75">
      <c r="A43" s="62" t="s">
        <v>44</v>
      </c>
      <c r="B43" s="45">
        <v>0.95</v>
      </c>
      <c r="C43" s="1"/>
      <c r="D43" s="22"/>
      <c r="E43" s="23"/>
      <c r="F43" s="24"/>
      <c r="G43" s="25"/>
      <c r="H43" s="26"/>
      <c r="I43" s="43"/>
      <c r="K43">
        <f>(1-B43)*K40</f>
        <v>3.4200000000000035</v>
      </c>
      <c r="L43" t="s">
        <v>48</v>
      </c>
    </row>
    <row r="44" spans="1:12" ht="12.75">
      <c r="A44" s="62" t="s">
        <v>45</v>
      </c>
      <c r="B44" s="45">
        <v>0.36</v>
      </c>
      <c r="C44" s="1"/>
      <c r="D44" s="22"/>
      <c r="E44" s="23"/>
      <c r="F44" s="24"/>
      <c r="G44" s="25"/>
      <c r="H44" s="26"/>
      <c r="I44" s="43"/>
      <c r="K44">
        <f>+K40*(1-B44)</f>
        <v>43.776</v>
      </c>
      <c r="L44" t="s">
        <v>49</v>
      </c>
    </row>
    <row r="45" spans="1:9" ht="12.75">
      <c r="A45" s="62"/>
      <c r="B45" s="69"/>
      <c r="C45" s="1"/>
      <c r="D45" s="22"/>
      <c r="E45" s="23"/>
      <c r="F45" s="24"/>
      <c r="G45" s="25"/>
      <c r="H45" s="26"/>
      <c r="I45" s="43"/>
    </row>
    <row r="46" spans="1:9" ht="12.75">
      <c r="A46" s="66" t="s">
        <v>46</v>
      </c>
      <c r="B46" s="70">
        <f>+((K44/K43)*100)-100</f>
        <v>1179.9999999999989</v>
      </c>
      <c r="C46" s="65"/>
      <c r="D46" s="22"/>
      <c r="E46" s="23"/>
      <c r="F46" s="24"/>
      <c r="G46" s="25"/>
      <c r="H46" s="26"/>
      <c r="I46" s="43"/>
    </row>
    <row r="47" spans="1:9" ht="12.75">
      <c r="A47" s="62"/>
      <c r="B47" s="5"/>
      <c r="C47" s="65"/>
      <c r="D47" s="22"/>
      <c r="E47" s="23"/>
      <c r="F47" s="24"/>
      <c r="G47" s="25"/>
      <c r="H47" s="26"/>
      <c r="I47" s="43"/>
    </row>
    <row r="48" spans="1:9" ht="12.75">
      <c r="A48" s="63" t="s">
        <v>50</v>
      </c>
      <c r="B48" s="67" t="s">
        <v>53</v>
      </c>
      <c r="C48" s="65"/>
      <c r="D48" s="22"/>
      <c r="E48" s="23"/>
      <c r="F48" s="24"/>
      <c r="G48" s="25"/>
      <c r="H48" s="26"/>
      <c r="I48" s="43"/>
    </row>
    <row r="49" spans="1:9" ht="12.75">
      <c r="A49" s="62" t="s">
        <v>51</v>
      </c>
      <c r="B49" s="49">
        <v>50</v>
      </c>
      <c r="C49" s="65"/>
      <c r="D49" s="22"/>
      <c r="E49" s="23"/>
      <c r="F49" s="24"/>
      <c r="G49" s="25"/>
      <c r="H49" s="26"/>
      <c r="I49" s="43"/>
    </row>
    <row r="50" spans="1:9" ht="12.75">
      <c r="A50" s="62" t="s">
        <v>52</v>
      </c>
      <c r="B50" s="49">
        <v>5</v>
      </c>
      <c r="C50" s="65"/>
      <c r="D50" s="22"/>
      <c r="E50" s="23"/>
      <c r="F50" s="24"/>
      <c r="G50" s="25"/>
      <c r="H50" s="26"/>
      <c r="I50" s="43"/>
    </row>
    <row r="51" spans="1:9" ht="12.75">
      <c r="A51" s="62"/>
      <c r="B51" s="5"/>
      <c r="C51" s="65"/>
      <c r="D51" s="22"/>
      <c r="E51" s="23"/>
      <c r="F51" s="24"/>
      <c r="G51" s="25"/>
      <c r="H51" s="26"/>
      <c r="I51" s="43"/>
    </row>
    <row r="52" spans="1:9" ht="12.75">
      <c r="A52" s="66" t="s">
        <v>54</v>
      </c>
      <c r="B52" s="68">
        <f>+B49+ROUND((B46-300)/30,0)*B50</f>
        <v>195</v>
      </c>
      <c r="C52" s="1"/>
      <c r="D52" s="22"/>
      <c r="E52" s="23"/>
      <c r="F52" s="24"/>
      <c r="G52" s="25"/>
      <c r="H52" s="26"/>
      <c r="I52" s="43"/>
    </row>
    <row r="53" spans="1:9" ht="12.75">
      <c r="A53" s="66"/>
      <c r="B53" s="68"/>
      <c r="C53" s="1"/>
      <c r="D53" s="22"/>
      <c r="E53" s="23"/>
      <c r="F53" s="24"/>
      <c r="G53" s="25"/>
      <c r="H53" s="26"/>
      <c r="I53" s="43"/>
    </row>
    <row r="54" spans="1:9" ht="12.75">
      <c r="A54" s="76"/>
      <c r="B54" s="77"/>
      <c r="C54" s="78"/>
      <c r="D54" s="56"/>
      <c r="E54" s="57"/>
      <c r="F54" s="58"/>
      <c r="G54" s="59"/>
      <c r="H54" s="60"/>
      <c r="I54" s="79"/>
    </row>
    <row r="55" ht="12.75">
      <c r="I55" s="43"/>
    </row>
    <row r="56" spans="1:9" ht="54.75" customHeight="1">
      <c r="A56" s="13" t="s">
        <v>55</v>
      </c>
      <c r="C56" s="105" t="s">
        <v>107</v>
      </c>
      <c r="D56" s="105"/>
      <c r="E56" s="105"/>
      <c r="F56" s="105"/>
      <c r="G56" s="105"/>
      <c r="H56" s="105"/>
      <c r="I56" s="105"/>
    </row>
    <row r="57" spans="1:3" ht="12.75">
      <c r="A57" t="s">
        <v>59</v>
      </c>
      <c r="B57" s="89">
        <v>38215</v>
      </c>
      <c r="C57" s="4"/>
    </row>
    <row r="58" spans="1:9" ht="28.5" customHeight="1">
      <c r="A58" s="97" t="s">
        <v>60</v>
      </c>
      <c r="B58" s="103">
        <v>38215</v>
      </c>
      <c r="C58" s="104" t="s">
        <v>101</v>
      </c>
      <c r="D58" s="105"/>
      <c r="E58" s="105"/>
      <c r="F58" s="105"/>
      <c r="G58" s="105"/>
      <c r="H58" s="105"/>
      <c r="I58" s="105"/>
    </row>
    <row r="59" spans="1:6" ht="25.5">
      <c r="A59" s="2" t="s">
        <v>20</v>
      </c>
      <c r="B59" s="46">
        <f>+B7</f>
        <v>38912</v>
      </c>
      <c r="C59" s="121" t="s">
        <v>31</v>
      </c>
      <c r="D59" s="105"/>
      <c r="E59" s="105"/>
      <c r="F59" s="105"/>
    </row>
    <row r="60" spans="1:9" ht="12.75">
      <c r="A60" s="32"/>
      <c r="B60" s="33"/>
      <c r="C60" s="34"/>
      <c r="D60" s="51" t="s">
        <v>21</v>
      </c>
      <c r="E60" s="32"/>
      <c r="F60" s="32"/>
      <c r="G60" s="109" t="s">
        <v>37</v>
      </c>
      <c r="H60" s="109"/>
      <c r="I60" s="51" t="s">
        <v>38</v>
      </c>
    </row>
    <row r="61" spans="1:9" ht="14.25" customHeight="1">
      <c r="A61" s="71"/>
      <c r="B61" s="72"/>
      <c r="C61" s="73"/>
      <c r="D61" s="74"/>
      <c r="E61" s="71"/>
      <c r="F61" s="71"/>
      <c r="G61" s="75"/>
      <c r="H61" s="75"/>
      <c r="I61" s="74"/>
    </row>
    <row r="62" spans="1:4" ht="21" customHeight="1">
      <c r="A62" s="110" t="s">
        <v>61</v>
      </c>
      <c r="B62" s="117" t="s">
        <v>71</v>
      </c>
      <c r="C62" s="118"/>
      <c r="D62" s="118"/>
    </row>
    <row r="63" spans="1:9" ht="12.75">
      <c r="A63" s="110"/>
      <c r="B63" s="118"/>
      <c r="C63" s="118"/>
      <c r="D63" s="118"/>
      <c r="E63" s="16">
        <f>+D63/365</f>
        <v>0</v>
      </c>
      <c r="F63" s="17" t="s">
        <v>3</v>
      </c>
      <c r="G63" s="18">
        <f>+E63*12</f>
        <v>0</v>
      </c>
      <c r="H63" s="19" t="s">
        <v>4</v>
      </c>
      <c r="I63" s="43" t="s">
        <v>65</v>
      </c>
    </row>
    <row r="64" spans="1:9" ht="12.75">
      <c r="A64" s="71"/>
      <c r="B64" s="72"/>
      <c r="C64" s="73"/>
      <c r="D64" s="74"/>
      <c r="E64" s="71"/>
      <c r="F64" s="71"/>
      <c r="G64" s="75"/>
      <c r="H64" s="75"/>
      <c r="I64" s="74"/>
    </row>
    <row r="65" spans="1:4" ht="12.75">
      <c r="A65" s="105" t="s">
        <v>19</v>
      </c>
      <c r="B65" s="30">
        <f>+B58</f>
        <v>38215</v>
      </c>
      <c r="C65" s="11" t="s">
        <v>33</v>
      </c>
      <c r="D65" s="1">
        <f>+B65+120</f>
        <v>38335</v>
      </c>
    </row>
    <row r="66" spans="1:9" ht="12.75">
      <c r="A66" s="105"/>
      <c r="B66" s="14">
        <f>+D65</f>
        <v>38335</v>
      </c>
      <c r="C66" s="14">
        <v>38331</v>
      </c>
      <c r="D66" s="15">
        <f>+C66-B66</f>
        <v>-4</v>
      </c>
      <c r="E66" s="16">
        <f>+D66/365</f>
        <v>-0.010958904109589041</v>
      </c>
      <c r="F66" s="17" t="s">
        <v>3</v>
      </c>
      <c r="G66" s="18">
        <f>+E66*12</f>
        <v>-0.1315068493150685</v>
      </c>
      <c r="H66" s="19" t="s">
        <v>4</v>
      </c>
      <c r="I66" s="43" t="s">
        <v>65</v>
      </c>
    </row>
    <row r="67" spans="1:9" ht="12.75">
      <c r="A67" s="2"/>
      <c r="B67" s="14"/>
      <c r="C67" s="14"/>
      <c r="D67" s="15"/>
      <c r="E67" s="16"/>
      <c r="F67" s="17"/>
      <c r="G67" s="18"/>
      <c r="H67" s="19"/>
      <c r="I67" s="43"/>
    </row>
    <row r="68" spans="1:9" ht="12.75">
      <c r="A68" s="107" t="s">
        <v>62</v>
      </c>
      <c r="B68" s="14">
        <f>+D71</f>
        <v>38395</v>
      </c>
      <c r="C68" s="12" t="s">
        <v>64</v>
      </c>
      <c r="D68" s="14">
        <f>+B68-60</f>
        <v>38335</v>
      </c>
      <c r="E68" s="16"/>
      <c r="F68" s="17"/>
      <c r="G68" s="18"/>
      <c r="H68" s="19"/>
      <c r="I68" s="43"/>
    </row>
    <row r="69" spans="1:9" ht="12.75">
      <c r="A69" s="107"/>
      <c r="B69" s="14">
        <f>+D68</f>
        <v>38335</v>
      </c>
      <c r="C69" s="14">
        <v>38324</v>
      </c>
      <c r="D69" s="15">
        <f>+C69-B69</f>
        <v>-11</v>
      </c>
      <c r="E69" s="16">
        <f>+D69/365</f>
        <v>-0.030136986301369864</v>
      </c>
      <c r="F69" s="17" t="s">
        <v>3</v>
      </c>
      <c r="G69" s="18">
        <f>+E69*12</f>
        <v>-0.36164383561643837</v>
      </c>
      <c r="H69" s="19" t="s">
        <v>4</v>
      </c>
      <c r="I69" s="43" t="s">
        <v>65</v>
      </c>
    </row>
    <row r="70" spans="1:9" ht="12.75">
      <c r="A70" s="64"/>
      <c r="B70" s="14"/>
      <c r="C70" s="14"/>
      <c r="D70" s="15"/>
      <c r="E70" s="16"/>
      <c r="F70" s="17"/>
      <c r="G70" s="18"/>
      <c r="H70" s="19"/>
      <c r="I70" s="43"/>
    </row>
    <row r="71" spans="1:9" ht="12.75">
      <c r="A71" s="107" t="s">
        <v>63</v>
      </c>
      <c r="B71" s="14">
        <f>+B58</f>
        <v>38215</v>
      </c>
      <c r="C71" s="12" t="s">
        <v>0</v>
      </c>
      <c r="D71" s="14">
        <f>+B71+180</f>
        <v>38395</v>
      </c>
      <c r="E71" s="16"/>
      <c r="F71" s="17"/>
      <c r="G71" s="18"/>
      <c r="H71" s="19"/>
      <c r="I71" s="43"/>
    </row>
    <row r="72" spans="1:9" ht="12.75">
      <c r="A72" s="107"/>
      <c r="B72" s="14">
        <f>+D71</f>
        <v>38395</v>
      </c>
      <c r="C72" s="94">
        <f>+B72</f>
        <v>38395</v>
      </c>
      <c r="D72" s="15">
        <f>+C72-B72</f>
        <v>0</v>
      </c>
      <c r="E72" s="16">
        <f>+D72/365</f>
        <v>0</v>
      </c>
      <c r="F72" s="17" t="s">
        <v>3</v>
      </c>
      <c r="G72" s="18">
        <f>+E72*12</f>
        <v>0</v>
      </c>
      <c r="H72" s="19" t="s">
        <v>4</v>
      </c>
      <c r="I72" s="43" t="s">
        <v>65</v>
      </c>
    </row>
    <row r="73" spans="1:9" ht="12.75">
      <c r="A73" s="2"/>
      <c r="B73" s="30"/>
      <c r="C73" s="11"/>
      <c r="D73" s="1"/>
      <c r="I73" s="43"/>
    </row>
    <row r="74" spans="1:9" ht="12.75">
      <c r="A74" s="105" t="s">
        <v>2</v>
      </c>
      <c r="B74" s="10">
        <f>+D71</f>
        <v>38395</v>
      </c>
      <c r="C74" s="12" t="s">
        <v>66</v>
      </c>
      <c r="D74" s="3">
        <f>+B74+60</f>
        <v>38455</v>
      </c>
      <c r="I74" s="43"/>
    </row>
    <row r="75" spans="1:9" ht="12.75">
      <c r="A75" s="105"/>
      <c r="B75" s="1">
        <f>+D74</f>
        <v>38455</v>
      </c>
      <c r="C75" s="47">
        <v>38462</v>
      </c>
      <c r="D75" s="5">
        <f>+C75-B75</f>
        <v>7</v>
      </c>
      <c r="E75" s="6">
        <f>+D75/365</f>
        <v>0.019178082191780823</v>
      </c>
      <c r="F75" s="7" t="s">
        <v>3</v>
      </c>
      <c r="G75" s="8">
        <f>+E75*12</f>
        <v>0.23013698630136986</v>
      </c>
      <c r="H75" s="4" t="s">
        <v>4</v>
      </c>
      <c r="I75" s="43" t="s">
        <v>65</v>
      </c>
    </row>
    <row r="76" spans="1:9" ht="12.75">
      <c r="A76" s="2"/>
      <c r="B76" s="10"/>
      <c r="C76" s="12"/>
      <c r="D76" s="3"/>
      <c r="I76" s="43"/>
    </row>
    <row r="77" spans="1:9" ht="12.75">
      <c r="A77" s="122" t="s">
        <v>68</v>
      </c>
      <c r="B77" s="1"/>
      <c r="C77" s="11"/>
      <c r="D77" s="1">
        <v>38383</v>
      </c>
      <c r="I77" s="43"/>
    </row>
    <row r="78" spans="1:9" ht="12.75">
      <c r="A78" s="122"/>
      <c r="B78" s="14">
        <f>+D77</f>
        <v>38383</v>
      </c>
      <c r="C78" s="38">
        <f>+$B$7</f>
        <v>38912</v>
      </c>
      <c r="D78" s="15">
        <f>+C78-B78</f>
        <v>529</v>
      </c>
      <c r="E78" s="16">
        <f>+D78/365</f>
        <v>1.4493150684931506</v>
      </c>
      <c r="F78" s="17" t="s">
        <v>3</v>
      </c>
      <c r="G78" s="18">
        <f>+E78*12</f>
        <v>17.391780821917806</v>
      </c>
      <c r="H78" s="19" t="s">
        <v>4</v>
      </c>
      <c r="I78" s="115">
        <f>+G78</f>
        <v>17.391780821917806</v>
      </c>
    </row>
    <row r="79" spans="1:9" ht="25.5">
      <c r="A79" s="2" t="s">
        <v>69</v>
      </c>
      <c r="B79" s="14"/>
      <c r="C79" s="14"/>
      <c r="D79" s="15"/>
      <c r="E79" s="16"/>
      <c r="F79" s="17"/>
      <c r="G79" s="18"/>
      <c r="H79" s="19"/>
      <c r="I79" s="116"/>
    </row>
    <row r="80" spans="1:9" ht="12.75">
      <c r="A80" s="21" t="s">
        <v>11</v>
      </c>
      <c r="B80" s="102">
        <v>38564</v>
      </c>
      <c r="C80" s="37">
        <f>+$B$7</f>
        <v>38912</v>
      </c>
      <c r="D80" s="15">
        <f>+C80-B80</f>
        <v>348</v>
      </c>
      <c r="E80" s="16">
        <f>+D80/365</f>
        <v>0.9534246575342465</v>
      </c>
      <c r="F80" s="17" t="s">
        <v>3</v>
      </c>
      <c r="G80" s="18">
        <f>+E80*12</f>
        <v>11.441095890410958</v>
      </c>
      <c r="H80" s="19" t="s">
        <v>4</v>
      </c>
      <c r="I80" s="116"/>
    </row>
    <row r="81" spans="1:9" ht="12.75">
      <c r="A81" s="21" t="s">
        <v>9</v>
      </c>
      <c r="B81" s="102">
        <v>38748</v>
      </c>
      <c r="C81" s="37">
        <f>+$B$7</f>
        <v>38912</v>
      </c>
      <c r="D81" s="15">
        <f>+C81-B81</f>
        <v>164</v>
      </c>
      <c r="E81" s="16">
        <f>+D81/365</f>
        <v>0.44931506849315067</v>
      </c>
      <c r="F81" s="17" t="s">
        <v>3</v>
      </c>
      <c r="G81" s="18">
        <f>+E81*12</f>
        <v>5.391780821917808</v>
      </c>
      <c r="H81" s="19" t="s">
        <v>4</v>
      </c>
      <c r="I81" s="116"/>
    </row>
    <row r="82" spans="1:9" ht="12.75">
      <c r="A82" s="21"/>
      <c r="B82" s="14"/>
      <c r="C82" s="37"/>
      <c r="D82" s="15"/>
      <c r="E82" s="16"/>
      <c r="F82" s="17"/>
      <c r="G82" s="18"/>
      <c r="H82" s="19"/>
      <c r="I82" s="52"/>
    </row>
    <row r="83" spans="1:9" ht="12.75">
      <c r="A83" s="111" t="s">
        <v>67</v>
      </c>
      <c r="B83" s="14">
        <f>+D71</f>
        <v>38395</v>
      </c>
      <c r="C83" s="12" t="s">
        <v>0</v>
      </c>
      <c r="D83" s="1">
        <f>+B83+180</f>
        <v>38575</v>
      </c>
      <c r="E83" s="16"/>
      <c r="F83" s="17"/>
      <c r="G83" s="18"/>
      <c r="H83" s="19"/>
      <c r="I83" s="52"/>
    </row>
    <row r="84" spans="1:9" ht="12.75">
      <c r="A84" s="111"/>
      <c r="B84" s="14">
        <f>+D83</f>
        <v>38575</v>
      </c>
      <c r="C84" s="38">
        <f>+$B$7</f>
        <v>38912</v>
      </c>
      <c r="D84" s="15">
        <f>+C84-B84</f>
        <v>337</v>
      </c>
      <c r="E84" s="16">
        <f>+D84/365</f>
        <v>0.9232876712328767</v>
      </c>
      <c r="F84" s="17" t="s">
        <v>3</v>
      </c>
      <c r="G84" s="18">
        <f>+E84*12</f>
        <v>11.07945205479452</v>
      </c>
      <c r="H84" s="19" t="s">
        <v>4</v>
      </c>
      <c r="I84" s="114">
        <v>11</v>
      </c>
    </row>
    <row r="85" spans="1:9" ht="12.75">
      <c r="A85" s="111"/>
      <c r="B85" s="14">
        <f>+D83</f>
        <v>38575</v>
      </c>
      <c r="C85" s="12" t="s">
        <v>0</v>
      </c>
      <c r="D85" s="1">
        <f>+B85+180</f>
        <v>38755</v>
      </c>
      <c r="E85" s="16"/>
      <c r="F85" s="17"/>
      <c r="G85" s="18"/>
      <c r="H85" s="19"/>
      <c r="I85" s="114"/>
    </row>
    <row r="86" spans="1:9" ht="12.75">
      <c r="A86" s="111"/>
      <c r="B86" s="14">
        <f>+D85</f>
        <v>38755</v>
      </c>
      <c r="C86" s="38">
        <f>+$B$7</f>
        <v>38912</v>
      </c>
      <c r="D86" s="15">
        <f>+C86-B86</f>
        <v>157</v>
      </c>
      <c r="E86" s="16">
        <f>+D86/365</f>
        <v>0.4301369863013699</v>
      </c>
      <c r="F86" s="17" t="s">
        <v>3</v>
      </c>
      <c r="G86" s="18">
        <f>+E86*12</f>
        <v>5.161643835616438</v>
      </c>
      <c r="H86" s="19" t="s">
        <v>4</v>
      </c>
      <c r="I86" s="114"/>
    </row>
    <row r="87" ht="12.75">
      <c r="I87" s="43"/>
    </row>
    <row r="88" spans="1:9" ht="25.5">
      <c r="A88" s="2" t="s">
        <v>72</v>
      </c>
      <c r="B88" s="95">
        <f>+B58</f>
        <v>38215</v>
      </c>
      <c r="C88" s="38">
        <f>+$B$7</f>
        <v>38912</v>
      </c>
      <c r="D88" s="15">
        <f>+C88-B88</f>
        <v>697</v>
      </c>
      <c r="E88" s="16">
        <f>+D88/365</f>
        <v>1.9095890410958904</v>
      </c>
      <c r="F88" s="17" t="s">
        <v>3</v>
      </c>
      <c r="G88" s="18">
        <f>+E88*12</f>
        <v>22.915068493150685</v>
      </c>
      <c r="H88" s="19" t="s">
        <v>4</v>
      </c>
      <c r="I88" s="48">
        <f>+G88</f>
        <v>22.915068493150685</v>
      </c>
    </row>
    <row r="89" ht="12.75">
      <c r="I89" s="43"/>
    </row>
    <row r="90" spans="1:9" ht="12.75">
      <c r="A90" s="112" t="s">
        <v>70</v>
      </c>
      <c r="B90" s="14"/>
      <c r="C90" s="29"/>
      <c r="D90" s="14">
        <f>+B58</f>
        <v>38215</v>
      </c>
      <c r="E90" s="6"/>
      <c r="F90" s="7"/>
      <c r="G90" s="8"/>
      <c r="H90" s="4"/>
      <c r="I90" s="43"/>
    </row>
    <row r="91" spans="1:9" ht="12.75">
      <c r="A91" s="113"/>
      <c r="B91" s="1">
        <f>+D90</f>
        <v>38215</v>
      </c>
      <c r="C91" s="37">
        <f>+$B$7</f>
        <v>38912</v>
      </c>
      <c r="D91" s="5">
        <f>+C91-B91</f>
        <v>697</v>
      </c>
      <c r="E91" s="6">
        <f>+D91/365</f>
        <v>1.9095890410958904</v>
      </c>
      <c r="F91" s="7" t="s">
        <v>3</v>
      </c>
      <c r="G91" s="8">
        <f>+E91*12</f>
        <v>22.915068493150685</v>
      </c>
      <c r="H91" s="4" t="s">
        <v>4</v>
      </c>
      <c r="I91" s="49">
        <f>+G91</f>
        <v>22.915068493150685</v>
      </c>
    </row>
    <row r="92" spans="2:9" ht="12.75">
      <c r="B92" s="14"/>
      <c r="C92" s="29"/>
      <c r="D92" s="14"/>
      <c r="I92" s="43"/>
    </row>
    <row r="93" spans="1:9" ht="51">
      <c r="A93" s="2" t="s">
        <v>12</v>
      </c>
      <c r="B93" s="3">
        <f>+B58</f>
        <v>38215</v>
      </c>
      <c r="C93" s="39">
        <f>+$B$7</f>
        <v>38912</v>
      </c>
      <c r="D93" s="22">
        <f>+C93-B93</f>
        <v>697</v>
      </c>
      <c r="E93" s="23">
        <f>+D93/365</f>
        <v>1.9095890410958904</v>
      </c>
      <c r="F93" s="24" t="s">
        <v>3</v>
      </c>
      <c r="G93" s="25">
        <f>+E93*12</f>
        <v>22.915068493150685</v>
      </c>
      <c r="H93" s="26" t="s">
        <v>4</v>
      </c>
      <c r="I93" s="50">
        <f>+G93</f>
        <v>22.915068493150685</v>
      </c>
    </row>
    <row r="95" spans="1:9" ht="12.75">
      <c r="A95" s="54"/>
      <c r="B95" s="54"/>
      <c r="C95" s="54"/>
      <c r="D95" s="54"/>
      <c r="E95" s="54"/>
      <c r="F95" s="54"/>
      <c r="G95" s="54"/>
      <c r="H95" s="54"/>
      <c r="I95" s="54"/>
    </row>
    <row r="96" spans="1:9" ht="12.75">
      <c r="A96" s="53"/>
      <c r="B96" s="1"/>
      <c r="C96" s="37"/>
      <c r="D96" s="5"/>
      <c r="E96" s="6"/>
      <c r="F96" s="7"/>
      <c r="G96" s="8"/>
      <c r="H96" s="4"/>
      <c r="I96" s="49"/>
    </row>
    <row r="97" spans="1:9" ht="12.75">
      <c r="A97" s="13" t="s">
        <v>57</v>
      </c>
      <c r="I97" s="43"/>
    </row>
    <row r="98" spans="1:9" ht="30.75" customHeight="1">
      <c r="A98" s="64" t="s">
        <v>15</v>
      </c>
      <c r="B98" s="28">
        <v>36241</v>
      </c>
      <c r="C98" s="104" t="s">
        <v>110</v>
      </c>
      <c r="D98" s="105"/>
      <c r="E98" s="105"/>
      <c r="F98" s="105"/>
      <c r="G98" s="105"/>
      <c r="H98" s="105"/>
      <c r="I98" s="105"/>
    </row>
    <row r="99" spans="1:9" ht="12.75">
      <c r="A99" s="32"/>
      <c r="B99" s="33"/>
      <c r="C99" s="34"/>
      <c r="D99" s="51" t="s">
        <v>21</v>
      </c>
      <c r="E99" s="32"/>
      <c r="F99" s="32"/>
      <c r="G99" s="109" t="s">
        <v>37</v>
      </c>
      <c r="H99" s="109"/>
      <c r="I99" s="51" t="s">
        <v>38</v>
      </c>
    </row>
    <row r="100" spans="1:9" ht="12.75">
      <c r="A100" s="13"/>
      <c r="B100" s="14"/>
      <c r="C100" s="29"/>
      <c r="D100" s="14"/>
      <c r="I100" s="43"/>
    </row>
    <row r="101" spans="1:9" ht="12.75">
      <c r="A101" s="105" t="s">
        <v>16</v>
      </c>
      <c r="B101" s="14">
        <f>+B98</f>
        <v>36241</v>
      </c>
      <c r="C101" s="31" t="s">
        <v>13</v>
      </c>
      <c r="D101" s="14">
        <f>+B101+365</f>
        <v>36606</v>
      </c>
      <c r="I101" s="43"/>
    </row>
    <row r="102" spans="1:9" ht="12.75">
      <c r="A102" s="108"/>
      <c r="B102" s="1">
        <f>+D101</f>
        <v>36606</v>
      </c>
      <c r="C102" s="37">
        <v>38789</v>
      </c>
      <c r="D102" s="22">
        <f>+C102-B102</f>
        <v>2183</v>
      </c>
      <c r="E102" s="23">
        <f>+D102/365</f>
        <v>5.980821917808219</v>
      </c>
      <c r="F102" s="24" t="s">
        <v>3</v>
      </c>
      <c r="G102" s="25">
        <f>+E102*12</f>
        <v>71.76986301369863</v>
      </c>
      <c r="H102" s="26" t="s">
        <v>4</v>
      </c>
      <c r="I102" s="43">
        <v>60</v>
      </c>
    </row>
    <row r="103" spans="2:9" ht="12.75">
      <c r="B103" s="1"/>
      <c r="C103" s="1"/>
      <c r="D103" s="22"/>
      <c r="E103" s="23"/>
      <c r="F103" s="24"/>
      <c r="G103" s="25"/>
      <c r="H103" s="26"/>
      <c r="I103" s="43"/>
    </row>
    <row r="104" spans="1:9" ht="12.75">
      <c r="A104" s="54"/>
      <c r="B104" s="55"/>
      <c r="C104" s="55"/>
      <c r="D104" s="56"/>
      <c r="E104" s="57"/>
      <c r="F104" s="58"/>
      <c r="G104" s="59"/>
      <c r="H104" s="60"/>
      <c r="I104" s="61"/>
    </row>
    <row r="105" spans="1:9" ht="12.75">
      <c r="A105" s="80"/>
      <c r="B105" s="81"/>
      <c r="C105" s="81"/>
      <c r="D105" s="82"/>
      <c r="E105" s="83"/>
      <c r="F105" s="84"/>
      <c r="G105" s="85"/>
      <c r="H105" s="86"/>
      <c r="I105" s="87"/>
    </row>
    <row r="106" spans="1:9" ht="12.75">
      <c r="A106" s="88" t="s">
        <v>34</v>
      </c>
      <c r="B106" s="81"/>
      <c r="C106" s="81"/>
      <c r="D106" s="82"/>
      <c r="E106" s="83"/>
      <c r="F106" s="84"/>
      <c r="G106" s="85"/>
      <c r="H106" s="86"/>
      <c r="I106" s="87"/>
    </row>
    <row r="107" spans="1:9" ht="12.75">
      <c r="A107" t="s">
        <v>58</v>
      </c>
      <c r="B107" s="1">
        <f>+B98</f>
        <v>36241</v>
      </c>
      <c r="I107" s="43"/>
    </row>
    <row r="108" spans="2:9" ht="12.75">
      <c r="B108" s="1">
        <f>+B107</f>
        <v>36241</v>
      </c>
      <c r="C108" s="37">
        <f>+B7</f>
        <v>38912</v>
      </c>
      <c r="D108" s="22">
        <f>+C108-B108</f>
        <v>2671</v>
      </c>
      <c r="E108" s="23">
        <f>+D108/365</f>
        <v>7.317808219178082</v>
      </c>
      <c r="F108" s="24" t="s">
        <v>3</v>
      </c>
      <c r="G108" s="36">
        <f>+E108*12</f>
        <v>87.81369863013698</v>
      </c>
      <c r="H108" s="24" t="s">
        <v>4</v>
      </c>
      <c r="I108" s="43"/>
    </row>
    <row r="109" spans="1:9" ht="12.75">
      <c r="A109" s="11" t="s">
        <v>18</v>
      </c>
      <c r="B109">
        <v>12</v>
      </c>
      <c r="C109" t="s">
        <v>17</v>
      </c>
      <c r="G109" s="8">
        <f>+G108+B109</f>
        <v>99.81369863013698</v>
      </c>
      <c r="H109" s="26" t="s">
        <v>4</v>
      </c>
      <c r="I109" s="49">
        <v>60</v>
      </c>
    </row>
    <row r="114" ht="12.75">
      <c r="E114" s="5"/>
    </row>
  </sheetData>
  <mergeCells count="27">
    <mergeCell ref="A71:A72"/>
    <mergeCell ref="A74:A75"/>
    <mergeCell ref="A77:A78"/>
    <mergeCell ref="G8:H8"/>
    <mergeCell ref="C59:F59"/>
    <mergeCell ref="C56:I56"/>
    <mergeCell ref="I19:I22"/>
    <mergeCell ref="C7:F7"/>
    <mergeCell ref="A26:A27"/>
    <mergeCell ref="A9:A10"/>
    <mergeCell ref="A12:A13"/>
    <mergeCell ref="A15:A16"/>
    <mergeCell ref="G99:H99"/>
    <mergeCell ref="I84:I86"/>
    <mergeCell ref="I78:I81"/>
    <mergeCell ref="B62:D63"/>
    <mergeCell ref="C98:I98"/>
    <mergeCell ref="C6:I6"/>
    <mergeCell ref="C58:I58"/>
    <mergeCell ref="A42:I42"/>
    <mergeCell ref="A101:A102"/>
    <mergeCell ref="G60:H60"/>
    <mergeCell ref="A62:A63"/>
    <mergeCell ref="A65:A66"/>
    <mergeCell ref="A68:A69"/>
    <mergeCell ref="A83:A86"/>
    <mergeCell ref="A90:A91"/>
  </mergeCells>
  <printOptions horizontalCentered="1"/>
  <pageMargins left="0.5" right="0.5" top="0.75" bottom="0.75" header="0.5" footer="0.5"/>
  <pageSetup fitToHeight="2" fitToWidth="1" horizontalDpi="600" verticalDpi="600" orientation="portrait" scale="84" r:id="rId3"/>
  <headerFooter alignWithMargins="0">
    <oddFooter>&amp;L&amp;8&amp;Z&amp;F&amp;R&amp;8&amp;D</oddFooter>
  </headerFooter>
  <ignoredErrors>
    <ignoredError sqref="D84 B85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AA51"/>
  <sheetViews>
    <sheetView workbookViewId="0" topLeftCell="A1">
      <selection activeCell="O8" sqref="O8"/>
    </sheetView>
  </sheetViews>
  <sheetFormatPr defaultColWidth="9.140625" defaultRowHeight="12.75"/>
  <cols>
    <col min="1" max="1" width="3.00390625" style="0" customWidth="1"/>
    <col min="14" max="14" width="10.140625" style="0" customWidth="1"/>
    <col min="18" max="18" width="2.8515625" style="0" customWidth="1"/>
    <col min="19" max="19" width="10.140625" style="0" customWidth="1"/>
    <col min="23" max="23" width="2.8515625" style="0" customWidth="1"/>
    <col min="24" max="24" width="10.7109375" style="0" customWidth="1"/>
  </cols>
  <sheetData>
    <row r="3" ht="18">
      <c r="B3" s="35" t="s">
        <v>98</v>
      </c>
    </row>
    <row r="4" ht="18">
      <c r="B4" s="35"/>
    </row>
    <row r="5" spans="2:11" ht="29.25" customHeight="1">
      <c r="B5" s="105" t="s">
        <v>20</v>
      </c>
      <c r="C5" s="105"/>
      <c r="D5" s="105"/>
      <c r="E5" s="46">
        <v>38912</v>
      </c>
      <c r="F5" s="121" t="s">
        <v>102</v>
      </c>
      <c r="G5" s="105"/>
      <c r="H5" s="105"/>
      <c r="I5" s="105"/>
      <c r="J5" s="105"/>
      <c r="K5" s="105"/>
    </row>
    <row r="7" ht="12.75">
      <c r="B7" s="13" t="s">
        <v>104</v>
      </c>
    </row>
    <row r="8" spans="2:11" ht="51">
      <c r="B8" s="41" t="s">
        <v>24</v>
      </c>
      <c r="C8" s="41" t="s">
        <v>28</v>
      </c>
      <c r="D8" s="41" t="s">
        <v>27</v>
      </c>
      <c r="E8" s="41" t="s">
        <v>29</v>
      </c>
      <c r="F8" s="42" t="s">
        <v>21</v>
      </c>
      <c r="G8" s="41" t="s">
        <v>22</v>
      </c>
      <c r="H8" s="41" t="s">
        <v>25</v>
      </c>
      <c r="I8" s="41" t="s">
        <v>23</v>
      </c>
      <c r="J8" s="98" t="s">
        <v>26</v>
      </c>
      <c r="K8" s="98"/>
    </row>
    <row r="9" spans="2:11" ht="12.75">
      <c r="B9" s="43">
        <v>2001</v>
      </c>
      <c r="C9" s="43">
        <v>91.8</v>
      </c>
      <c r="D9" s="43">
        <v>37.27</v>
      </c>
      <c r="E9" s="40">
        <f>+C9*D9</f>
        <v>3421.386</v>
      </c>
      <c r="F9" s="44">
        <v>37346</v>
      </c>
      <c r="G9" s="44">
        <f>+$E$5</f>
        <v>38912</v>
      </c>
      <c r="H9" s="45">
        <v>0.06</v>
      </c>
      <c r="I9" s="40">
        <f>0.5*E9</f>
        <v>1710.693</v>
      </c>
      <c r="J9" s="100">
        <f>+E9*(1+H9/100)^((G9-F9)/365)+I9</f>
        <v>5140.895189256461</v>
      </c>
      <c r="K9" s="100"/>
    </row>
    <row r="10" spans="2:11" ht="12.75">
      <c r="B10" s="43">
        <v>2002</v>
      </c>
      <c r="C10" s="43">
        <v>148.6</v>
      </c>
      <c r="D10" s="43">
        <v>37.86</v>
      </c>
      <c r="E10" s="40">
        <f>+C10*D10</f>
        <v>5625.996</v>
      </c>
      <c r="F10" s="44">
        <v>37711</v>
      </c>
      <c r="G10" s="44">
        <f>+G9</f>
        <v>38912</v>
      </c>
      <c r="H10" s="45">
        <v>0.05</v>
      </c>
      <c r="I10" s="40">
        <f>0.5*E10</f>
        <v>2812.998</v>
      </c>
      <c r="J10" s="100">
        <f>+E10*(1+H10/100)^((G10-F10)/365)+I10</f>
        <v>8448.255220551306</v>
      </c>
      <c r="K10" s="100"/>
    </row>
    <row r="11" spans="2:11" ht="12.75">
      <c r="B11" s="43">
        <v>2003</v>
      </c>
      <c r="C11" s="43">
        <v>35.3</v>
      </c>
      <c r="D11" s="43">
        <v>37.86</v>
      </c>
      <c r="E11" s="40">
        <f>+C11*D11</f>
        <v>1336.4579999999999</v>
      </c>
      <c r="F11" s="44">
        <v>38077</v>
      </c>
      <c r="G11" s="44">
        <f>+G9</f>
        <v>38912</v>
      </c>
      <c r="H11" s="45">
        <v>0.05</v>
      </c>
      <c r="I11" s="40">
        <f>0.5*E11</f>
        <v>668.2289999999999</v>
      </c>
      <c r="J11" s="100">
        <f>+E11*(1+H11/100)^((G11-F11)/365)+I11</f>
        <v>2006.2161803958402</v>
      </c>
      <c r="K11" s="100"/>
    </row>
    <row r="12" spans="10:11" ht="12.75">
      <c r="J12" s="101">
        <f>SUM(J9:K11)</f>
        <v>15595.366590203608</v>
      </c>
      <c r="K12" s="123"/>
    </row>
    <row r="15" ht="12.75">
      <c r="B15" s="13" t="s">
        <v>105</v>
      </c>
    </row>
    <row r="16" spans="2:11" ht="51">
      <c r="B16" s="41" t="s">
        <v>24</v>
      </c>
      <c r="C16" s="41" t="s">
        <v>28</v>
      </c>
      <c r="D16" s="41" t="s">
        <v>27</v>
      </c>
      <c r="E16" s="41" t="s">
        <v>29</v>
      </c>
      <c r="F16" s="42" t="s">
        <v>21</v>
      </c>
      <c r="G16" s="41" t="s">
        <v>22</v>
      </c>
      <c r="H16" s="41" t="s">
        <v>25</v>
      </c>
      <c r="I16" s="41" t="s">
        <v>23</v>
      </c>
      <c r="J16" s="98" t="s">
        <v>26</v>
      </c>
      <c r="K16" s="98"/>
    </row>
    <row r="17" spans="2:11" ht="12.75">
      <c r="B17" s="43">
        <v>2004</v>
      </c>
      <c r="C17" s="43">
        <v>102</v>
      </c>
      <c r="D17" s="43">
        <v>39.61</v>
      </c>
      <c r="E17" s="40">
        <f>+C17*D17</f>
        <v>4040.22</v>
      </c>
      <c r="F17" s="44">
        <v>38442</v>
      </c>
      <c r="G17" s="44">
        <f>+E5</f>
        <v>38912</v>
      </c>
      <c r="H17" s="45">
        <v>0.05</v>
      </c>
      <c r="I17" s="40">
        <f>0.5*E17</f>
        <v>2020.11</v>
      </c>
      <c r="J17" s="100">
        <f>+E17*(1+H17/100)^((G17-F17)/365)+I17</f>
        <v>6062.931424587343</v>
      </c>
      <c r="K17" s="100"/>
    </row>
    <row r="18" spans="10:11" ht="12.75">
      <c r="J18" s="101">
        <f>SUM(J17:K17)</f>
        <v>6062.931424587343</v>
      </c>
      <c r="K18" s="123"/>
    </row>
    <row r="21" ht="12.75">
      <c r="B21" s="13" t="s">
        <v>106</v>
      </c>
    </row>
    <row r="22" spans="2:11" ht="51">
      <c r="B22" s="41" t="s">
        <v>24</v>
      </c>
      <c r="C22" s="41" t="s">
        <v>28</v>
      </c>
      <c r="D22" s="41" t="s">
        <v>27</v>
      </c>
      <c r="E22" s="41" t="s">
        <v>29</v>
      </c>
      <c r="F22" s="42" t="s">
        <v>21</v>
      </c>
      <c r="G22" s="41" t="s">
        <v>22</v>
      </c>
      <c r="H22" s="41" t="s">
        <v>25</v>
      </c>
      <c r="I22" s="41" t="s">
        <v>23</v>
      </c>
      <c r="J22" s="98" t="s">
        <v>26</v>
      </c>
      <c r="K22" s="98"/>
    </row>
    <row r="23" spans="2:11" ht="12.75">
      <c r="B23" s="43">
        <v>2004</v>
      </c>
      <c r="C23" s="43">
        <v>115</v>
      </c>
      <c r="D23" s="43">
        <v>39.61</v>
      </c>
      <c r="E23" s="40">
        <f>+C23*D23</f>
        <v>4555.15</v>
      </c>
      <c r="F23" s="44">
        <v>38442</v>
      </c>
      <c r="G23" s="44">
        <f>+$E$5</f>
        <v>38912</v>
      </c>
      <c r="H23" s="45">
        <v>0.05</v>
      </c>
      <c r="I23" s="40">
        <f>0.5*E23</f>
        <v>2277.575</v>
      </c>
      <c r="J23" s="100">
        <f>+E23*(1+H23/100)^((G23-F23)/365)+I23</f>
        <v>6835.657978701416</v>
      </c>
      <c r="K23" s="100"/>
    </row>
    <row r="24" spans="10:11" ht="12.75">
      <c r="J24" s="101">
        <f>SUM(J23:K23)</f>
        <v>6835.657978701416</v>
      </c>
      <c r="K24" s="123"/>
    </row>
    <row r="27" spans="2:14" ht="12.75">
      <c r="B27" s="13" t="s">
        <v>103</v>
      </c>
      <c r="N27" s="13" t="s">
        <v>103</v>
      </c>
    </row>
    <row r="28" spans="2:27" ht="51" customHeight="1">
      <c r="B28" s="41" t="s">
        <v>24</v>
      </c>
      <c r="C28" s="41" t="s">
        <v>28</v>
      </c>
      <c r="D28" s="41" t="s">
        <v>27</v>
      </c>
      <c r="E28" s="41" t="s">
        <v>29</v>
      </c>
      <c r="F28" s="42" t="s">
        <v>21</v>
      </c>
      <c r="G28" s="41" t="s">
        <v>22</v>
      </c>
      <c r="H28" s="41" t="s">
        <v>25</v>
      </c>
      <c r="I28" s="41" t="s">
        <v>23</v>
      </c>
      <c r="J28" s="98" t="s">
        <v>26</v>
      </c>
      <c r="K28" s="98"/>
      <c r="N28" s="90" t="s">
        <v>88</v>
      </c>
      <c r="O28" s="68" t="s">
        <v>84</v>
      </c>
      <c r="P28" s="68" t="s">
        <v>85</v>
      </c>
      <c r="Q28" s="68" t="s">
        <v>86</v>
      </c>
      <c r="S28" s="91" t="s">
        <v>94</v>
      </c>
      <c r="T28" s="68" t="s">
        <v>84</v>
      </c>
      <c r="U28" s="68" t="s">
        <v>85</v>
      </c>
      <c r="V28" s="68" t="s">
        <v>86</v>
      </c>
      <c r="X28" s="91" t="s">
        <v>95</v>
      </c>
      <c r="Y28" s="68" t="s">
        <v>84</v>
      </c>
      <c r="Z28" s="68" t="s">
        <v>85</v>
      </c>
      <c r="AA28" s="68" t="s">
        <v>86</v>
      </c>
    </row>
    <row r="29" spans="2:27" ht="12.75">
      <c r="B29" s="43">
        <v>2000</v>
      </c>
      <c r="C29" s="93">
        <f>+$Y$42</f>
        <v>615.9839999999997</v>
      </c>
      <c r="D29" s="43">
        <v>37.27</v>
      </c>
      <c r="E29" s="40">
        <f>+C29*D29</f>
        <v>22957.723679999992</v>
      </c>
      <c r="F29" s="44">
        <v>36981</v>
      </c>
      <c r="G29" s="44">
        <f>+$E$5</f>
        <v>38912</v>
      </c>
      <c r="H29" s="45">
        <v>0.06</v>
      </c>
      <c r="I29" s="40">
        <f>0.5*E29</f>
        <v>11478.861839999996</v>
      </c>
      <c r="J29" s="100">
        <f>+E29*(1+H29/100)^((G29-F29)/365)+I29</f>
        <v>34509.552854664034</v>
      </c>
      <c r="K29" s="100"/>
      <c r="N29" t="s">
        <v>73</v>
      </c>
      <c r="O29" s="43">
        <v>16.32</v>
      </c>
      <c r="P29" s="43">
        <v>10.88</v>
      </c>
      <c r="Q29" s="43">
        <f>0.32+0.2+0.02+3.16+0.1+0.04+0.02+0.01</f>
        <v>3.87</v>
      </c>
      <c r="S29" t="str">
        <f>+$N29</f>
        <v>ENG01</v>
      </c>
      <c r="T29" s="93">
        <f>+O29</f>
        <v>16.32</v>
      </c>
      <c r="U29" s="93">
        <f>+P29</f>
        <v>10.88</v>
      </c>
      <c r="V29" s="93">
        <f>+Q29</f>
        <v>3.87</v>
      </c>
      <c r="W29" s="92"/>
      <c r="X29" s="92" t="str">
        <f>+$N29</f>
        <v>ENG01</v>
      </c>
      <c r="Y29" s="93">
        <f>+O29</f>
        <v>16.32</v>
      </c>
      <c r="Z29" s="93">
        <f>+P29</f>
        <v>10.88</v>
      </c>
      <c r="AA29" s="93">
        <f>+Q29</f>
        <v>3.87</v>
      </c>
    </row>
    <row r="30" spans="2:27" ht="12.75">
      <c r="B30" s="43">
        <v>2001</v>
      </c>
      <c r="C30" s="93">
        <f>+$Y$42</f>
        <v>615.9839999999997</v>
      </c>
      <c r="D30" s="43">
        <v>37.27</v>
      </c>
      <c r="E30" s="40">
        <f>+C30*D30</f>
        <v>22957.723679999992</v>
      </c>
      <c r="F30" s="44">
        <v>37346</v>
      </c>
      <c r="G30" s="44">
        <f>+$E$5</f>
        <v>38912</v>
      </c>
      <c r="H30" s="45">
        <v>0.06</v>
      </c>
      <c r="I30" s="40">
        <f>0.5*E30</f>
        <v>11478.861839999996</v>
      </c>
      <c r="J30" s="100">
        <f>+E30*(1+H30/100)^((G30-F30)/365)+I30</f>
        <v>34495.74272613236</v>
      </c>
      <c r="K30" s="100"/>
      <c r="N30" t="s">
        <v>74</v>
      </c>
      <c r="O30" s="43">
        <v>19.87</v>
      </c>
      <c r="P30" s="43">
        <v>13.25</v>
      </c>
      <c r="Q30" s="43">
        <f>0.37+0.23+0.02+3.84+0.11+0.05+0.02+0.01</f>
        <v>4.6499999999999995</v>
      </c>
      <c r="S30" t="str">
        <f aca="true" t="shared" si="0" ref="S30:S39">+$N30</f>
        <v>ENG02</v>
      </c>
      <c r="T30" s="93">
        <f aca="true" t="shared" si="1" ref="T30:T39">+O30</f>
        <v>19.87</v>
      </c>
      <c r="U30" s="93">
        <f aca="true" t="shared" si="2" ref="U30:V32">+P30</f>
        <v>13.25</v>
      </c>
      <c r="V30" s="93">
        <f t="shared" si="2"/>
        <v>4.6499999999999995</v>
      </c>
      <c r="W30" s="92"/>
      <c r="X30" s="92" t="str">
        <f aca="true" t="shared" si="3" ref="X30:X39">+$N30</f>
        <v>ENG02</v>
      </c>
      <c r="Y30" s="93">
        <f aca="true" t="shared" si="4" ref="Y30:Y39">+O30</f>
        <v>19.87</v>
      </c>
      <c r="Z30" s="93">
        <f aca="true" t="shared" si="5" ref="Z30:AA32">+P30</f>
        <v>13.25</v>
      </c>
      <c r="AA30" s="93">
        <f t="shared" si="5"/>
        <v>4.6499999999999995</v>
      </c>
    </row>
    <row r="31" spans="2:27" ht="12.75">
      <c r="B31" s="43">
        <v>2002</v>
      </c>
      <c r="C31" s="93">
        <f>+$Y$42</f>
        <v>615.9839999999997</v>
      </c>
      <c r="D31" s="43">
        <v>37.86</v>
      </c>
      <c r="E31" s="40">
        <f>+C31*D31</f>
        <v>23321.15423999999</v>
      </c>
      <c r="F31" s="44">
        <v>37711</v>
      </c>
      <c r="G31" s="44">
        <f>+$E$5</f>
        <v>38912</v>
      </c>
      <c r="H31" s="45">
        <v>0.05</v>
      </c>
      <c r="I31" s="40">
        <f>0.5*E31</f>
        <v>11660.577119999994</v>
      </c>
      <c r="J31" s="100">
        <f>+E31*(1+H31/100)^((G31-F31)/365)+I31</f>
        <v>35020.121425141806</v>
      </c>
      <c r="K31" s="100"/>
      <c r="N31" t="s">
        <v>75</v>
      </c>
      <c r="O31" s="43">
        <v>16.16</v>
      </c>
      <c r="P31" s="43">
        <v>0.31</v>
      </c>
      <c r="Q31" s="43">
        <f>0.01+0.01+0.01+0.05+0.02+0.01</f>
        <v>0.11</v>
      </c>
      <c r="S31" t="str">
        <f t="shared" si="0"/>
        <v>ENG03</v>
      </c>
      <c r="T31" s="93">
        <f t="shared" si="1"/>
        <v>16.16</v>
      </c>
      <c r="U31" s="93">
        <f t="shared" si="2"/>
        <v>0.31</v>
      </c>
      <c r="V31" s="93">
        <f t="shared" si="2"/>
        <v>0.11</v>
      </c>
      <c r="W31" s="92"/>
      <c r="X31" s="92" t="str">
        <f t="shared" si="3"/>
        <v>ENG03</v>
      </c>
      <c r="Y31" s="93">
        <f t="shared" si="4"/>
        <v>16.16</v>
      </c>
      <c r="Z31" s="93">
        <f t="shared" si="5"/>
        <v>0.31</v>
      </c>
      <c r="AA31" s="93">
        <f t="shared" si="5"/>
        <v>0.11</v>
      </c>
    </row>
    <row r="32" spans="2:27" ht="12.75">
      <c r="B32" s="43">
        <v>2003</v>
      </c>
      <c r="C32" s="93">
        <f>+$Y$42</f>
        <v>615.9839999999997</v>
      </c>
      <c r="D32" s="43">
        <v>37.86</v>
      </c>
      <c r="E32" s="40">
        <f>+C32*D32</f>
        <v>23321.15423999999</v>
      </c>
      <c r="F32" s="44">
        <v>38077</v>
      </c>
      <c r="G32" s="44">
        <f>+$E$5</f>
        <v>38912</v>
      </c>
      <c r="H32" s="45">
        <v>0.05</v>
      </c>
      <c r="I32" s="40">
        <f>0.5*E32</f>
        <v>11660.577119999994</v>
      </c>
      <c r="J32" s="100">
        <f>+E32*(1+H32/100)^((G32-F32)/365)+I32</f>
        <v>35008.41551458784</v>
      </c>
      <c r="K32" s="100"/>
      <c r="N32" t="s">
        <v>76</v>
      </c>
      <c r="O32" s="43">
        <v>22.17</v>
      </c>
      <c r="P32" s="43">
        <v>2.93</v>
      </c>
      <c r="Q32" s="43">
        <f>0.11+0.1+0.06+0.6+0.12+0.02+0.01</f>
        <v>1.02</v>
      </c>
      <c r="S32" t="str">
        <f t="shared" si="0"/>
        <v>ENG04</v>
      </c>
      <c r="T32" s="93">
        <f t="shared" si="1"/>
        <v>22.17</v>
      </c>
      <c r="U32" s="93">
        <f t="shared" si="2"/>
        <v>2.93</v>
      </c>
      <c r="V32" s="93">
        <f t="shared" si="2"/>
        <v>1.02</v>
      </c>
      <c r="W32" s="92"/>
      <c r="X32" s="92" t="str">
        <f t="shared" si="3"/>
        <v>ENG04</v>
      </c>
      <c r="Y32" s="93">
        <f t="shared" si="4"/>
        <v>22.17</v>
      </c>
      <c r="Z32" s="93">
        <f t="shared" si="5"/>
        <v>2.93</v>
      </c>
      <c r="AA32" s="93">
        <f t="shared" si="5"/>
        <v>1.02</v>
      </c>
    </row>
    <row r="33" spans="2:27" ht="12.75">
      <c r="B33" s="43">
        <v>2004</v>
      </c>
      <c r="C33" s="93">
        <f>+$T$42</f>
        <v>244.83116666666666</v>
      </c>
      <c r="D33" s="43">
        <v>39.61</v>
      </c>
      <c r="E33" s="40">
        <f>+C33*D33</f>
        <v>9697.762511666666</v>
      </c>
      <c r="F33" s="44">
        <v>38442</v>
      </c>
      <c r="G33" s="44">
        <f>+$E$5</f>
        <v>38912</v>
      </c>
      <c r="H33" s="45">
        <v>0.05</v>
      </c>
      <c r="I33" s="40">
        <f>0.5*E33</f>
        <v>4848.881255833333</v>
      </c>
      <c r="J33" s="100">
        <f>+E33*(1+H33/100)^((G33-F33)/365)+I33</f>
        <v>14552.887981389358</v>
      </c>
      <c r="K33" s="100"/>
      <c r="N33" t="s">
        <v>77</v>
      </c>
      <c r="O33" s="43"/>
      <c r="P33" s="43">
        <v>3.29</v>
      </c>
      <c r="Q33" s="43">
        <f>0.71+0.09+0.43+0.06</f>
        <v>1.29</v>
      </c>
      <c r="S33" t="str">
        <f t="shared" si="0"/>
        <v>DEHY01</v>
      </c>
      <c r="T33" s="93">
        <f t="shared" si="1"/>
        <v>0</v>
      </c>
      <c r="U33" s="93">
        <f>+P33*11/12+(P33*1/12)/(1-$P$44)*(1-$P$45)</f>
        <v>6.525166666666664</v>
      </c>
      <c r="V33" s="93">
        <f>+Q33*11/12+(Q33*1/12)/(1-$P$44)*(1-$P$45)</f>
        <v>2.5584999999999987</v>
      </c>
      <c r="W33" s="92"/>
      <c r="X33" s="92" t="str">
        <f t="shared" si="3"/>
        <v>DEHY01</v>
      </c>
      <c r="Y33" s="93">
        <f t="shared" si="4"/>
        <v>0</v>
      </c>
      <c r="Z33" s="93">
        <f>+P33/(1-$P$44)*(1-$P$45)</f>
        <v>42.11199999999996</v>
      </c>
      <c r="AA33" s="93">
        <f>+Q33/(1-$P$44)*(1-$P$45)</f>
        <v>16.511999999999986</v>
      </c>
    </row>
    <row r="34" spans="10:27" ht="12.75">
      <c r="J34" s="101">
        <f>SUM(J30:K33)</f>
        <v>119077.16764725136</v>
      </c>
      <c r="K34" s="123"/>
      <c r="N34" t="s">
        <v>78</v>
      </c>
      <c r="O34" s="43"/>
      <c r="P34" s="43">
        <v>3.28</v>
      </c>
      <c r="Q34" s="43">
        <f>0.7+0.09+0.42+0.06</f>
        <v>1.27</v>
      </c>
      <c r="S34" t="str">
        <f t="shared" si="0"/>
        <v>DEHY02</v>
      </c>
      <c r="T34" s="93">
        <f t="shared" si="1"/>
        <v>0</v>
      </c>
      <c r="U34" s="93">
        <f>+P34*11/12+(P34*1/12)/(1-$P$44)*(1-$P$45)</f>
        <v>6.505333333333329</v>
      </c>
      <c r="V34" s="93">
        <f>+Q34*11/12+(Q34*1/12)/(1-$P$44)*(1-$P$45)</f>
        <v>2.5188333333333324</v>
      </c>
      <c r="W34" s="92"/>
      <c r="X34" s="92" t="str">
        <f t="shared" si="3"/>
        <v>DEHY02</v>
      </c>
      <c r="Y34" s="93">
        <f t="shared" si="4"/>
        <v>0</v>
      </c>
      <c r="Z34" s="93">
        <f>+P34/(1-$P$44)*(1-$P$45)</f>
        <v>41.98399999999996</v>
      </c>
      <c r="AA34" s="93">
        <f>+Q34/(1-$P$44)*(1-$P$45)</f>
        <v>16.255999999999986</v>
      </c>
    </row>
    <row r="35" spans="14:27" ht="12.75">
      <c r="N35" t="s">
        <v>79</v>
      </c>
      <c r="O35" s="43"/>
      <c r="P35" s="43">
        <v>6.85</v>
      </c>
      <c r="Q35" s="43">
        <f>0.18+0.66+0.11+0.02</f>
        <v>0.9700000000000001</v>
      </c>
      <c r="S35" t="str">
        <f t="shared" si="0"/>
        <v>T08</v>
      </c>
      <c r="T35" s="93">
        <f t="shared" si="1"/>
        <v>0</v>
      </c>
      <c r="U35" s="93">
        <f>+P35*11/12+(P35*1/12)/(1-$P$48)*(1-$P$49)</f>
        <v>17.695833333333322</v>
      </c>
      <c r="V35" s="93">
        <f>+Q35*11/12+(Q35*1/12)/(1-$P$48)*(1-$P$49)</f>
        <v>2.505833333333332</v>
      </c>
      <c r="W35" s="92"/>
      <c r="X35" s="92" t="str">
        <f t="shared" si="3"/>
        <v>T08</v>
      </c>
      <c r="Y35" s="93">
        <f t="shared" si="4"/>
        <v>0</v>
      </c>
      <c r="Z35" s="93">
        <f>+P35/(1-$P$48)*(1-$P$49)</f>
        <v>136.99999999999986</v>
      </c>
      <c r="AA35" s="93">
        <f>+Q35/(1-($P$48-$P$49))</f>
        <v>19.399999999999984</v>
      </c>
    </row>
    <row r="36" spans="14:27" ht="12.75">
      <c r="N36" t="s">
        <v>80</v>
      </c>
      <c r="O36" s="43"/>
      <c r="P36" s="43">
        <v>6.85</v>
      </c>
      <c r="Q36" s="43">
        <f>0.18+0.66+0.11+0.02</f>
        <v>0.9700000000000001</v>
      </c>
      <c r="S36" t="str">
        <f t="shared" si="0"/>
        <v>T09</v>
      </c>
      <c r="T36" s="93">
        <f t="shared" si="1"/>
        <v>0</v>
      </c>
      <c r="U36" s="93">
        <f>+P36*11/12+(P36*1/12)/(1-$P$48)*(1-$P$49)</f>
        <v>17.695833333333322</v>
      </c>
      <c r="V36" s="93">
        <f>+Q36*11/12+(Q36*1/12)/(1-$P$48)*(1-$P$49)</f>
        <v>2.505833333333332</v>
      </c>
      <c r="W36" s="92"/>
      <c r="X36" s="92" t="str">
        <f t="shared" si="3"/>
        <v>T09</v>
      </c>
      <c r="Y36" s="93">
        <f t="shared" si="4"/>
        <v>0</v>
      </c>
      <c r="Z36" s="93">
        <f>+P36/(1-$P$48)*(1-$P$49)</f>
        <v>136.99999999999986</v>
      </c>
      <c r="AA36" s="93">
        <f>+Q36/(1-($P$48-$P$49))</f>
        <v>19.399999999999984</v>
      </c>
    </row>
    <row r="37" spans="14:27" ht="12.75">
      <c r="N37" t="s">
        <v>81</v>
      </c>
      <c r="O37" s="43"/>
      <c r="P37" s="43">
        <v>10.62</v>
      </c>
      <c r="Q37" s="43"/>
      <c r="S37" t="str">
        <f t="shared" si="0"/>
        <v>EB</v>
      </c>
      <c r="T37" s="93">
        <f t="shared" si="1"/>
        <v>0</v>
      </c>
      <c r="U37" s="93">
        <f aca="true" t="shared" si="6" ref="U37:V39">+P37</f>
        <v>10.62</v>
      </c>
      <c r="V37" s="93">
        <f t="shared" si="6"/>
        <v>0</v>
      </c>
      <c r="W37" s="92"/>
      <c r="X37" s="92" t="str">
        <f t="shared" si="3"/>
        <v>EB</v>
      </c>
      <c r="Y37" s="93">
        <f t="shared" si="4"/>
        <v>0</v>
      </c>
      <c r="Z37" s="93">
        <f aca="true" t="shared" si="7" ref="Z37:AA39">+P37</f>
        <v>10.62</v>
      </c>
      <c r="AA37" s="93">
        <f t="shared" si="7"/>
        <v>0</v>
      </c>
    </row>
    <row r="38" spans="14:27" ht="12.75">
      <c r="N38" t="s">
        <v>82</v>
      </c>
      <c r="O38" s="43"/>
      <c r="P38" s="43">
        <v>63.12</v>
      </c>
      <c r="Q38" s="43"/>
      <c r="S38" t="str">
        <f t="shared" si="0"/>
        <v>PC</v>
      </c>
      <c r="T38" s="93">
        <f t="shared" si="1"/>
        <v>0</v>
      </c>
      <c r="U38" s="93">
        <f t="shared" si="6"/>
        <v>63.12</v>
      </c>
      <c r="V38" s="93">
        <f t="shared" si="6"/>
        <v>0</v>
      </c>
      <c r="W38" s="92"/>
      <c r="X38" s="92" t="str">
        <f t="shared" si="3"/>
        <v>PC</v>
      </c>
      <c r="Y38" s="93">
        <f t="shared" si="4"/>
        <v>0</v>
      </c>
      <c r="Z38" s="93">
        <f t="shared" si="7"/>
        <v>63.12</v>
      </c>
      <c r="AA38" s="93">
        <f t="shared" si="7"/>
        <v>0</v>
      </c>
    </row>
    <row r="39" spans="14:27" ht="12.75">
      <c r="N39" t="s">
        <v>83</v>
      </c>
      <c r="O39" s="43">
        <v>0.67</v>
      </c>
      <c r="P39" s="43"/>
      <c r="Q39" s="43"/>
      <c r="S39" t="str">
        <f t="shared" si="0"/>
        <v>COMB01</v>
      </c>
      <c r="T39" s="93">
        <f t="shared" si="1"/>
        <v>0.67</v>
      </c>
      <c r="U39" s="93">
        <f t="shared" si="6"/>
        <v>0</v>
      </c>
      <c r="V39" s="93">
        <f t="shared" si="6"/>
        <v>0</v>
      </c>
      <c r="W39" s="92"/>
      <c r="X39" s="92" t="str">
        <f t="shared" si="3"/>
        <v>COMB01</v>
      </c>
      <c r="Y39" s="93">
        <f t="shared" si="4"/>
        <v>0.67</v>
      </c>
      <c r="Z39" s="93">
        <f t="shared" si="7"/>
        <v>0</v>
      </c>
      <c r="AA39" s="93">
        <f t="shared" si="7"/>
        <v>0</v>
      </c>
    </row>
    <row r="40" spans="15:27" ht="12.75">
      <c r="O40" s="43"/>
      <c r="P40" s="43"/>
      <c r="Q40" s="43"/>
      <c r="T40" s="92"/>
      <c r="U40" s="92"/>
      <c r="V40" s="92"/>
      <c r="W40" s="92"/>
      <c r="X40" s="92"/>
      <c r="Y40" s="92"/>
      <c r="Z40" s="92"/>
      <c r="AA40" s="92"/>
    </row>
    <row r="41" spans="14:27" ht="12.75">
      <c r="N41" s="4" t="s">
        <v>87</v>
      </c>
      <c r="O41" s="96">
        <f>SUM(O29:O39)</f>
        <v>75.19</v>
      </c>
      <c r="P41" s="96">
        <f>SUM(P29:P39)</f>
        <v>121.38</v>
      </c>
      <c r="Q41" s="96">
        <f>SUM(Q29:Q39)</f>
        <v>14.149999999999999</v>
      </c>
      <c r="R41" s="92"/>
      <c r="S41" s="92"/>
      <c r="T41" s="96">
        <f>SUM(T29:T39)</f>
        <v>75.19</v>
      </c>
      <c r="U41" s="96">
        <f>SUM(U29:U39)</f>
        <v>149.53216666666665</v>
      </c>
      <c r="V41" s="96">
        <f>SUM(V29:V39)</f>
        <v>19.738999999999994</v>
      </c>
      <c r="W41" s="92"/>
      <c r="X41" s="92"/>
      <c r="Y41" s="96">
        <f>SUM(Y29:Y39)</f>
        <v>75.19</v>
      </c>
      <c r="Z41" s="96">
        <f>SUM(Z29:Z39)</f>
        <v>459.2059999999997</v>
      </c>
      <c r="AA41" s="96">
        <f>SUM(AA29:AA39)</f>
        <v>81.21799999999993</v>
      </c>
    </row>
    <row r="42" spans="14:27" ht="12.75">
      <c r="N42" s="4"/>
      <c r="O42" s="99">
        <f>SUM(O41:Q41)+O51+Q51</f>
        <v>211.09</v>
      </c>
      <c r="P42" s="99"/>
      <c r="Q42" s="99"/>
      <c r="R42" s="92"/>
      <c r="S42" s="92"/>
      <c r="T42" s="99">
        <f>SUM(T41:V41)+O51+Q51</f>
        <v>244.83116666666666</v>
      </c>
      <c r="U42" s="99"/>
      <c r="V42" s="99"/>
      <c r="W42" s="92"/>
      <c r="X42" s="92"/>
      <c r="Y42" s="99">
        <f>SUM(Y41:AA41)+O51+Q51</f>
        <v>615.9839999999997</v>
      </c>
      <c r="Z42" s="99"/>
      <c r="AA42" s="99"/>
    </row>
    <row r="43" ht="12.75">
      <c r="N43" t="s">
        <v>91</v>
      </c>
    </row>
    <row r="44" spans="14:16" ht="12.75">
      <c r="N44" t="s">
        <v>89</v>
      </c>
      <c r="P44" s="65">
        <v>0.95</v>
      </c>
    </row>
    <row r="45" spans="14:16" ht="12.75">
      <c r="N45" t="s">
        <v>90</v>
      </c>
      <c r="P45" s="65">
        <v>0.36</v>
      </c>
    </row>
    <row r="46" ht="12.75">
      <c r="P46" s="65"/>
    </row>
    <row r="47" spans="14:16" ht="12.75">
      <c r="N47" t="s">
        <v>92</v>
      </c>
      <c r="P47" s="65"/>
    </row>
    <row r="48" spans="14:16" ht="12.75">
      <c r="N48" t="s">
        <v>89</v>
      </c>
      <c r="P48" s="65">
        <v>0.95</v>
      </c>
    </row>
    <row r="49" spans="14:16" ht="12.75">
      <c r="N49" t="s">
        <v>93</v>
      </c>
      <c r="P49" s="65">
        <v>0</v>
      </c>
    </row>
    <row r="51" spans="14:17" ht="12.75">
      <c r="N51" t="s">
        <v>96</v>
      </c>
      <c r="O51">
        <v>0.32</v>
      </c>
      <c r="P51" t="s">
        <v>97</v>
      </c>
      <c r="Q51">
        <v>0.05</v>
      </c>
    </row>
  </sheetData>
  <mergeCells count="23">
    <mergeCell ref="J12:K12"/>
    <mergeCell ref="J8:K8"/>
    <mergeCell ref="J9:K9"/>
    <mergeCell ref="J10:K10"/>
    <mergeCell ref="J22:K22"/>
    <mergeCell ref="J31:K31"/>
    <mergeCell ref="J23:K23"/>
    <mergeCell ref="J24:K24"/>
    <mergeCell ref="J30:K30"/>
    <mergeCell ref="T42:V42"/>
    <mergeCell ref="Y42:AA42"/>
    <mergeCell ref="J33:K33"/>
    <mergeCell ref="J34:K34"/>
    <mergeCell ref="B5:D5"/>
    <mergeCell ref="F5:K5"/>
    <mergeCell ref="J28:K28"/>
    <mergeCell ref="O42:Q42"/>
    <mergeCell ref="J11:K11"/>
    <mergeCell ref="J29:K29"/>
    <mergeCell ref="J32:K32"/>
    <mergeCell ref="J18:K18"/>
    <mergeCell ref="J16:K16"/>
    <mergeCell ref="J17:K17"/>
  </mergeCells>
  <printOptions/>
  <pageMargins left="0.75" right="0.75" top="1" bottom="1" header="0.5" footer="0.5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CKB</dc:creator>
  <cp:keywords/>
  <dc:description/>
  <cp:lastModifiedBy>CKB</cp:lastModifiedBy>
  <cp:lastPrinted>2006-05-01T12:15:58Z</cp:lastPrinted>
  <dcterms:created xsi:type="dcterms:W3CDTF">2005-03-14T16:32:34Z</dcterms:created>
  <dcterms:modified xsi:type="dcterms:W3CDTF">2006-05-24T15:21:06Z</dcterms:modified>
  <cp:category/>
  <cp:version/>
  <cp:contentType/>
  <cp:contentStatus/>
</cp:coreProperties>
</file>