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0" windowWidth="12030" windowHeight="6570" tabRatio="799" activeTab="6"/>
  </bookViews>
  <sheets>
    <sheet name="list" sheetId="1" r:id="rId1"/>
    <sheet name="source" sheetId="2" r:id="rId2"/>
    <sheet name="cond" sheetId="3" r:id="rId3"/>
    <sheet name="emiss 1" sheetId="4" r:id="rId4"/>
    <sheet name="emiss 2" sheetId="5" r:id="rId5"/>
    <sheet name="feed 1" sheetId="6" r:id="rId6"/>
    <sheet name="feed 2" sheetId="7" r:id="rId7"/>
    <sheet name="process 1" sheetId="8" r:id="rId8"/>
    <sheet name="process 2" sheetId="9" r:id="rId9"/>
    <sheet name="df c11" sheetId="10" r:id="rId10"/>
  </sheets>
  <definedNames>
    <definedName name="_xlnm.Print_Titles" localSheetId="5">'feed 1'!$B:$B</definedName>
    <definedName name="_xlnm.Print_Titles" localSheetId="6">'feed 2'!$B:$B</definedName>
  </definedNames>
  <calcPr fullCalcOnLoad="1"/>
</workbook>
</file>

<file path=xl/sharedStrings.xml><?xml version="1.0" encoding="utf-8"?>
<sst xmlns="http://schemas.openxmlformats.org/spreadsheetml/2006/main" count="1779" uniqueCount="309">
  <si>
    <t>EPA ID No.</t>
  </si>
  <si>
    <t>Facility Name</t>
  </si>
  <si>
    <t>Facility Location</t>
  </si>
  <si>
    <t xml:space="preserve">    City</t>
  </si>
  <si>
    <t xml:space="preserve">    State</t>
  </si>
  <si>
    <t>Unit ID Name/No.</t>
  </si>
  <si>
    <t>Other Sister Facilities</t>
  </si>
  <si>
    <t>APCS Characteristics</t>
  </si>
  <si>
    <t>Stack Characteristics</t>
  </si>
  <si>
    <t xml:space="preserve">    Diameter (ft)</t>
  </si>
  <si>
    <t xml:space="preserve">    Height (ft)</t>
  </si>
  <si>
    <t>Permitting Status</t>
  </si>
  <si>
    <t>Units</t>
  </si>
  <si>
    <t>PM</t>
  </si>
  <si>
    <t>gr/dscf</t>
  </si>
  <si>
    <t>y</t>
  </si>
  <si>
    <t>ppmv</t>
  </si>
  <si>
    <t>dscfm</t>
  </si>
  <si>
    <t>%</t>
  </si>
  <si>
    <t>°F</t>
  </si>
  <si>
    <t>Facility Name and ID:</t>
  </si>
  <si>
    <t>Condition ID:</t>
  </si>
  <si>
    <t>Condition/Test Date:</t>
  </si>
  <si>
    <t>I-TEF</t>
  </si>
  <si>
    <t>Wght Fact</t>
  </si>
  <si>
    <t>Total</t>
  </si>
  <si>
    <t xml:space="preserve"> TEQ</t>
  </si>
  <si>
    <t>TEQ</t>
  </si>
  <si>
    <t>2,3,7,8-TCDD</t>
  </si>
  <si>
    <t>nd</t>
  </si>
  <si>
    <t>1,2,3,7,8-PCDD</t>
  </si>
  <si>
    <t>1,2,3,4,7,8-HxCDD</t>
  </si>
  <si>
    <t>1,2,3,6,7,8-HxCDD</t>
  </si>
  <si>
    <t>1,2,3,7,8,9-HxCDD</t>
  </si>
  <si>
    <t>1,2,3,4,6,7,8-HpCDD</t>
  </si>
  <si>
    <t>OCDD</t>
  </si>
  <si>
    <t>2,3,7,8-TCDF</t>
  </si>
  <si>
    <t>1,2,3,7,8-PCDF</t>
  </si>
  <si>
    <t>2,3,4,7,8-PCDF</t>
  </si>
  <si>
    <t>1,2,3,4,7,8-HxCDF</t>
  </si>
  <si>
    <t>1,2,3,6,7,8-HxCDF</t>
  </si>
  <si>
    <t>2,3,4,6,7,8-HxCDF</t>
  </si>
  <si>
    <t>1,2,3,7,8,9-HxCDF</t>
  </si>
  <si>
    <t>1,2,3,4,6,7,8-HpCDF</t>
  </si>
  <si>
    <t>1,2,3,4,7,8,9-HpCDF</t>
  </si>
  <si>
    <t>OCDF</t>
  </si>
  <si>
    <t>Gas sample volume (dscf)</t>
  </si>
  <si>
    <t>PCDD/PCDF (ng/dscm @ 7% O2)</t>
  </si>
  <si>
    <t>Cond Avg</t>
  </si>
  <si>
    <t>Feedstream Description</t>
  </si>
  <si>
    <t>g/hr</t>
  </si>
  <si>
    <t>Heating Value</t>
  </si>
  <si>
    <t>Btu/lb</t>
  </si>
  <si>
    <t>Ash</t>
  </si>
  <si>
    <t>Chlorine</t>
  </si>
  <si>
    <t>HCl</t>
  </si>
  <si>
    <t>DRE</t>
  </si>
  <si>
    <t>lb/hr</t>
  </si>
  <si>
    <t>Density</t>
  </si>
  <si>
    <t>Run 1</t>
  </si>
  <si>
    <t>Run 2</t>
  </si>
  <si>
    <t>Run 3</t>
  </si>
  <si>
    <r>
      <t>o</t>
    </r>
    <r>
      <rPr>
        <sz val="10"/>
        <rFont val="Arial"/>
        <family val="2"/>
      </rPr>
      <t>F</t>
    </r>
  </si>
  <si>
    <t>pH</t>
  </si>
  <si>
    <t>gpm</t>
  </si>
  <si>
    <t>MMBtu/hr</t>
  </si>
  <si>
    <t>ug/dscm</t>
  </si>
  <si>
    <t>SVM</t>
  </si>
  <si>
    <t>LVM</t>
  </si>
  <si>
    <t>O2 (%)</t>
  </si>
  <si>
    <t>TEQ Cond Avg</t>
  </si>
  <si>
    <t>Total Cond Avg</t>
  </si>
  <si>
    <t>Stack Gas Flowrate</t>
  </si>
  <si>
    <t>Oxygen</t>
  </si>
  <si>
    <t>mg/dscm</t>
  </si>
  <si>
    <t>HW</t>
  </si>
  <si>
    <t>Combustor Characteristics</t>
  </si>
  <si>
    <t>7% O2</t>
  </si>
  <si>
    <t>Process Information</t>
  </si>
  <si>
    <t>1/2 ND</t>
  </si>
  <si>
    <t>PCDD/PCDF</t>
  </si>
  <si>
    <t>Hazardous Wastes</t>
  </si>
  <si>
    <t>Supplemental Fuel</t>
  </si>
  <si>
    <t>POHC DRE</t>
  </si>
  <si>
    <t>Capacity (MMBtu/hr)</t>
  </si>
  <si>
    <t xml:space="preserve">    Gas Velocity (ft/sec)</t>
  </si>
  <si>
    <t xml:space="preserve">    Gas Temperature (°F)</t>
  </si>
  <si>
    <t>Feedrate MTEC Calculations</t>
  </si>
  <si>
    <t>Source Description</t>
  </si>
  <si>
    <t>Soot Blowing</t>
  </si>
  <si>
    <t>Haz Waste Description</t>
  </si>
  <si>
    <t xml:space="preserve">   Temperature</t>
  </si>
  <si>
    <t xml:space="preserve">   Stack Gas Flowrate</t>
  </si>
  <si>
    <t>Lead</t>
  </si>
  <si>
    <t>Antimony</t>
  </si>
  <si>
    <t>Arsenic</t>
  </si>
  <si>
    <t>Barium</t>
  </si>
  <si>
    <t>Beryllium</t>
  </si>
  <si>
    <t>Cadmium</t>
  </si>
  <si>
    <t>Mercury</t>
  </si>
  <si>
    <t>Nickel</t>
  </si>
  <si>
    <t>Selenium</t>
  </si>
  <si>
    <t>Silver</t>
  </si>
  <si>
    <t>Thallium</t>
  </si>
  <si>
    <t>Comments</t>
  </si>
  <si>
    <t>Trial Burn</t>
  </si>
  <si>
    <t>Risk Burn</t>
  </si>
  <si>
    <t>POHC Feedrate</t>
  </si>
  <si>
    <t>Emission Rate</t>
  </si>
  <si>
    <t xml:space="preserve">   O2</t>
  </si>
  <si>
    <t xml:space="preserve">   Moisture</t>
  </si>
  <si>
    <t>Copper</t>
  </si>
  <si>
    <t>CO (RA)</t>
  </si>
  <si>
    <t>Chromium</t>
  </si>
  <si>
    <t>Sampling Train</t>
  </si>
  <si>
    <t>Zinc</t>
  </si>
  <si>
    <t>Trial burn</t>
  </si>
  <si>
    <t>Risk burn</t>
  </si>
  <si>
    <t>*</t>
  </si>
  <si>
    <t>Thermal Feedrate</t>
  </si>
  <si>
    <t>Feed Rate</t>
  </si>
  <si>
    <t>HWC Burn Status (Date if Terminated)</t>
  </si>
  <si>
    <t>PCDD/PCDF (ng in sample)</t>
  </si>
  <si>
    <t>Combustion Chamber Temp (min)</t>
  </si>
  <si>
    <t>Natural gas</t>
  </si>
  <si>
    <t>Dow Chemical Company</t>
  </si>
  <si>
    <t>Freeport</t>
  </si>
  <si>
    <t>TX</t>
  </si>
  <si>
    <t>B-33 Rotary Kiln Incinerator</t>
  </si>
  <si>
    <t>Rotary kiln</t>
  </si>
  <si>
    <t>Manufactured by MAN-GHH. Model 2MOF29646-G1-RN. Designed to handle numerous waste streams in various combinations.</t>
  </si>
  <si>
    <t>METCO Environmental</t>
  </si>
  <si>
    <t>Focus Environmental, Inc.</t>
  </si>
  <si>
    <t>DRE Burn Report, December 2000</t>
  </si>
  <si>
    <t>CO, HC, DRE</t>
  </si>
  <si>
    <t>600C1</t>
  </si>
  <si>
    <t>n</t>
  </si>
  <si>
    <t>CO (MHRA)</t>
  </si>
  <si>
    <t>HC (MHRA)</t>
  </si>
  <si>
    <t>1,4-dichlorobenzene</t>
  </si>
  <si>
    <t>1,2-dichlorobenzene</t>
  </si>
  <si>
    <t>59..6</t>
  </si>
  <si>
    <t>D-450</t>
  </si>
  <si>
    <t>D-460</t>
  </si>
  <si>
    <t>Molecular Sieves</t>
  </si>
  <si>
    <t>PO Vents</t>
  </si>
  <si>
    <t>lb/gal</t>
  </si>
  <si>
    <t>Viscosity</t>
  </si>
  <si>
    <t>cP @  100F</t>
  </si>
  <si>
    <t>Acid Scrubber Temperature</t>
  </si>
  <si>
    <t>ID Fan Blower Speed</t>
  </si>
  <si>
    <t>rpm</t>
  </si>
  <si>
    <t>September 11-12, 2000</t>
  </si>
  <si>
    <t>Risk burn, normal temp, normal feedrate</t>
  </si>
  <si>
    <t>Aluminum</t>
  </si>
  <si>
    <t>Cobalt</t>
  </si>
  <si>
    <t>Iron</t>
  </si>
  <si>
    <t>Lithium</t>
  </si>
  <si>
    <t>Magnesium</t>
  </si>
  <si>
    <t>Manganese</t>
  </si>
  <si>
    <t>Molybdenum</t>
  </si>
  <si>
    <t>Phosphorus</t>
  </si>
  <si>
    <t>Potassium</t>
  </si>
  <si>
    <t>Sodium</t>
  </si>
  <si>
    <t>Strontium</t>
  </si>
  <si>
    <t>Vanadium</t>
  </si>
  <si>
    <t>Calcium</t>
  </si>
  <si>
    <t>Cr+6</t>
  </si>
  <si>
    <t>Detected in sample volume (pg)</t>
  </si>
  <si>
    <t>600C2</t>
  </si>
  <si>
    <t>US500/US501</t>
  </si>
  <si>
    <t>D-430</t>
  </si>
  <si>
    <t>Quench Water Flow</t>
  </si>
  <si>
    <t>Quench Recir Flow</t>
  </si>
  <si>
    <t>Acid Scrubber Recir Water Flow</t>
  </si>
  <si>
    <t>Acid Scrubber Blowdown</t>
  </si>
  <si>
    <t>Prescrubber Recir Flow</t>
  </si>
  <si>
    <t>Prescrubber pH</t>
  </si>
  <si>
    <t>IWS-210A Recir Flow</t>
  </si>
  <si>
    <t>IWS-210b Recir Flow</t>
  </si>
  <si>
    <t>IWS-210C Recir Flow</t>
  </si>
  <si>
    <t>P-210D Discharge Water Flow</t>
  </si>
  <si>
    <t>IWS-210A/B pH</t>
  </si>
  <si>
    <t>IWS-210C pH</t>
  </si>
  <si>
    <t>IWS-210D pH</t>
  </si>
  <si>
    <t>IWS Outlet Temperature</t>
  </si>
  <si>
    <t>Gas Conditioner Exit Temperature</t>
  </si>
  <si>
    <t>Diff Pressure Across Gas Cond</t>
  </si>
  <si>
    <t>Adsorption Bed Temperature</t>
  </si>
  <si>
    <t>Adsorption Bed Dust</t>
  </si>
  <si>
    <t>Adsorption Bed Exit Pressure</t>
  </si>
  <si>
    <t>in H2O</t>
  </si>
  <si>
    <t>Gas Conditioner Outlet Pressure</t>
  </si>
  <si>
    <t>CO, metals, PCDD/F</t>
  </si>
  <si>
    <t>Glycol PDC Bottoms (D-460), Allyl PDC Crude (D-450)</t>
  </si>
  <si>
    <t>Tier I for all metals???</t>
  </si>
  <si>
    <t>None</t>
  </si>
  <si>
    <t>Risk Burn Report, February 2001</t>
  </si>
  <si>
    <t>Report Name/Date</t>
  </si>
  <si>
    <t>Report Prepare</t>
  </si>
  <si>
    <t>Testing Firm</t>
  </si>
  <si>
    <t>Testing Dates</t>
  </si>
  <si>
    <t>Condition Descr</t>
  </si>
  <si>
    <t>Content</t>
  </si>
  <si>
    <t>600C10</t>
  </si>
  <si>
    <t>600C11</t>
  </si>
  <si>
    <t>Unknown</t>
  </si>
  <si>
    <t>Cond Descr</t>
  </si>
  <si>
    <t>600C3</t>
  </si>
  <si>
    <t>July 11-13, 1995</t>
  </si>
  <si>
    <t>R1</t>
  </si>
  <si>
    <t>R2</t>
  </si>
  <si>
    <t>R3</t>
  </si>
  <si>
    <t/>
  </si>
  <si>
    <t>PM/HCl</t>
  </si>
  <si>
    <t>1,1-DICHLOROETHANE</t>
  </si>
  <si>
    <t>Carbon Tetrachloride</t>
  </si>
  <si>
    <t>Trichlorofluoromethane</t>
  </si>
  <si>
    <t>Halogens</t>
  </si>
  <si>
    <t>Metals</t>
  </si>
  <si>
    <t>Particulate</t>
  </si>
  <si>
    <t>Liquid POHC</t>
  </si>
  <si>
    <t>Solid waste B</t>
  </si>
  <si>
    <t>Soil</t>
  </si>
  <si>
    <t>Solid POHC</t>
  </si>
  <si>
    <t>Waste water E</t>
  </si>
  <si>
    <t>Solid dirt</t>
  </si>
  <si>
    <t>Bulk dirt</t>
  </si>
  <si>
    <t>Feedrate</t>
  </si>
  <si>
    <t>Heating value</t>
  </si>
  <si>
    <t>% wt</t>
  </si>
  <si>
    <t>ppmw</t>
  </si>
  <si>
    <t>Gas flowrate</t>
  </si>
  <si>
    <t>Feedrate MTEC</t>
  </si>
  <si>
    <t>Condition Description</t>
  </si>
  <si>
    <t>Combustor Type</t>
  </si>
  <si>
    <t>Combustor Class</t>
  </si>
  <si>
    <t>TXD008092793</t>
  </si>
  <si>
    <t>Stack Gas Emissions 1</t>
  </si>
  <si>
    <t>Stack Gas Emissions 2</t>
  </si>
  <si>
    <t>Feedstream 1</t>
  </si>
  <si>
    <t>Feedstream 2</t>
  </si>
  <si>
    <t>Phase I ID No.</t>
  </si>
  <si>
    <t>60010</t>
  </si>
  <si>
    <t>Combustion Temperature</t>
  </si>
  <si>
    <t>F</t>
  </si>
  <si>
    <t>60011</t>
  </si>
  <si>
    <t>WS pH</t>
  </si>
  <si>
    <t>60013</t>
  </si>
  <si>
    <t>Kiln Temperature</t>
  </si>
  <si>
    <t>Afterburner Temperature</t>
  </si>
  <si>
    <t>Process Information 2</t>
  </si>
  <si>
    <t>WHB/Q/IWS/CB</t>
  </si>
  <si>
    <t>APCS Detailed Acronym</t>
  </si>
  <si>
    <t>APCS General Class</t>
  </si>
  <si>
    <t>Liq, solid</t>
  </si>
  <si>
    <t>Cond Dates</t>
  </si>
  <si>
    <t>Trial burn, Avg. Temp to meet 99.99% DRE</t>
  </si>
  <si>
    <t>E1</t>
  </si>
  <si>
    <t>E3</t>
  </si>
  <si>
    <t>E2</t>
  </si>
  <si>
    <t>No Be</t>
  </si>
  <si>
    <t>Number of Sister Facilities</t>
  </si>
  <si>
    <t>source</t>
  </si>
  <si>
    <t>cond</t>
  </si>
  <si>
    <t>emiss 1</t>
  </si>
  <si>
    <t>emiss 2</t>
  </si>
  <si>
    <t>feed 1</t>
  </si>
  <si>
    <t>feed 2</t>
  </si>
  <si>
    <t>process 1</t>
  </si>
  <si>
    <t>process 2</t>
  </si>
  <si>
    <t>df c11</t>
  </si>
  <si>
    <t>Dow</t>
  </si>
  <si>
    <t>Rotary Kiln Supplemental Trial Burn Results, RCRA Permit HW-50161-001, December 14, 1995; Compliance Test Report, Texas Rotary Kiln, Dow Freeport TX, Sampling Date: July 11-13, 1995</t>
  </si>
  <si>
    <t>Onsite incinerator</t>
  </si>
  <si>
    <t>Chromium (Hex)</t>
  </si>
  <si>
    <t>Feedstream Number</t>
  </si>
  <si>
    <t>Feed Class</t>
  </si>
  <si>
    <t>F1</t>
  </si>
  <si>
    <t>Liq HW</t>
  </si>
  <si>
    <t>F2</t>
  </si>
  <si>
    <t>Solid HW</t>
  </si>
  <si>
    <t>Solid non-HW</t>
  </si>
  <si>
    <t>F3</t>
  </si>
  <si>
    <t>F4</t>
  </si>
  <si>
    <t>F5</t>
  </si>
  <si>
    <t>F6</t>
  </si>
  <si>
    <t>Feed Class 2</t>
  </si>
  <si>
    <t>Non-HW</t>
  </si>
  <si>
    <t>Estimated Firing Rate</t>
  </si>
  <si>
    <t>Trial burn, min temp, max gas velocity</t>
  </si>
  <si>
    <t>Rotary Kiln Application Trial Burn Results, RCRA Permit HW-50161-001, Dow Chemical Company, Freeport, Texas</t>
  </si>
  <si>
    <t>Trial burn, MAX. heat duty, MIN. INCINERATOR RES. TIME</t>
  </si>
  <si>
    <t>Metals and ash permit testing</t>
  </si>
  <si>
    <t>AF Temperature (HRA)</t>
  </si>
  <si>
    <t>Total HpCDF</t>
  </si>
  <si>
    <t>Total HxCDF</t>
  </si>
  <si>
    <t>Total PCDF</t>
  </si>
  <si>
    <t>Total TCDF</t>
  </si>
  <si>
    <t>Total HpCDD</t>
  </si>
  <si>
    <t>Total HxCDD</t>
  </si>
  <si>
    <t>Total PCDD</t>
  </si>
  <si>
    <t>Total TCDD</t>
  </si>
  <si>
    <t>Dow Chemical, Freeport Texas</t>
  </si>
  <si>
    <t>WHB, WQ, IWS, CB</t>
  </si>
  <si>
    <t>Quench, absorber, ionizing wet scrubbers (manufactured by Ceilcote, 4 stages of ionizing wet scrubbers), afterburner, carbon bed absorber (Donau Carbon), waste heat boiler.  IWS and carbon bed added recently (2000 testing)</t>
  </si>
  <si>
    <t>Full ND</t>
  </si>
  <si>
    <t>N</t>
  </si>
  <si>
    <t>1,1-Dichloroethane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</si>
</sst>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mmm\-yyyy"/>
    <numFmt numFmtId="173" formatCode="&quot;$&quot;#,##0.0"/>
    <numFmt numFmtId="174" formatCode="#,##0.0"/>
    <numFmt numFmtId="175" formatCode="0.00000000"/>
    <numFmt numFmtId="176" formatCode="0.0000000"/>
    <numFmt numFmtId="177" formatCode="mm/dd/yy"/>
  </numFmts>
  <fonts count="6">
    <font>
      <sz val="10"/>
      <name val="Arial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/>
    </xf>
    <xf numFmtId="165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NumberFormat="1" applyFont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1" fontId="0" fillId="0" borderId="0" xfId="0" applyNumberFormat="1" applyFont="1" applyFill="1" applyBorder="1" applyAlignment="1">
      <alignment horizontal="right"/>
    </xf>
    <xf numFmtId="11" fontId="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167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1" fontId="0" fillId="0" borderId="0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left"/>
    </xf>
    <xf numFmtId="166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Continuous"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2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17" fontId="0" fillId="0" borderId="0" xfId="0" applyNumberFormat="1" applyFont="1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>
      <selection activeCell="E24" sqref="E24"/>
    </sheetView>
  </sheetViews>
  <sheetFormatPr defaultColWidth="9.140625" defaultRowHeight="12.75"/>
  <sheetData>
    <row r="1" ht="12.75">
      <c r="A1" t="s">
        <v>263</v>
      </c>
    </row>
    <row r="2" ht="12.75">
      <c r="A2" t="s">
        <v>264</v>
      </c>
    </row>
    <row r="3" ht="12.75">
      <c r="A3" t="s">
        <v>265</v>
      </c>
    </row>
    <row r="4" ht="12.75">
      <c r="A4" t="s">
        <v>266</v>
      </c>
    </row>
    <row r="5" ht="12.75">
      <c r="A5" t="s">
        <v>267</v>
      </c>
    </row>
    <row r="6" ht="12.75">
      <c r="A6" t="s">
        <v>268</v>
      </c>
    </row>
    <row r="7" ht="12.75">
      <c r="A7" t="s">
        <v>269</v>
      </c>
    </row>
    <row r="8" ht="12.75">
      <c r="A8" t="s">
        <v>270</v>
      </c>
    </row>
    <row r="9" ht="12.75">
      <c r="A9" t="s">
        <v>271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1" width="1.7109375" style="0" customWidth="1"/>
    <col min="2" max="2" width="20.00390625" style="0" customWidth="1"/>
    <col min="3" max="3" width="8.140625" style="0" customWidth="1"/>
    <col min="4" max="4" width="4.00390625" style="69" customWidth="1"/>
    <col min="5" max="5" width="9.421875" style="0" customWidth="1"/>
    <col min="6" max="6" width="9.8515625" style="0" customWidth="1"/>
    <col min="7" max="7" width="9.57421875" style="0" bestFit="1" customWidth="1"/>
    <col min="8" max="8" width="9.8515625" style="0" customWidth="1"/>
    <col min="9" max="9" width="5.00390625" style="0" customWidth="1"/>
    <col min="10" max="10" width="9.28125" style="0" bestFit="1" customWidth="1"/>
    <col min="11" max="11" width="9.28125" style="0" customWidth="1"/>
    <col min="12" max="12" width="9.28125" style="0" bestFit="1" customWidth="1"/>
    <col min="13" max="13" width="9.28125" style="0" customWidth="1"/>
    <col min="14" max="14" width="4.57421875" style="0" bestFit="1" customWidth="1"/>
    <col min="15" max="15" width="9.28125" style="0" bestFit="1" customWidth="1"/>
    <col min="16" max="16" width="9.00390625" style="0" customWidth="1"/>
    <col min="17" max="17" width="9.28125" style="0" bestFit="1" customWidth="1"/>
    <col min="18" max="18" width="9.00390625" style="0" customWidth="1"/>
  </cols>
  <sheetData>
    <row r="1" spans="1:18" ht="12.75">
      <c r="A1" s="50" t="s">
        <v>80</v>
      </c>
      <c r="B1" s="33"/>
      <c r="C1" s="33"/>
      <c r="D1" s="35"/>
      <c r="E1" s="44"/>
      <c r="F1" s="45"/>
      <c r="G1" s="44"/>
      <c r="H1" s="45"/>
      <c r="I1" s="44"/>
      <c r="J1" s="44"/>
      <c r="K1" s="44"/>
      <c r="L1" s="44"/>
      <c r="M1" s="44"/>
      <c r="N1" s="44"/>
      <c r="O1" s="44"/>
      <c r="P1" s="44"/>
      <c r="Q1" s="44"/>
      <c r="R1" s="44"/>
    </row>
    <row r="2" spans="1:18" ht="12.75">
      <c r="A2" s="33" t="s">
        <v>307</v>
      </c>
      <c r="B2" s="33"/>
      <c r="C2" s="33"/>
      <c r="D2" s="35"/>
      <c r="E2" s="44"/>
      <c r="F2" s="45"/>
      <c r="G2" s="44"/>
      <c r="H2" s="45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2.75">
      <c r="A3" s="33" t="s">
        <v>20</v>
      </c>
      <c r="B3" s="33"/>
      <c r="C3" s="9" t="s">
        <v>303</v>
      </c>
      <c r="D3" s="35"/>
      <c r="E3" s="44"/>
      <c r="F3" s="45"/>
      <c r="G3" s="44"/>
      <c r="H3" s="45"/>
      <c r="I3" s="44"/>
      <c r="J3" s="44"/>
      <c r="K3" s="44"/>
      <c r="L3" s="44"/>
      <c r="M3" s="44"/>
      <c r="N3" s="44"/>
      <c r="O3" s="44"/>
      <c r="P3" s="44"/>
      <c r="Q3" s="44"/>
      <c r="R3" s="44"/>
    </row>
    <row r="4" spans="1:18" ht="12.75">
      <c r="A4" s="33" t="s">
        <v>21</v>
      </c>
      <c r="B4" s="33"/>
      <c r="C4" s="9" t="s">
        <v>205</v>
      </c>
      <c r="D4" s="35"/>
      <c r="E4" s="46"/>
      <c r="F4" s="47"/>
      <c r="G4" s="46"/>
      <c r="H4" s="47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pans="1:18" ht="12.75">
      <c r="A5" s="33" t="s">
        <v>22</v>
      </c>
      <c r="B5" s="33"/>
      <c r="C5" s="14" t="s">
        <v>153</v>
      </c>
      <c r="D5" s="75"/>
      <c r="E5" s="14"/>
      <c r="F5" s="14"/>
      <c r="G5" s="14"/>
      <c r="H5" s="14"/>
      <c r="I5" s="14"/>
      <c r="J5" s="14"/>
      <c r="K5" s="44"/>
      <c r="L5" s="14"/>
      <c r="M5" s="44"/>
      <c r="N5" s="44"/>
      <c r="O5" s="44"/>
      <c r="P5" s="44"/>
      <c r="Q5" s="44"/>
      <c r="R5" s="44"/>
    </row>
    <row r="6" spans="1:18" ht="12.75">
      <c r="A6" s="33"/>
      <c r="B6" s="33"/>
      <c r="C6" s="35"/>
      <c r="D6" s="35"/>
      <c r="E6" s="48"/>
      <c r="F6" s="45"/>
      <c r="G6" s="48"/>
      <c r="H6" s="45"/>
      <c r="I6" s="44"/>
      <c r="J6" s="48"/>
      <c r="K6" s="44"/>
      <c r="L6" s="48"/>
      <c r="M6" s="44"/>
      <c r="N6" s="44"/>
      <c r="O6" s="48"/>
      <c r="P6" s="44"/>
      <c r="Q6" s="48"/>
      <c r="R6" s="44"/>
    </row>
    <row r="7" spans="1:18" s="61" customFormat="1" ht="12.75">
      <c r="A7" s="33"/>
      <c r="B7" s="33"/>
      <c r="C7" s="35" t="s">
        <v>23</v>
      </c>
      <c r="D7" s="35"/>
      <c r="E7" s="49" t="s">
        <v>59</v>
      </c>
      <c r="F7" s="49"/>
      <c r="G7" s="49"/>
      <c r="H7" s="49"/>
      <c r="I7" s="13"/>
      <c r="J7" s="49" t="s">
        <v>60</v>
      </c>
      <c r="K7" s="49"/>
      <c r="L7" s="49"/>
      <c r="M7" s="49"/>
      <c r="N7" s="13"/>
      <c r="O7" s="49" t="s">
        <v>61</v>
      </c>
      <c r="P7" s="49"/>
      <c r="Q7" s="49"/>
      <c r="R7" s="49"/>
    </row>
    <row r="8" spans="1:18" s="61" customFormat="1" ht="12.75">
      <c r="A8" s="33"/>
      <c r="B8" s="33"/>
      <c r="C8" s="35" t="s">
        <v>24</v>
      </c>
      <c r="D8" s="35"/>
      <c r="E8" s="48" t="s">
        <v>25</v>
      </c>
      <c r="F8" s="47" t="s">
        <v>26</v>
      </c>
      <c r="G8" s="48" t="s">
        <v>25</v>
      </c>
      <c r="H8" s="47" t="s">
        <v>26</v>
      </c>
      <c r="I8" s="44"/>
      <c r="J8" s="48" t="s">
        <v>25</v>
      </c>
      <c r="K8" s="48" t="s">
        <v>27</v>
      </c>
      <c r="L8" s="48" t="s">
        <v>25</v>
      </c>
      <c r="M8" s="48" t="s">
        <v>27</v>
      </c>
      <c r="N8" s="44"/>
      <c r="O8" s="48" t="s">
        <v>25</v>
      </c>
      <c r="P8" s="48" t="s">
        <v>27</v>
      </c>
      <c r="Q8" s="48" t="s">
        <v>25</v>
      </c>
      <c r="R8" s="48" t="s">
        <v>27</v>
      </c>
    </row>
    <row r="9" spans="1:18" s="61" customFormat="1" ht="12.75">
      <c r="A9" s="33"/>
      <c r="B9" s="33"/>
      <c r="C9" s="35"/>
      <c r="D9" s="35"/>
      <c r="E9" s="48" t="s">
        <v>306</v>
      </c>
      <c r="F9" s="48" t="s">
        <v>306</v>
      </c>
      <c r="G9" s="48" t="s">
        <v>79</v>
      </c>
      <c r="H9" s="47" t="s">
        <v>79</v>
      </c>
      <c r="I9" s="44"/>
      <c r="J9" s="48" t="s">
        <v>306</v>
      </c>
      <c r="K9" s="48" t="s">
        <v>306</v>
      </c>
      <c r="L9" s="48" t="s">
        <v>79</v>
      </c>
      <c r="M9" s="47" t="s">
        <v>79</v>
      </c>
      <c r="N9" s="44"/>
      <c r="O9" s="48" t="s">
        <v>306</v>
      </c>
      <c r="P9" s="48" t="s">
        <v>306</v>
      </c>
      <c r="Q9" s="48" t="s">
        <v>79</v>
      </c>
      <c r="R9" s="47" t="s">
        <v>79</v>
      </c>
    </row>
    <row r="10" spans="1:18" ht="12.75">
      <c r="A10" s="33" t="s">
        <v>168</v>
      </c>
      <c r="B10" s="33"/>
      <c r="C10" s="33"/>
      <c r="D10" s="35"/>
      <c r="E10" s="44"/>
      <c r="F10" s="45"/>
      <c r="G10" s="44"/>
      <c r="H10" s="45"/>
      <c r="I10" s="44"/>
      <c r="J10" s="44"/>
      <c r="K10" s="44"/>
      <c r="L10" s="44"/>
      <c r="M10" s="44"/>
      <c r="N10" s="44"/>
      <c r="O10" s="36"/>
      <c r="P10" s="44"/>
      <c r="Q10" s="44"/>
      <c r="R10" s="44"/>
    </row>
    <row r="11" spans="1:18" ht="12.75">
      <c r="A11" s="33"/>
      <c r="B11" s="33" t="s">
        <v>28</v>
      </c>
      <c r="C11" s="35">
        <v>1</v>
      </c>
      <c r="D11" s="69" t="s">
        <v>29</v>
      </c>
      <c r="E11" s="57">
        <v>4.52</v>
      </c>
      <c r="F11" s="41">
        <f>E11*$C11</f>
        <v>4.52</v>
      </c>
      <c r="G11" s="41">
        <f>IF(D11="nd",E11/2,E11)</f>
        <v>2.26</v>
      </c>
      <c r="H11" s="41">
        <f>G11*$C11</f>
        <v>2.26</v>
      </c>
      <c r="I11" s="57" t="s">
        <v>29</v>
      </c>
      <c r="J11" s="57">
        <v>4.3</v>
      </c>
      <c r="K11" s="41">
        <f>J11*$C11</f>
        <v>4.3</v>
      </c>
      <c r="L11" s="41">
        <f>IF(I11="nd",J11/2,J11)</f>
        <v>2.15</v>
      </c>
      <c r="M11" s="41">
        <f>L11*$C11</f>
        <v>2.15</v>
      </c>
      <c r="N11" s="57" t="s">
        <v>29</v>
      </c>
      <c r="O11" s="57">
        <v>3.35</v>
      </c>
      <c r="P11" s="41">
        <f>O11*$C11</f>
        <v>3.35</v>
      </c>
      <c r="Q11" s="41">
        <f>IF(N11="nd",O11/2,O11)</f>
        <v>1.675</v>
      </c>
      <c r="R11" s="41">
        <f>Q11*$C11</f>
        <v>1.675</v>
      </c>
    </row>
    <row r="12" spans="1:18" ht="12.75">
      <c r="A12" s="33"/>
      <c r="B12" s="33" t="s">
        <v>302</v>
      </c>
      <c r="C12" s="35">
        <v>0</v>
      </c>
      <c r="D12" s="69" t="s">
        <v>29</v>
      </c>
      <c r="E12" s="57">
        <v>8.95</v>
      </c>
      <c r="F12" s="41">
        <f aca="true" t="shared" si="0" ref="F12:H35">E12*$C12</f>
        <v>0</v>
      </c>
      <c r="G12" s="41">
        <f aca="true" t="shared" si="1" ref="G12:G35">IF(D12="nd",E12/2,E12)</f>
        <v>4.475</v>
      </c>
      <c r="H12" s="41">
        <f t="shared" si="0"/>
        <v>0</v>
      </c>
      <c r="I12" s="57"/>
      <c r="J12" s="57">
        <v>5.99</v>
      </c>
      <c r="K12" s="41">
        <f aca="true" t="shared" si="2" ref="K12:M35">J12*$C12</f>
        <v>0</v>
      </c>
      <c r="L12" s="41">
        <f aca="true" t="shared" si="3" ref="L12:L35">IF(I12="nd",J12/2,J12)</f>
        <v>5.99</v>
      </c>
      <c r="M12" s="41">
        <f t="shared" si="2"/>
        <v>0</v>
      </c>
      <c r="N12" s="57" t="s">
        <v>29</v>
      </c>
      <c r="O12" s="57">
        <v>4.91</v>
      </c>
      <c r="P12" s="41">
        <f aca="true" t="shared" si="4" ref="P12:R35">O12*$C12</f>
        <v>0</v>
      </c>
      <c r="Q12" s="41">
        <f aca="true" t="shared" si="5" ref="Q12:Q35">IF(N12="nd",O12/2,O12)</f>
        <v>2.455</v>
      </c>
      <c r="R12" s="41">
        <f t="shared" si="4"/>
        <v>0</v>
      </c>
    </row>
    <row r="13" spans="1:18" ht="12.75">
      <c r="A13" s="33"/>
      <c r="B13" s="33" t="s">
        <v>30</v>
      </c>
      <c r="C13" s="35">
        <v>0.5</v>
      </c>
      <c r="D13" s="69" t="s">
        <v>29</v>
      </c>
      <c r="E13" s="57">
        <v>17.4</v>
      </c>
      <c r="F13" s="41">
        <f t="shared" si="0"/>
        <v>8.7</v>
      </c>
      <c r="G13" s="41">
        <f t="shared" si="1"/>
        <v>8.7</v>
      </c>
      <c r="H13" s="41">
        <f t="shared" si="0"/>
        <v>4.35</v>
      </c>
      <c r="I13" s="57" t="s">
        <v>29</v>
      </c>
      <c r="J13" s="57">
        <v>19</v>
      </c>
      <c r="K13" s="41">
        <f t="shared" si="2"/>
        <v>9.5</v>
      </c>
      <c r="L13" s="41">
        <f t="shared" si="3"/>
        <v>9.5</v>
      </c>
      <c r="M13" s="41">
        <f t="shared" si="2"/>
        <v>4.75</v>
      </c>
      <c r="N13" s="57" t="s">
        <v>29</v>
      </c>
      <c r="O13" s="57">
        <v>8.76</v>
      </c>
      <c r="P13" s="41">
        <f t="shared" si="4"/>
        <v>4.38</v>
      </c>
      <c r="Q13" s="41">
        <f t="shared" si="5"/>
        <v>4.38</v>
      </c>
      <c r="R13" s="41">
        <f t="shared" si="4"/>
        <v>2.19</v>
      </c>
    </row>
    <row r="14" spans="1:18" ht="12.75">
      <c r="A14" s="33"/>
      <c r="B14" s="33" t="s">
        <v>301</v>
      </c>
      <c r="C14" s="35">
        <v>0</v>
      </c>
      <c r="D14" s="69" t="s">
        <v>29</v>
      </c>
      <c r="E14" s="57">
        <v>93.9</v>
      </c>
      <c r="F14" s="41">
        <f t="shared" si="0"/>
        <v>0</v>
      </c>
      <c r="G14" s="41">
        <f t="shared" si="1"/>
        <v>46.95</v>
      </c>
      <c r="H14" s="41">
        <f t="shared" si="0"/>
        <v>0</v>
      </c>
      <c r="I14" s="57"/>
      <c r="J14" s="57">
        <v>87.4</v>
      </c>
      <c r="K14" s="41">
        <f t="shared" si="2"/>
        <v>0</v>
      </c>
      <c r="L14" s="41">
        <f t="shared" si="3"/>
        <v>87.4</v>
      </c>
      <c r="M14" s="41">
        <f t="shared" si="2"/>
        <v>0</v>
      </c>
      <c r="N14" s="57" t="s">
        <v>29</v>
      </c>
      <c r="O14" s="57">
        <v>12.3</v>
      </c>
      <c r="P14" s="41">
        <f t="shared" si="4"/>
        <v>0</v>
      </c>
      <c r="Q14" s="41">
        <f t="shared" si="5"/>
        <v>6.15</v>
      </c>
      <c r="R14" s="41">
        <f t="shared" si="4"/>
        <v>0</v>
      </c>
    </row>
    <row r="15" spans="1:18" ht="12.75">
      <c r="A15" s="33"/>
      <c r="B15" s="33" t="s">
        <v>31</v>
      </c>
      <c r="C15" s="35">
        <v>0.1</v>
      </c>
      <c r="E15" s="57">
        <v>23.6</v>
      </c>
      <c r="F15" s="41">
        <f t="shared" si="0"/>
        <v>2.3600000000000003</v>
      </c>
      <c r="G15" s="41">
        <f t="shared" si="1"/>
        <v>23.6</v>
      </c>
      <c r="H15" s="41">
        <f t="shared" si="0"/>
        <v>2.3600000000000003</v>
      </c>
      <c r="I15" s="57" t="s">
        <v>29</v>
      </c>
      <c r="J15" s="57">
        <v>25</v>
      </c>
      <c r="K15" s="41">
        <f t="shared" si="2"/>
        <v>2.5</v>
      </c>
      <c r="L15" s="41">
        <f t="shared" si="3"/>
        <v>12.5</v>
      </c>
      <c r="M15" s="41">
        <f t="shared" si="2"/>
        <v>1.25</v>
      </c>
      <c r="N15" s="57" t="s">
        <v>29</v>
      </c>
      <c r="O15" s="57">
        <v>14.2</v>
      </c>
      <c r="P15" s="41">
        <f t="shared" si="4"/>
        <v>1.42</v>
      </c>
      <c r="Q15" s="41">
        <f t="shared" si="5"/>
        <v>7.1</v>
      </c>
      <c r="R15" s="41">
        <f t="shared" si="4"/>
        <v>0.71</v>
      </c>
    </row>
    <row r="16" spans="1:18" ht="12.75">
      <c r="A16" s="33"/>
      <c r="B16" s="33" t="s">
        <v>32</v>
      </c>
      <c r="C16" s="35">
        <v>0.1</v>
      </c>
      <c r="E16" s="57">
        <v>29.3</v>
      </c>
      <c r="F16" s="41">
        <f t="shared" si="0"/>
        <v>2.93</v>
      </c>
      <c r="G16" s="41">
        <f t="shared" si="1"/>
        <v>29.3</v>
      </c>
      <c r="H16" s="41">
        <f t="shared" si="0"/>
        <v>2.93</v>
      </c>
      <c r="I16" s="57" t="s">
        <v>29</v>
      </c>
      <c r="J16" s="57">
        <v>32</v>
      </c>
      <c r="K16" s="41">
        <f t="shared" si="2"/>
        <v>3.2</v>
      </c>
      <c r="L16" s="41">
        <f t="shared" si="3"/>
        <v>16</v>
      </c>
      <c r="M16" s="41">
        <f t="shared" si="2"/>
        <v>1.6</v>
      </c>
      <c r="N16" s="57" t="s">
        <v>29</v>
      </c>
      <c r="O16" s="57">
        <v>17.1</v>
      </c>
      <c r="P16" s="41">
        <f t="shared" si="4"/>
        <v>1.7100000000000002</v>
      </c>
      <c r="Q16" s="41">
        <f t="shared" si="5"/>
        <v>8.55</v>
      </c>
      <c r="R16" s="41">
        <f t="shared" si="4"/>
        <v>0.8550000000000001</v>
      </c>
    </row>
    <row r="17" spans="1:18" ht="12.75">
      <c r="A17" s="33"/>
      <c r="B17" s="33" t="s">
        <v>33</v>
      </c>
      <c r="C17" s="35">
        <v>0.1</v>
      </c>
      <c r="E17" s="57">
        <v>21.1</v>
      </c>
      <c r="F17" s="41">
        <f t="shared" si="0"/>
        <v>2.1100000000000003</v>
      </c>
      <c r="G17" s="41">
        <f t="shared" si="1"/>
        <v>21.1</v>
      </c>
      <c r="H17" s="41">
        <f t="shared" si="0"/>
        <v>2.1100000000000003</v>
      </c>
      <c r="I17" s="57" t="s">
        <v>29</v>
      </c>
      <c r="J17" s="57">
        <v>22</v>
      </c>
      <c r="K17" s="41">
        <f t="shared" si="2"/>
        <v>2.2</v>
      </c>
      <c r="L17" s="41">
        <f t="shared" si="3"/>
        <v>11</v>
      </c>
      <c r="M17" s="41">
        <f t="shared" si="2"/>
        <v>1.1</v>
      </c>
      <c r="N17" s="57" t="s">
        <v>29</v>
      </c>
      <c r="O17" s="57">
        <v>12.5</v>
      </c>
      <c r="P17" s="41">
        <f t="shared" si="4"/>
        <v>1.25</v>
      </c>
      <c r="Q17" s="41">
        <f t="shared" si="5"/>
        <v>6.25</v>
      </c>
      <c r="R17" s="41">
        <f t="shared" si="4"/>
        <v>0.625</v>
      </c>
    </row>
    <row r="18" spans="1:18" ht="12.75">
      <c r="A18" s="33"/>
      <c r="B18" s="33" t="s">
        <v>300</v>
      </c>
      <c r="C18" s="35">
        <v>0</v>
      </c>
      <c r="E18" s="57">
        <v>281</v>
      </c>
      <c r="F18" s="41">
        <f t="shared" si="0"/>
        <v>0</v>
      </c>
      <c r="G18" s="41">
        <f t="shared" si="1"/>
        <v>281</v>
      </c>
      <c r="H18" s="41">
        <f t="shared" si="0"/>
        <v>0</v>
      </c>
      <c r="I18" s="57"/>
      <c r="J18" s="57">
        <v>218</v>
      </c>
      <c r="K18" s="41">
        <f t="shared" si="2"/>
        <v>0</v>
      </c>
      <c r="L18" s="41">
        <f t="shared" si="3"/>
        <v>218</v>
      </c>
      <c r="M18" s="41">
        <f t="shared" si="2"/>
        <v>0</v>
      </c>
      <c r="N18" s="57" t="s">
        <v>29</v>
      </c>
      <c r="O18" s="57">
        <v>108</v>
      </c>
      <c r="P18" s="41">
        <f t="shared" si="4"/>
        <v>0</v>
      </c>
      <c r="Q18" s="41">
        <f t="shared" si="5"/>
        <v>54</v>
      </c>
      <c r="R18" s="41">
        <f t="shared" si="4"/>
        <v>0</v>
      </c>
    </row>
    <row r="19" spans="1:18" ht="12.75">
      <c r="A19" s="33"/>
      <c r="B19" s="33" t="s">
        <v>34</v>
      </c>
      <c r="C19" s="35">
        <v>0.01</v>
      </c>
      <c r="E19" s="57">
        <v>184</v>
      </c>
      <c r="F19" s="41">
        <f t="shared" si="0"/>
        <v>1.84</v>
      </c>
      <c r="G19" s="41">
        <f t="shared" si="1"/>
        <v>184</v>
      </c>
      <c r="H19" s="41">
        <f t="shared" si="0"/>
        <v>1.84</v>
      </c>
      <c r="I19" s="57"/>
      <c r="J19" s="57">
        <v>175</v>
      </c>
      <c r="K19" s="41">
        <f t="shared" si="2"/>
        <v>1.75</v>
      </c>
      <c r="L19" s="41">
        <f t="shared" si="3"/>
        <v>175</v>
      </c>
      <c r="M19" s="41">
        <f t="shared" si="2"/>
        <v>1.75</v>
      </c>
      <c r="N19" s="57"/>
      <c r="O19" s="57">
        <v>114</v>
      </c>
      <c r="P19" s="41">
        <f t="shared" si="4"/>
        <v>1.1400000000000001</v>
      </c>
      <c r="Q19" s="41">
        <f t="shared" si="5"/>
        <v>114</v>
      </c>
      <c r="R19" s="41">
        <f t="shared" si="4"/>
        <v>1.1400000000000001</v>
      </c>
    </row>
    <row r="20" spans="1:18" ht="12.75">
      <c r="A20" s="33"/>
      <c r="B20" s="33" t="s">
        <v>299</v>
      </c>
      <c r="C20" s="35">
        <v>0</v>
      </c>
      <c r="E20" s="57">
        <v>368</v>
      </c>
      <c r="F20" s="41">
        <f t="shared" si="0"/>
        <v>0</v>
      </c>
      <c r="G20" s="41">
        <f t="shared" si="1"/>
        <v>368</v>
      </c>
      <c r="H20" s="41">
        <f t="shared" si="0"/>
        <v>0</v>
      </c>
      <c r="I20" s="57"/>
      <c r="J20" s="57">
        <v>294</v>
      </c>
      <c r="K20" s="41">
        <f t="shared" si="2"/>
        <v>0</v>
      </c>
      <c r="L20" s="41">
        <f t="shared" si="3"/>
        <v>294</v>
      </c>
      <c r="M20" s="41">
        <f t="shared" si="2"/>
        <v>0</v>
      </c>
      <c r="N20" s="57"/>
      <c r="O20" s="57">
        <v>216</v>
      </c>
      <c r="P20" s="41">
        <f t="shared" si="4"/>
        <v>0</v>
      </c>
      <c r="Q20" s="41">
        <f t="shared" si="5"/>
        <v>216</v>
      </c>
      <c r="R20" s="41">
        <f t="shared" si="4"/>
        <v>0</v>
      </c>
    </row>
    <row r="21" spans="1:18" ht="12.75">
      <c r="A21" s="33"/>
      <c r="B21" s="33" t="s">
        <v>35</v>
      </c>
      <c r="C21" s="35">
        <v>0.001</v>
      </c>
      <c r="E21" s="57">
        <v>551</v>
      </c>
      <c r="F21" s="41">
        <f t="shared" si="0"/>
        <v>0.551</v>
      </c>
      <c r="G21" s="41">
        <f t="shared" si="1"/>
        <v>551</v>
      </c>
      <c r="H21" s="41">
        <f t="shared" si="0"/>
        <v>0.551</v>
      </c>
      <c r="I21" s="57"/>
      <c r="J21" s="57">
        <v>612</v>
      </c>
      <c r="K21" s="41">
        <f t="shared" si="2"/>
        <v>0.612</v>
      </c>
      <c r="L21" s="41">
        <f t="shared" si="3"/>
        <v>612</v>
      </c>
      <c r="M21" s="41">
        <f t="shared" si="2"/>
        <v>0.612</v>
      </c>
      <c r="N21" s="57"/>
      <c r="O21" s="57">
        <v>450</v>
      </c>
      <c r="P21" s="41">
        <f t="shared" si="4"/>
        <v>0.45</v>
      </c>
      <c r="Q21" s="41">
        <f t="shared" si="5"/>
        <v>450</v>
      </c>
      <c r="R21" s="41">
        <f t="shared" si="4"/>
        <v>0.45</v>
      </c>
    </row>
    <row r="22" spans="1:18" ht="12.75">
      <c r="A22" s="33"/>
      <c r="B22" s="33" t="s">
        <v>36</v>
      </c>
      <c r="C22" s="35">
        <v>0.1</v>
      </c>
      <c r="D22" s="69" t="s">
        <v>29</v>
      </c>
      <c r="E22" s="57">
        <v>20.5</v>
      </c>
      <c r="F22" s="41">
        <f t="shared" si="0"/>
        <v>2.0500000000000003</v>
      </c>
      <c r="G22" s="41">
        <f t="shared" si="1"/>
        <v>10.25</v>
      </c>
      <c r="H22" s="41">
        <f t="shared" si="0"/>
        <v>1.0250000000000001</v>
      </c>
      <c r="I22" s="57" t="s">
        <v>29</v>
      </c>
      <c r="J22" s="57">
        <v>17</v>
      </c>
      <c r="K22" s="41">
        <f t="shared" si="2"/>
        <v>1.7000000000000002</v>
      </c>
      <c r="L22" s="41">
        <f t="shared" si="3"/>
        <v>8.5</v>
      </c>
      <c r="M22" s="41">
        <f t="shared" si="2"/>
        <v>0.8500000000000001</v>
      </c>
      <c r="N22" s="57" t="s">
        <v>29</v>
      </c>
      <c r="O22" s="57">
        <v>7.98</v>
      </c>
      <c r="P22" s="41">
        <f t="shared" si="4"/>
        <v>0.798</v>
      </c>
      <c r="Q22" s="41">
        <f t="shared" si="5"/>
        <v>3.99</v>
      </c>
      <c r="R22" s="41">
        <f t="shared" si="4"/>
        <v>0.399</v>
      </c>
    </row>
    <row r="23" spans="1:18" ht="12.75">
      <c r="A23" s="33"/>
      <c r="B23" s="33" t="s">
        <v>298</v>
      </c>
      <c r="C23" s="35">
        <v>0</v>
      </c>
      <c r="E23" s="57">
        <v>301</v>
      </c>
      <c r="F23" s="41">
        <f t="shared" si="0"/>
        <v>0</v>
      </c>
      <c r="G23" s="41">
        <f t="shared" si="1"/>
        <v>301</v>
      </c>
      <c r="H23" s="41">
        <f t="shared" si="0"/>
        <v>0</v>
      </c>
      <c r="I23" s="57"/>
      <c r="J23" s="57">
        <v>255</v>
      </c>
      <c r="K23" s="41">
        <f t="shared" si="2"/>
        <v>0</v>
      </c>
      <c r="L23" s="41">
        <f t="shared" si="3"/>
        <v>255</v>
      </c>
      <c r="M23" s="41">
        <f t="shared" si="2"/>
        <v>0</v>
      </c>
      <c r="N23" s="57" t="s">
        <v>29</v>
      </c>
      <c r="O23" s="57">
        <v>91.9</v>
      </c>
      <c r="P23" s="41">
        <f t="shared" si="4"/>
        <v>0</v>
      </c>
      <c r="Q23" s="41">
        <f t="shared" si="5"/>
        <v>45.95</v>
      </c>
      <c r="R23" s="41">
        <f t="shared" si="4"/>
        <v>0</v>
      </c>
    </row>
    <row r="24" spans="1:18" ht="12.75">
      <c r="A24" s="33"/>
      <c r="B24" s="33" t="s">
        <v>37</v>
      </c>
      <c r="C24" s="35">
        <v>0.05</v>
      </c>
      <c r="E24" s="57">
        <v>81.5</v>
      </c>
      <c r="F24" s="41">
        <f t="shared" si="0"/>
        <v>4.075</v>
      </c>
      <c r="G24" s="41">
        <f t="shared" si="1"/>
        <v>81.5</v>
      </c>
      <c r="H24" s="41">
        <f t="shared" si="0"/>
        <v>4.075</v>
      </c>
      <c r="I24" s="57" t="s">
        <v>29</v>
      </c>
      <c r="J24" s="57">
        <v>61</v>
      </c>
      <c r="K24" s="41">
        <f t="shared" si="2"/>
        <v>3.0500000000000003</v>
      </c>
      <c r="L24" s="41">
        <f t="shared" si="3"/>
        <v>30.5</v>
      </c>
      <c r="M24" s="41">
        <f t="shared" si="2"/>
        <v>1.5250000000000001</v>
      </c>
      <c r="N24" s="57" t="s">
        <v>29</v>
      </c>
      <c r="O24" s="41">
        <v>27.9</v>
      </c>
      <c r="P24" s="41">
        <f t="shared" si="4"/>
        <v>1.395</v>
      </c>
      <c r="Q24" s="41">
        <f t="shared" si="5"/>
        <v>13.95</v>
      </c>
      <c r="R24" s="41">
        <f t="shared" si="4"/>
        <v>0.6975</v>
      </c>
    </row>
    <row r="25" spans="1:18" ht="12.75">
      <c r="A25" s="33"/>
      <c r="B25" s="33" t="s">
        <v>38</v>
      </c>
      <c r="C25" s="35">
        <v>0.5</v>
      </c>
      <c r="E25" s="57">
        <v>111</v>
      </c>
      <c r="F25" s="41">
        <f t="shared" si="0"/>
        <v>55.5</v>
      </c>
      <c r="G25" s="41">
        <f t="shared" si="1"/>
        <v>111</v>
      </c>
      <c r="H25" s="41">
        <f t="shared" si="0"/>
        <v>55.5</v>
      </c>
      <c r="I25" s="57" t="s">
        <v>29</v>
      </c>
      <c r="J25" s="57">
        <v>93</v>
      </c>
      <c r="K25" s="41">
        <f t="shared" si="2"/>
        <v>46.5</v>
      </c>
      <c r="L25" s="41">
        <f t="shared" si="3"/>
        <v>46.5</v>
      </c>
      <c r="M25" s="41">
        <f t="shared" si="2"/>
        <v>23.25</v>
      </c>
      <c r="N25" s="57" t="s">
        <v>29</v>
      </c>
      <c r="O25" s="57">
        <v>44.3</v>
      </c>
      <c r="P25" s="41">
        <f t="shared" si="4"/>
        <v>22.15</v>
      </c>
      <c r="Q25" s="41">
        <f t="shared" si="5"/>
        <v>22.15</v>
      </c>
      <c r="R25" s="41">
        <f t="shared" si="4"/>
        <v>11.075</v>
      </c>
    </row>
    <row r="26" spans="1:18" ht="12.75">
      <c r="A26" s="33"/>
      <c r="B26" s="33" t="s">
        <v>297</v>
      </c>
      <c r="C26" s="35">
        <v>0</v>
      </c>
      <c r="E26" s="57">
        <v>1150</v>
      </c>
      <c r="F26" s="41">
        <f t="shared" si="0"/>
        <v>0</v>
      </c>
      <c r="G26" s="41">
        <f t="shared" si="1"/>
        <v>1150</v>
      </c>
      <c r="H26" s="41">
        <f t="shared" si="0"/>
        <v>0</v>
      </c>
      <c r="I26" s="57"/>
      <c r="J26" s="57">
        <v>894</v>
      </c>
      <c r="K26" s="41">
        <f t="shared" si="2"/>
        <v>0</v>
      </c>
      <c r="L26" s="41">
        <f t="shared" si="3"/>
        <v>894</v>
      </c>
      <c r="M26" s="41">
        <f t="shared" si="2"/>
        <v>0</v>
      </c>
      <c r="N26" s="57"/>
      <c r="O26" s="57">
        <v>394</v>
      </c>
      <c r="P26" s="41">
        <f t="shared" si="4"/>
        <v>0</v>
      </c>
      <c r="Q26" s="41">
        <f t="shared" si="5"/>
        <v>394</v>
      </c>
      <c r="R26" s="41">
        <f t="shared" si="4"/>
        <v>0</v>
      </c>
    </row>
    <row r="27" spans="1:18" ht="12.75">
      <c r="A27" s="33"/>
      <c r="B27" s="33" t="s">
        <v>39</v>
      </c>
      <c r="C27" s="35">
        <v>0.1</v>
      </c>
      <c r="E27" s="57">
        <v>691</v>
      </c>
      <c r="F27" s="41">
        <f t="shared" si="0"/>
        <v>69.10000000000001</v>
      </c>
      <c r="G27" s="41">
        <f t="shared" si="1"/>
        <v>691</v>
      </c>
      <c r="H27" s="41">
        <f t="shared" si="0"/>
        <v>69.10000000000001</v>
      </c>
      <c r="I27" s="57"/>
      <c r="J27" s="57">
        <v>576</v>
      </c>
      <c r="K27" s="41">
        <f t="shared" si="2"/>
        <v>57.6</v>
      </c>
      <c r="L27" s="41">
        <f t="shared" si="3"/>
        <v>576</v>
      </c>
      <c r="M27" s="41">
        <f t="shared" si="2"/>
        <v>57.6</v>
      </c>
      <c r="N27" s="57"/>
      <c r="O27" s="57">
        <v>290</v>
      </c>
      <c r="P27" s="41">
        <f t="shared" si="4"/>
        <v>29</v>
      </c>
      <c r="Q27" s="41">
        <f t="shared" si="5"/>
        <v>290</v>
      </c>
      <c r="R27" s="41">
        <f t="shared" si="4"/>
        <v>29</v>
      </c>
    </row>
    <row r="28" spans="1:18" ht="12.75">
      <c r="A28" s="33"/>
      <c r="B28" s="33" t="s">
        <v>40</v>
      </c>
      <c r="C28" s="35">
        <v>0.1</v>
      </c>
      <c r="E28" s="57">
        <v>638</v>
      </c>
      <c r="F28" s="41">
        <f t="shared" si="0"/>
        <v>63.800000000000004</v>
      </c>
      <c r="G28" s="41">
        <f t="shared" si="1"/>
        <v>638</v>
      </c>
      <c r="H28" s="41">
        <f t="shared" si="0"/>
        <v>63.800000000000004</v>
      </c>
      <c r="I28" s="57"/>
      <c r="J28" s="57">
        <v>540</v>
      </c>
      <c r="K28" s="41">
        <f t="shared" si="2"/>
        <v>54</v>
      </c>
      <c r="L28" s="41">
        <f t="shared" si="3"/>
        <v>540</v>
      </c>
      <c r="M28" s="41">
        <f t="shared" si="2"/>
        <v>54</v>
      </c>
      <c r="N28" s="57"/>
      <c r="O28" s="57">
        <v>269</v>
      </c>
      <c r="P28" s="41">
        <f t="shared" si="4"/>
        <v>26.900000000000002</v>
      </c>
      <c r="Q28" s="41">
        <f t="shared" si="5"/>
        <v>269</v>
      </c>
      <c r="R28" s="41">
        <f t="shared" si="4"/>
        <v>26.900000000000002</v>
      </c>
    </row>
    <row r="29" spans="1:18" ht="12.75">
      <c r="A29" s="33"/>
      <c r="B29" s="33" t="s">
        <v>41</v>
      </c>
      <c r="C29" s="35">
        <v>0.1</v>
      </c>
      <c r="E29" s="57">
        <v>190</v>
      </c>
      <c r="F29" s="41">
        <f t="shared" si="0"/>
        <v>19</v>
      </c>
      <c r="G29" s="41">
        <f t="shared" si="1"/>
        <v>190</v>
      </c>
      <c r="H29" s="41">
        <f t="shared" si="0"/>
        <v>19</v>
      </c>
      <c r="I29" s="57"/>
      <c r="J29" s="57">
        <v>150</v>
      </c>
      <c r="K29" s="41">
        <f t="shared" si="2"/>
        <v>15</v>
      </c>
      <c r="L29" s="41">
        <f t="shared" si="3"/>
        <v>150</v>
      </c>
      <c r="M29" s="41">
        <f t="shared" si="2"/>
        <v>15</v>
      </c>
      <c r="N29" s="57" t="s">
        <v>29</v>
      </c>
      <c r="O29" s="57">
        <v>80.7</v>
      </c>
      <c r="P29" s="41">
        <f t="shared" si="4"/>
        <v>8.07</v>
      </c>
      <c r="Q29" s="41">
        <f t="shared" si="5"/>
        <v>40.35</v>
      </c>
      <c r="R29" s="41">
        <f t="shared" si="4"/>
        <v>4.035</v>
      </c>
    </row>
    <row r="30" spans="1:18" ht="12.75">
      <c r="A30" s="33"/>
      <c r="B30" s="33" t="s">
        <v>42</v>
      </c>
      <c r="C30" s="35">
        <v>0.1</v>
      </c>
      <c r="E30" s="57">
        <v>677</v>
      </c>
      <c r="F30" s="41">
        <f t="shared" si="0"/>
        <v>67.7</v>
      </c>
      <c r="G30" s="41">
        <f t="shared" si="1"/>
        <v>677</v>
      </c>
      <c r="H30" s="41">
        <f t="shared" si="0"/>
        <v>67.7</v>
      </c>
      <c r="I30" s="57"/>
      <c r="J30" s="57">
        <v>593</v>
      </c>
      <c r="K30" s="41">
        <f t="shared" si="2"/>
        <v>59.300000000000004</v>
      </c>
      <c r="L30" s="41">
        <f t="shared" si="3"/>
        <v>593</v>
      </c>
      <c r="M30" s="41">
        <f t="shared" si="2"/>
        <v>59.300000000000004</v>
      </c>
      <c r="N30" s="57"/>
      <c r="O30" s="57">
        <v>308</v>
      </c>
      <c r="P30" s="41">
        <f t="shared" si="4"/>
        <v>30.8</v>
      </c>
      <c r="Q30" s="41">
        <f t="shared" si="5"/>
        <v>308</v>
      </c>
      <c r="R30" s="41">
        <f t="shared" si="4"/>
        <v>30.8</v>
      </c>
    </row>
    <row r="31" spans="1:18" ht="12.75">
      <c r="A31" s="33"/>
      <c r="B31" s="33" t="s">
        <v>296</v>
      </c>
      <c r="C31" s="35">
        <v>0</v>
      </c>
      <c r="E31" s="57">
        <v>5350</v>
      </c>
      <c r="F31" s="41">
        <f t="shared" si="0"/>
        <v>0</v>
      </c>
      <c r="G31" s="41">
        <f t="shared" si="1"/>
        <v>5350</v>
      </c>
      <c r="H31" s="41">
        <f t="shared" si="0"/>
        <v>0</v>
      </c>
      <c r="I31" s="57"/>
      <c r="J31" s="57">
        <v>4290</v>
      </c>
      <c r="K31" s="41">
        <f t="shared" si="2"/>
        <v>0</v>
      </c>
      <c r="L31" s="41">
        <f t="shared" si="3"/>
        <v>4290</v>
      </c>
      <c r="M31" s="41">
        <f t="shared" si="2"/>
        <v>0</v>
      </c>
      <c r="N31" s="57"/>
      <c r="O31" s="57">
        <v>2190</v>
      </c>
      <c r="P31" s="41">
        <f t="shared" si="4"/>
        <v>0</v>
      </c>
      <c r="Q31" s="41">
        <f t="shared" si="5"/>
        <v>2190</v>
      </c>
      <c r="R31" s="41">
        <f t="shared" si="4"/>
        <v>0</v>
      </c>
    </row>
    <row r="32" spans="1:18" ht="12.75">
      <c r="A32" s="33"/>
      <c r="B32" s="33" t="s">
        <v>43</v>
      </c>
      <c r="C32" s="35">
        <v>0.01</v>
      </c>
      <c r="E32" s="57">
        <v>6920</v>
      </c>
      <c r="F32" s="41">
        <f t="shared" si="0"/>
        <v>69.2</v>
      </c>
      <c r="G32" s="41">
        <f t="shared" si="1"/>
        <v>6920</v>
      </c>
      <c r="H32" s="41">
        <f t="shared" si="0"/>
        <v>69.2</v>
      </c>
      <c r="I32" s="57"/>
      <c r="J32" s="57">
        <v>6350</v>
      </c>
      <c r="K32" s="41">
        <f t="shared" si="2"/>
        <v>63.5</v>
      </c>
      <c r="L32" s="41">
        <f t="shared" si="3"/>
        <v>6350</v>
      </c>
      <c r="M32" s="41">
        <f t="shared" si="2"/>
        <v>63.5</v>
      </c>
      <c r="N32" s="57"/>
      <c r="O32" s="57">
        <v>3750</v>
      </c>
      <c r="P32" s="41">
        <f t="shared" si="4"/>
        <v>37.5</v>
      </c>
      <c r="Q32" s="41">
        <f t="shared" si="5"/>
        <v>3750</v>
      </c>
      <c r="R32" s="41">
        <f t="shared" si="4"/>
        <v>37.5</v>
      </c>
    </row>
    <row r="33" spans="1:18" ht="12.75">
      <c r="A33" s="33"/>
      <c r="B33" s="33" t="s">
        <v>44</v>
      </c>
      <c r="C33" s="35">
        <v>0.01</v>
      </c>
      <c r="E33" s="57">
        <v>1140</v>
      </c>
      <c r="F33" s="41">
        <f t="shared" si="0"/>
        <v>11.4</v>
      </c>
      <c r="G33" s="41">
        <f t="shared" si="1"/>
        <v>1140</v>
      </c>
      <c r="H33" s="41">
        <f t="shared" si="0"/>
        <v>11.4</v>
      </c>
      <c r="I33" s="57"/>
      <c r="J33" s="57">
        <v>1150</v>
      </c>
      <c r="K33" s="41">
        <f t="shared" si="2"/>
        <v>11.5</v>
      </c>
      <c r="L33" s="41">
        <f t="shared" si="3"/>
        <v>1150</v>
      </c>
      <c r="M33" s="41">
        <f t="shared" si="2"/>
        <v>11.5</v>
      </c>
      <c r="N33" s="57"/>
      <c r="O33" s="57">
        <v>748</v>
      </c>
      <c r="P33" s="41">
        <f t="shared" si="4"/>
        <v>7.48</v>
      </c>
      <c r="Q33" s="41">
        <f t="shared" si="5"/>
        <v>748</v>
      </c>
      <c r="R33" s="41">
        <f t="shared" si="4"/>
        <v>7.48</v>
      </c>
    </row>
    <row r="34" spans="1:18" ht="12.75">
      <c r="A34" s="33"/>
      <c r="B34" s="33" t="s">
        <v>295</v>
      </c>
      <c r="C34" s="35">
        <v>0</v>
      </c>
      <c r="E34" s="57">
        <v>11900</v>
      </c>
      <c r="F34" s="41">
        <f t="shared" si="0"/>
        <v>0</v>
      </c>
      <c r="G34" s="41">
        <f t="shared" si="1"/>
        <v>11900</v>
      </c>
      <c r="H34" s="41">
        <f t="shared" si="0"/>
        <v>0</v>
      </c>
      <c r="I34" s="57"/>
      <c r="J34" s="57">
        <v>8370</v>
      </c>
      <c r="K34" s="41">
        <f t="shared" si="2"/>
        <v>0</v>
      </c>
      <c r="L34" s="41">
        <f t="shared" si="3"/>
        <v>8370</v>
      </c>
      <c r="M34" s="41">
        <f t="shared" si="2"/>
        <v>0</v>
      </c>
      <c r="N34" s="57"/>
      <c r="O34" s="57">
        <v>6640</v>
      </c>
      <c r="P34" s="41">
        <f t="shared" si="4"/>
        <v>0</v>
      </c>
      <c r="Q34" s="41">
        <f t="shared" si="5"/>
        <v>6640</v>
      </c>
      <c r="R34" s="41">
        <f t="shared" si="4"/>
        <v>0</v>
      </c>
    </row>
    <row r="35" spans="1:18" ht="12.75">
      <c r="A35" s="33"/>
      <c r="B35" s="33" t="s">
        <v>45</v>
      </c>
      <c r="C35" s="35">
        <v>0.001</v>
      </c>
      <c r="E35" s="41">
        <v>7570</v>
      </c>
      <c r="F35" s="41">
        <f t="shared" si="0"/>
        <v>7.57</v>
      </c>
      <c r="G35" s="41">
        <f t="shared" si="1"/>
        <v>7570</v>
      </c>
      <c r="H35" s="41">
        <f t="shared" si="0"/>
        <v>7.57</v>
      </c>
      <c r="I35" s="57"/>
      <c r="J35" s="57">
        <v>8550</v>
      </c>
      <c r="K35" s="41">
        <f t="shared" si="2"/>
        <v>8.55</v>
      </c>
      <c r="L35" s="41">
        <f t="shared" si="3"/>
        <v>8550</v>
      </c>
      <c r="M35" s="41">
        <f t="shared" si="2"/>
        <v>8.55</v>
      </c>
      <c r="N35" s="57"/>
      <c r="O35" s="57">
        <v>6160</v>
      </c>
      <c r="P35" s="41">
        <f t="shared" si="4"/>
        <v>6.16</v>
      </c>
      <c r="Q35" s="41">
        <f t="shared" si="5"/>
        <v>6160</v>
      </c>
      <c r="R35" s="41">
        <f t="shared" si="4"/>
        <v>6.16</v>
      </c>
    </row>
    <row r="36" spans="1:18" ht="12.75">
      <c r="A36" s="33"/>
      <c r="B36" s="33"/>
      <c r="C36" s="33"/>
      <c r="D36" s="35"/>
      <c r="F36" s="45"/>
      <c r="G36" s="41"/>
      <c r="H36" s="45"/>
      <c r="I36" s="41"/>
      <c r="J36" s="14"/>
      <c r="K36" s="45"/>
      <c r="L36" s="41"/>
      <c r="M36" s="45"/>
      <c r="N36" s="41"/>
      <c r="O36" s="14"/>
      <c r="P36" s="45"/>
      <c r="Q36" s="41"/>
      <c r="R36" s="45"/>
    </row>
    <row r="37" spans="1:18" ht="12.75">
      <c r="A37" s="33"/>
      <c r="B37" s="33" t="s">
        <v>46</v>
      </c>
      <c r="C37" s="33"/>
      <c r="D37" s="35"/>
      <c r="E37" s="41"/>
      <c r="F37">
        <v>132.096</v>
      </c>
      <c r="G37">
        <v>132.096</v>
      </c>
      <c r="H37">
        <v>132.096</v>
      </c>
      <c r="K37">
        <v>132.096</v>
      </c>
      <c r="L37">
        <v>132.096</v>
      </c>
      <c r="M37">
        <v>132.096</v>
      </c>
      <c r="P37">
        <v>132.096</v>
      </c>
      <c r="Q37">
        <v>132.096</v>
      </c>
      <c r="R37">
        <v>132.096</v>
      </c>
    </row>
    <row r="38" spans="1:18" ht="12.75">
      <c r="A38" s="33"/>
      <c r="B38" s="33" t="s">
        <v>69</v>
      </c>
      <c r="C38" s="33"/>
      <c r="D38" s="35"/>
      <c r="E38" s="41"/>
      <c r="F38">
        <v>10</v>
      </c>
      <c r="G38">
        <v>10</v>
      </c>
      <c r="H38">
        <v>10</v>
      </c>
      <c r="K38">
        <v>10</v>
      </c>
      <c r="L38">
        <v>10</v>
      </c>
      <c r="M38">
        <v>10</v>
      </c>
      <c r="P38">
        <v>10</v>
      </c>
      <c r="Q38">
        <v>10</v>
      </c>
      <c r="R38">
        <v>10</v>
      </c>
    </row>
    <row r="39" spans="1:18" ht="12.75">
      <c r="A39" s="33"/>
      <c r="B39" s="33"/>
      <c r="C39" s="33"/>
      <c r="D39" s="35"/>
      <c r="E39" s="41"/>
      <c r="F39" s="14"/>
      <c r="G39" s="41"/>
      <c r="H39" s="14"/>
      <c r="I39" s="14"/>
      <c r="J39" s="41"/>
      <c r="K39" s="14"/>
      <c r="L39" s="41"/>
      <c r="M39" s="14"/>
      <c r="N39" s="41"/>
      <c r="O39" s="41"/>
      <c r="P39" s="14"/>
      <c r="Q39" s="41"/>
      <c r="R39" s="14"/>
    </row>
    <row r="40" spans="1:18" ht="12.75">
      <c r="A40" s="33"/>
      <c r="B40" s="33" t="s">
        <v>122</v>
      </c>
      <c r="C40" s="45"/>
      <c r="D40" s="47"/>
      <c r="E40" s="36"/>
      <c r="F40" s="40">
        <f>SUM(F11:F35)/1000</f>
        <v>0.3924059999999999</v>
      </c>
      <c r="G40" s="40">
        <f>(G34+G35+G31+G26+G23+G21+G20+G18+G14+G12)/1000</f>
        <v>27.522425</v>
      </c>
      <c r="H40" s="40">
        <f>SUM(H11:H35)/1000</f>
        <v>0.384771</v>
      </c>
      <c r="I40" s="40"/>
      <c r="J40" s="40"/>
      <c r="K40" s="40">
        <f>SUM(K11:K35)/1000</f>
        <v>0.344762</v>
      </c>
      <c r="L40" s="40">
        <f>(L34+L35+L31+L26+L23+L21+L20+L18+L14+L12)/1000</f>
        <v>23.576390000000004</v>
      </c>
      <c r="M40" s="40">
        <f>SUM(M11:M35)/1000</f>
        <v>0.30828700000000003</v>
      </c>
      <c r="N40" s="40"/>
      <c r="O40" s="40"/>
      <c r="P40" s="40">
        <f>SUM(P11:P35)/1000</f>
        <v>0.183953</v>
      </c>
      <c r="Q40" s="40">
        <f>(Q34+Q35+Q31+Q26+Q23+Q21+Q20+Q18+Q14+Q12)/1000</f>
        <v>16.158555</v>
      </c>
      <c r="R40" s="40">
        <f>SUM(R11:R35)/1000</f>
        <v>0.16169149999999996</v>
      </c>
    </row>
    <row r="41" spans="1:18" ht="12.75">
      <c r="A41" s="33"/>
      <c r="B41" s="33" t="s">
        <v>47</v>
      </c>
      <c r="C41" s="45"/>
      <c r="D41" s="12">
        <f>(F41-H41)*2/F41*100</f>
        <v>3.8913778076787744</v>
      </c>
      <c r="E41" s="41"/>
      <c r="F41" s="45">
        <f>F40/F37/0.0283*14/(21-F38)</f>
        <v>0.13359644056432513</v>
      </c>
      <c r="G41" s="45">
        <f>G40/G37/0.0283*14/(21-G38)</f>
        <v>9.370137091936913</v>
      </c>
      <c r="H41" s="45">
        <f>H40/H37/0.0283*14/(21-H38)</f>
        <v>0.13099706944434067</v>
      </c>
      <c r="I41" s="36">
        <f>(K41-M41)*2/K41*100</f>
        <v>21.15952454156782</v>
      </c>
      <c r="J41" s="45"/>
      <c r="K41" s="45">
        <f>K40/K37/0.0283*14/(21-K38)</f>
        <v>0.11737582004820996</v>
      </c>
      <c r="L41" s="45">
        <f>L40/L37/0.0283*14/(21-L38)</f>
        <v>8.026691195742039</v>
      </c>
      <c r="M41" s="45">
        <f>M40/M37/0.0283*14/(21-M38)</f>
        <v>0.10495773732372622</v>
      </c>
      <c r="N41" s="36">
        <f>(P41-R41)*2/P41*100</f>
        <v>24.203465015520333</v>
      </c>
      <c r="O41" s="45"/>
      <c r="P41" s="45">
        <f>P40/P37/0.0283*14/(21-P38)</f>
        <v>0.06262765103267867</v>
      </c>
      <c r="Q41" s="45">
        <f>Q40/Q37/0.0283*14/(21-Q38)</f>
        <v>5.501254906048529</v>
      </c>
      <c r="R41" s="45">
        <f>R40/R37/0.0283*14/(21-R38)</f>
        <v>0.0550486202288104</v>
      </c>
    </row>
    <row r="42" spans="1:18" ht="12.75">
      <c r="A42" s="33"/>
      <c r="B42" s="33"/>
      <c r="C42" s="33"/>
      <c r="D42" s="35"/>
      <c r="E42" s="40"/>
      <c r="F42" s="45"/>
      <c r="G42" s="40"/>
      <c r="H42" s="45"/>
      <c r="I42" s="40"/>
      <c r="J42" s="40"/>
      <c r="K42" s="40"/>
      <c r="L42" s="40"/>
      <c r="M42" s="40"/>
      <c r="N42" s="40"/>
      <c r="O42" s="40"/>
      <c r="P42" s="44"/>
      <c r="Q42" s="40"/>
      <c r="R42" s="44"/>
    </row>
    <row r="43" spans="1:18" ht="12.75">
      <c r="A43" s="41"/>
      <c r="B43" s="33" t="s">
        <v>70</v>
      </c>
      <c r="C43" s="40">
        <f>AVERAGE(H41,M41,R41)</f>
        <v>0.09700114233229244</v>
      </c>
      <c r="D43" s="76"/>
      <c r="E43" s="41"/>
      <c r="F43" s="45"/>
      <c r="G43" s="41"/>
      <c r="H43" s="45"/>
      <c r="I43" s="41"/>
      <c r="J43" s="41"/>
      <c r="K43" s="41"/>
      <c r="L43" s="41"/>
      <c r="M43" s="41"/>
      <c r="N43" s="41"/>
      <c r="O43" s="41"/>
      <c r="P43" s="44"/>
      <c r="Q43" s="41"/>
      <c r="R43" s="44"/>
    </row>
    <row r="44" spans="1:18" ht="12.75">
      <c r="A44" s="33"/>
      <c r="B44" s="33" t="s">
        <v>71</v>
      </c>
      <c r="C44" s="40">
        <f>AVERAGE(G41,L41,Q41)</f>
        <v>7.63269439790916</v>
      </c>
      <c r="D44" s="35"/>
      <c r="E44" s="44"/>
      <c r="F44" s="45"/>
      <c r="G44" s="44"/>
      <c r="H44" s="45"/>
      <c r="I44" s="44"/>
      <c r="J44" s="44"/>
      <c r="K44" s="44"/>
      <c r="L44" s="44"/>
      <c r="M44" s="44"/>
      <c r="N44" s="44"/>
      <c r="O44" s="44"/>
      <c r="P44" s="44"/>
      <c r="Q44" s="44"/>
      <c r="R44" s="44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workbookViewId="0" topLeftCell="B1">
      <selection activeCell="C24" sqref="C24"/>
    </sheetView>
  </sheetViews>
  <sheetFormatPr defaultColWidth="9.140625" defaultRowHeight="12.75"/>
  <cols>
    <col min="1" max="1" width="2.00390625" style="14" hidden="1" customWidth="1"/>
    <col min="2" max="2" width="24.7109375" style="14" customWidth="1"/>
    <col min="3" max="3" width="60.421875" style="14" customWidth="1"/>
    <col min="4" max="16384" width="8.8515625" style="14" customWidth="1"/>
  </cols>
  <sheetData>
    <row r="1" ht="12.75">
      <c r="B1" s="3" t="s">
        <v>88</v>
      </c>
    </row>
    <row r="3" spans="2:3" ht="12.75">
      <c r="B3" s="14" t="s">
        <v>242</v>
      </c>
      <c r="C3" s="15">
        <v>600</v>
      </c>
    </row>
    <row r="4" spans="2:3" ht="12.75">
      <c r="B4" s="14" t="s">
        <v>0</v>
      </c>
      <c r="C4" s="14" t="s">
        <v>237</v>
      </c>
    </row>
    <row r="5" spans="2:3" ht="12.75">
      <c r="B5" s="14" t="s">
        <v>1</v>
      </c>
      <c r="C5" s="14" t="s">
        <v>125</v>
      </c>
    </row>
    <row r="6" ht="12.75">
      <c r="B6" s="14" t="s">
        <v>2</v>
      </c>
    </row>
    <row r="7" spans="2:3" ht="12.75">
      <c r="B7" s="14" t="s">
        <v>3</v>
      </c>
      <c r="C7" s="14" t="s">
        <v>126</v>
      </c>
    </row>
    <row r="8" spans="2:3" ht="12.75">
      <c r="B8" s="14" t="s">
        <v>4</v>
      </c>
      <c r="C8" s="14" t="s">
        <v>127</v>
      </c>
    </row>
    <row r="9" spans="2:3" ht="12.75">
      <c r="B9" s="14" t="s">
        <v>5</v>
      </c>
      <c r="C9" s="14" t="s">
        <v>128</v>
      </c>
    </row>
    <row r="10" spans="2:3" ht="12.75">
      <c r="B10" s="14" t="s">
        <v>6</v>
      </c>
      <c r="C10" s="14" t="s">
        <v>196</v>
      </c>
    </row>
    <row r="11" spans="2:3" ht="12.75">
      <c r="B11" s="14" t="s">
        <v>262</v>
      </c>
      <c r="C11" s="15">
        <v>0</v>
      </c>
    </row>
    <row r="12" spans="2:3" ht="12.75">
      <c r="B12" s="14" t="s">
        <v>236</v>
      </c>
      <c r="C12" s="14" t="s">
        <v>274</v>
      </c>
    </row>
    <row r="13" spans="2:3" ht="12.75">
      <c r="B13" s="14" t="s">
        <v>235</v>
      </c>
      <c r="C13" s="14" t="s">
        <v>129</v>
      </c>
    </row>
    <row r="14" spans="2:3" s="51" customFormat="1" ht="25.5">
      <c r="B14" s="51" t="s">
        <v>76</v>
      </c>
      <c r="C14" s="51" t="s">
        <v>130</v>
      </c>
    </row>
    <row r="15" spans="2:3" s="51" customFormat="1" ht="12.75">
      <c r="B15" s="51" t="s">
        <v>84</v>
      </c>
      <c r="C15" s="53"/>
    </row>
    <row r="16" s="51" customFormat="1" ht="12.75">
      <c r="B16" s="14" t="s">
        <v>89</v>
      </c>
    </row>
    <row r="17" spans="2:3" s="51" customFormat="1" ht="12.75">
      <c r="B17" s="51" t="s">
        <v>253</v>
      </c>
      <c r="C17" s="51" t="s">
        <v>252</v>
      </c>
    </row>
    <row r="18" spans="2:3" s="51" customFormat="1" ht="12.75">
      <c r="B18" s="51" t="s">
        <v>254</v>
      </c>
      <c r="C18" s="51" t="s">
        <v>304</v>
      </c>
    </row>
    <row r="19" spans="2:3" ht="51">
      <c r="B19" s="51" t="s">
        <v>7</v>
      </c>
      <c r="C19" s="51" t="s">
        <v>305</v>
      </c>
    </row>
    <row r="20" spans="2:3" ht="12.75">
      <c r="B20" s="14" t="s">
        <v>81</v>
      </c>
      <c r="C20" s="51" t="s">
        <v>255</v>
      </c>
    </row>
    <row r="21" spans="2:3" ht="12.75">
      <c r="B21" s="14" t="s">
        <v>90</v>
      </c>
      <c r="C21" s="56" t="s">
        <v>194</v>
      </c>
    </row>
    <row r="22" spans="2:3" ht="12.75">
      <c r="B22" s="14" t="s">
        <v>82</v>
      </c>
      <c r="C22" s="51" t="s">
        <v>124</v>
      </c>
    </row>
    <row r="23" ht="12.75" customHeight="1"/>
    <row r="24" spans="2:3" ht="12.75">
      <c r="B24" s="14" t="s">
        <v>8</v>
      </c>
      <c r="C24" s="15"/>
    </row>
    <row r="25" spans="2:3" ht="12.75">
      <c r="B25" s="14" t="s">
        <v>9</v>
      </c>
      <c r="C25" s="55">
        <v>5</v>
      </c>
    </row>
    <row r="26" spans="2:3" ht="12.75">
      <c r="B26" s="14" t="s">
        <v>10</v>
      </c>
      <c r="C26" s="15">
        <v>120</v>
      </c>
    </row>
    <row r="27" spans="2:3" ht="12.75">
      <c r="B27" s="14" t="s">
        <v>85</v>
      </c>
      <c r="C27" s="16">
        <v>9.17095496661772</v>
      </c>
    </row>
    <row r="28" spans="2:3" ht="14.25" customHeight="1">
      <c r="B28" s="14" t="s">
        <v>86</v>
      </c>
      <c r="C28" s="16">
        <v>147.83333333333334</v>
      </c>
    </row>
    <row r="29" ht="12" customHeight="1"/>
    <row r="30" spans="2:3" ht="12.75">
      <c r="B30" s="14" t="s">
        <v>11</v>
      </c>
      <c r="C30" s="14" t="s">
        <v>195</v>
      </c>
    </row>
    <row r="31" ht="12.75">
      <c r="B31" s="14" t="s">
        <v>121</v>
      </c>
    </row>
    <row r="32" ht="14.25" customHeight="1"/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B1">
      <selection activeCell="B2" sqref="B2"/>
    </sheetView>
  </sheetViews>
  <sheetFormatPr defaultColWidth="9.140625" defaultRowHeight="12.75"/>
  <cols>
    <col min="1" max="1" width="1.7109375" style="0" hidden="1" customWidth="1"/>
    <col min="2" max="2" width="21.421875" style="0" customWidth="1"/>
    <col min="3" max="3" width="63.7109375" style="58" customWidth="1"/>
  </cols>
  <sheetData>
    <row r="1" ht="12.75">
      <c r="B1" s="3" t="s">
        <v>234</v>
      </c>
    </row>
    <row r="3" spans="2:12" s="1" customFormat="1" ht="12.75">
      <c r="B3" s="3" t="s">
        <v>204</v>
      </c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2:12" s="1" customFormat="1" ht="12.75">
      <c r="B4" s="3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2:12" s="1" customFormat="1" ht="12.75">
      <c r="B5" s="14" t="s">
        <v>198</v>
      </c>
      <c r="C5" s="56" t="s">
        <v>133</v>
      </c>
      <c r="D5" s="14"/>
      <c r="E5" s="14"/>
      <c r="F5" s="14"/>
      <c r="G5" s="14"/>
      <c r="H5" s="14"/>
      <c r="I5" s="14"/>
      <c r="J5" s="14"/>
      <c r="K5" s="14"/>
      <c r="L5" s="14"/>
    </row>
    <row r="6" spans="2:12" s="1" customFormat="1" ht="12.75">
      <c r="B6" s="14" t="s">
        <v>199</v>
      </c>
      <c r="C6" s="14" t="s">
        <v>131</v>
      </c>
      <c r="D6" s="14"/>
      <c r="E6" s="14"/>
      <c r="F6" s="14"/>
      <c r="G6" s="14"/>
      <c r="H6" s="14"/>
      <c r="I6" s="14"/>
      <c r="J6" s="14"/>
      <c r="K6" s="14"/>
      <c r="L6" s="14"/>
    </row>
    <row r="7" spans="2:12" s="1" customFormat="1" ht="12.75">
      <c r="B7" s="14" t="s">
        <v>200</v>
      </c>
      <c r="C7" s="14" t="s">
        <v>132</v>
      </c>
      <c r="D7" s="14"/>
      <c r="E7" s="14"/>
      <c r="F7" s="14"/>
      <c r="G7" s="14"/>
      <c r="H7" s="14"/>
      <c r="I7" s="14"/>
      <c r="J7" s="14"/>
      <c r="K7" s="14"/>
      <c r="L7" s="14"/>
    </row>
    <row r="8" spans="2:12" s="1" customFormat="1" ht="12.75">
      <c r="B8" s="14" t="s">
        <v>201</v>
      </c>
      <c r="C8" s="17">
        <v>36784</v>
      </c>
      <c r="D8" s="14"/>
      <c r="E8" s="14"/>
      <c r="F8" s="14"/>
      <c r="G8" s="14"/>
      <c r="H8" s="14"/>
      <c r="I8" s="14"/>
      <c r="J8" s="14"/>
      <c r="K8" s="14"/>
      <c r="L8" s="14"/>
    </row>
    <row r="9" spans="2:12" s="1" customFormat="1" ht="12.75">
      <c r="B9" s="14" t="s">
        <v>256</v>
      </c>
      <c r="C9" s="71">
        <v>36784</v>
      </c>
      <c r="D9" s="14"/>
      <c r="E9" s="14"/>
      <c r="F9" s="14"/>
      <c r="G9" s="14"/>
      <c r="H9" s="14"/>
      <c r="I9" s="14"/>
      <c r="J9" s="14"/>
      <c r="K9" s="14"/>
      <c r="L9" s="14"/>
    </row>
    <row r="10" spans="2:12" s="1" customFormat="1" ht="12.75">
      <c r="B10" s="14" t="s">
        <v>202</v>
      </c>
      <c r="C10" s="14" t="s">
        <v>290</v>
      </c>
      <c r="D10" s="14"/>
      <c r="E10" s="14"/>
      <c r="F10" s="14"/>
      <c r="G10" s="14"/>
      <c r="H10" s="14"/>
      <c r="I10" s="14"/>
      <c r="J10" s="14"/>
      <c r="K10" s="14"/>
      <c r="L10" s="14"/>
    </row>
    <row r="11" spans="2:12" s="1" customFormat="1" ht="12.75">
      <c r="B11" s="14" t="s">
        <v>203</v>
      </c>
      <c r="C11" s="17" t="s">
        <v>134</v>
      </c>
      <c r="D11" s="14"/>
      <c r="E11" s="14"/>
      <c r="F11" s="14"/>
      <c r="G11" s="14"/>
      <c r="H11" s="14"/>
      <c r="I11" s="14"/>
      <c r="J11" s="14"/>
      <c r="K11" s="14"/>
      <c r="L11" s="14"/>
    </row>
    <row r="12" spans="2:12" s="1" customFormat="1" ht="12.75">
      <c r="B12" s="14"/>
      <c r="C12" s="17"/>
      <c r="D12" s="14"/>
      <c r="E12" s="14"/>
      <c r="F12" s="14"/>
      <c r="G12" s="14"/>
      <c r="H12" s="14"/>
      <c r="I12" s="14"/>
      <c r="J12" s="14"/>
      <c r="K12" s="14"/>
      <c r="L12" s="14"/>
    </row>
    <row r="13" spans="2:12" s="1" customFormat="1" ht="12.75">
      <c r="B13" s="3" t="s">
        <v>205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2:12" s="1" customFormat="1" ht="12.75">
      <c r="B14" s="3"/>
      <c r="C14" s="14"/>
      <c r="D14" s="14"/>
      <c r="E14" s="14"/>
      <c r="F14" s="14"/>
      <c r="G14" s="14"/>
      <c r="H14" s="14"/>
      <c r="I14" s="14"/>
      <c r="J14" s="14"/>
      <c r="K14" s="14"/>
      <c r="L14" s="14"/>
    </row>
    <row r="15" spans="2:12" s="1" customFormat="1" ht="12.75">
      <c r="B15" s="14" t="s">
        <v>198</v>
      </c>
      <c r="C15" s="56" t="s">
        <v>197</v>
      </c>
      <c r="D15" s="14"/>
      <c r="E15" s="14"/>
      <c r="F15" s="14"/>
      <c r="G15" s="14"/>
      <c r="H15" s="14"/>
      <c r="I15" s="14"/>
      <c r="J15" s="14"/>
      <c r="K15" s="14"/>
      <c r="L15" s="14"/>
    </row>
    <row r="16" spans="2:12" s="1" customFormat="1" ht="12.75">
      <c r="B16" s="14" t="s">
        <v>199</v>
      </c>
      <c r="C16" s="14" t="s">
        <v>131</v>
      </c>
      <c r="D16" s="14"/>
      <c r="E16" s="14"/>
      <c r="F16" s="14"/>
      <c r="G16" s="14"/>
      <c r="H16" s="14"/>
      <c r="I16" s="14"/>
      <c r="J16" s="14"/>
      <c r="K16" s="14"/>
      <c r="L16" s="14"/>
    </row>
    <row r="17" spans="2:12" s="1" customFormat="1" ht="12.75">
      <c r="B17" s="14" t="s">
        <v>200</v>
      </c>
      <c r="C17" s="14" t="s">
        <v>132</v>
      </c>
      <c r="D17" s="14"/>
      <c r="E17" s="14"/>
      <c r="F17" s="14"/>
      <c r="G17" s="14"/>
      <c r="H17" s="14"/>
      <c r="I17" s="14"/>
      <c r="J17" s="14"/>
      <c r="K17" s="14"/>
      <c r="L17" s="14"/>
    </row>
    <row r="18" spans="2:12" s="1" customFormat="1" ht="12.75">
      <c r="B18" s="14" t="s">
        <v>201</v>
      </c>
      <c r="C18" s="17" t="s">
        <v>152</v>
      </c>
      <c r="D18" s="14"/>
      <c r="E18" s="14"/>
      <c r="F18" s="14"/>
      <c r="G18" s="14"/>
      <c r="H18" s="14"/>
      <c r="I18" s="14"/>
      <c r="J18" s="14"/>
      <c r="K18" s="14"/>
      <c r="L18" s="14"/>
    </row>
    <row r="19" spans="2:12" s="1" customFormat="1" ht="12.75">
      <c r="B19" s="14" t="s">
        <v>256</v>
      </c>
      <c r="C19" s="71">
        <v>36781</v>
      </c>
      <c r="D19" s="14"/>
      <c r="E19" s="14"/>
      <c r="F19" s="14"/>
      <c r="G19" s="14"/>
      <c r="H19" s="14"/>
      <c r="I19" s="14"/>
      <c r="J19" s="14"/>
      <c r="K19" s="14"/>
      <c r="L19" s="14"/>
    </row>
    <row r="20" spans="2:12" s="1" customFormat="1" ht="12.75">
      <c r="B20" s="14" t="s">
        <v>202</v>
      </c>
      <c r="C20" s="52" t="s">
        <v>153</v>
      </c>
      <c r="D20" s="14"/>
      <c r="E20" s="14"/>
      <c r="F20" s="14"/>
      <c r="G20" s="14"/>
      <c r="H20" s="14"/>
      <c r="I20" s="14"/>
      <c r="J20" s="14"/>
      <c r="K20" s="14"/>
      <c r="L20" s="14"/>
    </row>
    <row r="21" spans="2:12" s="1" customFormat="1" ht="12.75">
      <c r="B21" s="14" t="s">
        <v>203</v>
      </c>
      <c r="C21" s="51" t="s">
        <v>193</v>
      </c>
      <c r="D21" s="14"/>
      <c r="E21" s="14"/>
      <c r="F21" s="14"/>
      <c r="G21" s="14"/>
      <c r="H21" s="14"/>
      <c r="I21" s="14"/>
      <c r="J21" s="14"/>
      <c r="K21" s="14"/>
      <c r="L21" s="14"/>
    </row>
    <row r="23" ht="12.75">
      <c r="B23" s="3" t="s">
        <v>135</v>
      </c>
    </row>
    <row r="24" ht="12.75">
      <c r="B24" s="3"/>
    </row>
    <row r="25" spans="2:3" ht="25.5">
      <c r="B25" s="59" t="s">
        <v>198</v>
      </c>
      <c r="C25" s="60" t="s">
        <v>291</v>
      </c>
    </row>
    <row r="26" spans="2:3" ht="12.75">
      <c r="B26" t="s">
        <v>199</v>
      </c>
      <c r="C26" s="58" t="s">
        <v>206</v>
      </c>
    </row>
    <row r="27" spans="2:3" ht="12.75">
      <c r="B27" t="s">
        <v>200</v>
      </c>
      <c r="C27" s="58" t="s">
        <v>206</v>
      </c>
    </row>
    <row r="28" spans="1:3" ht="12.75">
      <c r="A28" t="s">
        <v>135</v>
      </c>
      <c r="B28" t="s">
        <v>207</v>
      </c>
      <c r="C28" s="58" t="s">
        <v>257</v>
      </c>
    </row>
    <row r="29" ht="12.75">
      <c r="B29" t="s">
        <v>201</v>
      </c>
    </row>
    <row r="30" spans="2:3" ht="12.75">
      <c r="B30" t="s">
        <v>256</v>
      </c>
      <c r="C30" s="72">
        <v>32470</v>
      </c>
    </row>
    <row r="32" ht="12.75">
      <c r="B32" s="3" t="s">
        <v>169</v>
      </c>
    </row>
    <row r="33" ht="12.75">
      <c r="B33" s="3"/>
    </row>
    <row r="34" spans="2:3" ht="25.5">
      <c r="B34" s="59" t="s">
        <v>198</v>
      </c>
      <c r="C34" s="60" t="s">
        <v>291</v>
      </c>
    </row>
    <row r="35" spans="2:3" ht="12.75">
      <c r="B35" t="s">
        <v>199</v>
      </c>
      <c r="C35" s="58" t="s">
        <v>206</v>
      </c>
    </row>
    <row r="36" spans="2:3" ht="12.75">
      <c r="B36" t="s">
        <v>200</v>
      </c>
      <c r="C36" s="58" t="s">
        <v>206</v>
      </c>
    </row>
    <row r="37" spans="1:3" ht="12.75">
      <c r="A37" t="s">
        <v>169</v>
      </c>
      <c r="B37" t="s">
        <v>207</v>
      </c>
      <c r="C37" s="58" t="s">
        <v>292</v>
      </c>
    </row>
    <row r="38" ht="12.75">
      <c r="B38" t="s">
        <v>201</v>
      </c>
    </row>
    <row r="39" spans="2:3" ht="12.75">
      <c r="B39" t="s">
        <v>256</v>
      </c>
      <c r="C39" s="72">
        <v>32470</v>
      </c>
    </row>
    <row r="41" ht="12.75">
      <c r="B41" s="3" t="s">
        <v>208</v>
      </c>
    </row>
    <row r="43" spans="2:3" ht="38.25">
      <c r="B43" s="59" t="s">
        <v>198</v>
      </c>
      <c r="C43" s="73" t="s">
        <v>273</v>
      </c>
    </row>
    <row r="44" spans="2:3" ht="12.75">
      <c r="B44" t="s">
        <v>199</v>
      </c>
      <c r="C44" s="58" t="s">
        <v>272</v>
      </c>
    </row>
    <row r="45" ht="12.75">
      <c r="B45" t="s">
        <v>200</v>
      </c>
    </row>
    <row r="46" spans="1:3" ht="12.75">
      <c r="A46" t="s">
        <v>208</v>
      </c>
      <c r="B46" t="s">
        <v>207</v>
      </c>
      <c r="C46" s="58" t="s">
        <v>293</v>
      </c>
    </row>
    <row r="47" spans="1:3" ht="12.75">
      <c r="A47" t="s">
        <v>208</v>
      </c>
      <c r="B47" t="s">
        <v>201</v>
      </c>
      <c r="C47" s="58" t="s">
        <v>209</v>
      </c>
    </row>
    <row r="48" spans="1:3" ht="12.75">
      <c r="A48" t="s">
        <v>208</v>
      </c>
      <c r="B48" t="s">
        <v>256</v>
      </c>
      <c r="C48" s="72">
        <v>34893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0"/>
  <sheetViews>
    <sheetView zoomScale="75" zoomScaleNormal="75" workbookViewId="0" topLeftCell="B1">
      <selection activeCell="Q33" sqref="Q33"/>
    </sheetView>
  </sheetViews>
  <sheetFormatPr defaultColWidth="9.140625" defaultRowHeight="12.75"/>
  <cols>
    <col min="1" max="1" width="0.71875" style="19" hidden="1" customWidth="1"/>
    <col min="2" max="2" width="21.140625" style="19" customWidth="1"/>
    <col min="3" max="3" width="13.00390625" style="19" customWidth="1"/>
    <col min="4" max="4" width="8.8515625" style="5" customWidth="1"/>
    <col min="5" max="5" width="6.140625" style="5" customWidth="1"/>
    <col min="6" max="6" width="3.140625" style="5" customWidth="1"/>
    <col min="7" max="7" width="11.28125" style="19" customWidth="1"/>
    <col min="8" max="8" width="4.28125" style="19" customWidth="1"/>
    <col min="9" max="9" width="11.28125" style="20" customWidth="1"/>
    <col min="10" max="10" width="4.140625" style="19" customWidth="1"/>
    <col min="11" max="11" width="11.57421875" style="19" customWidth="1"/>
    <col min="12" max="12" width="2.57421875" style="19" customWidth="1"/>
    <col min="13" max="13" width="10.7109375" style="19" customWidth="1"/>
    <col min="14" max="14" width="2.140625" style="19" customWidth="1"/>
    <col min="15" max="16384" width="8.8515625" style="19" customWidth="1"/>
  </cols>
  <sheetData>
    <row r="1" spans="2:3" ht="12.75">
      <c r="B1" s="18" t="s">
        <v>238</v>
      </c>
      <c r="C1" s="18"/>
    </row>
    <row r="2" spans="2:12" ht="12.75">
      <c r="B2" s="21"/>
      <c r="C2" s="21"/>
      <c r="G2" s="21"/>
      <c r="H2" s="21"/>
      <c r="I2" s="22"/>
      <c r="J2" s="21"/>
      <c r="K2" s="21"/>
      <c r="L2" s="21"/>
    </row>
    <row r="3" spans="2:5" ht="12.75">
      <c r="B3" s="14"/>
      <c r="C3" s="14" t="s">
        <v>104</v>
      </c>
      <c r="D3" s="5" t="s">
        <v>12</v>
      </c>
      <c r="E3" s="5" t="s">
        <v>77</v>
      </c>
    </row>
    <row r="4" spans="2:12" ht="12.75">
      <c r="B4" s="14"/>
      <c r="C4" s="14"/>
      <c r="G4" s="21"/>
      <c r="H4" s="21"/>
      <c r="I4" s="22"/>
      <c r="J4" s="21"/>
      <c r="K4" s="21"/>
      <c r="L4" s="21"/>
    </row>
    <row r="5" spans="2:12" ht="12.75">
      <c r="B5" s="14"/>
      <c r="C5" s="14"/>
      <c r="G5" s="21"/>
      <c r="H5" s="21"/>
      <c r="I5" s="22"/>
      <c r="J5" s="21"/>
      <c r="K5" s="21"/>
      <c r="L5" s="21"/>
    </row>
    <row r="6" spans="1:13" ht="12.75">
      <c r="A6" s="19">
        <v>1</v>
      </c>
      <c r="B6" s="23" t="s">
        <v>204</v>
      </c>
      <c r="C6" s="23" t="s">
        <v>105</v>
      </c>
      <c r="G6" s="21" t="s">
        <v>210</v>
      </c>
      <c r="H6" s="21"/>
      <c r="I6" s="22" t="s">
        <v>211</v>
      </c>
      <c r="J6" s="21"/>
      <c r="K6" s="21" t="s">
        <v>212</v>
      </c>
      <c r="L6" s="21"/>
      <c r="M6" s="19" t="s">
        <v>48</v>
      </c>
    </row>
    <row r="7" spans="2:12" ht="12.75">
      <c r="B7" s="5"/>
      <c r="C7" s="5"/>
      <c r="D7" s="14"/>
      <c r="E7" s="14"/>
      <c r="F7" s="14"/>
      <c r="G7" s="14"/>
      <c r="H7" s="14"/>
      <c r="I7" s="24"/>
      <c r="J7" s="14"/>
      <c r="K7" s="14"/>
      <c r="L7" s="21"/>
    </row>
    <row r="8" spans="2:13" ht="12.75">
      <c r="B8" s="5" t="s">
        <v>112</v>
      </c>
      <c r="C8" s="5"/>
      <c r="D8" s="5" t="s">
        <v>16</v>
      </c>
      <c r="E8" s="5" t="s">
        <v>136</v>
      </c>
      <c r="G8" s="26">
        <v>2.66</v>
      </c>
      <c r="H8" s="26"/>
      <c r="I8" s="27">
        <v>2.79</v>
      </c>
      <c r="J8" s="26"/>
      <c r="K8" s="26">
        <v>2.57</v>
      </c>
      <c r="L8" s="21"/>
      <c r="M8" s="29">
        <f>AVERAGE(K8,I8,G8)</f>
        <v>2.6733333333333333</v>
      </c>
    </row>
    <row r="9" spans="2:13" ht="12.75">
      <c r="B9" s="5" t="s">
        <v>137</v>
      </c>
      <c r="C9" s="5"/>
      <c r="D9" s="5" t="s">
        <v>16</v>
      </c>
      <c r="E9" s="5" t="s">
        <v>136</v>
      </c>
      <c r="G9" s="26">
        <v>3.48</v>
      </c>
      <c r="H9" s="26"/>
      <c r="I9" s="27">
        <v>3.57</v>
      </c>
      <c r="J9" s="26"/>
      <c r="K9" s="26">
        <v>3.11</v>
      </c>
      <c r="L9" s="21"/>
      <c r="M9" s="29">
        <f>AVERAGE(K9,I9,G9)</f>
        <v>3.3866666666666667</v>
      </c>
    </row>
    <row r="10" spans="2:13" ht="12.75">
      <c r="B10" s="5" t="s">
        <v>138</v>
      </c>
      <c r="C10" s="5"/>
      <c r="D10" s="5" t="s">
        <v>16</v>
      </c>
      <c r="E10" s="5" t="s">
        <v>136</v>
      </c>
      <c r="F10" s="5" t="s">
        <v>29</v>
      </c>
      <c r="G10" s="26">
        <v>0.1</v>
      </c>
      <c r="H10" s="26" t="s">
        <v>29</v>
      </c>
      <c r="I10" s="27">
        <v>0.1</v>
      </c>
      <c r="J10" s="26"/>
      <c r="K10" s="26">
        <v>0.1</v>
      </c>
      <c r="L10" s="21"/>
      <c r="M10" s="29">
        <f>AVERAGE(K10,I10,G10)</f>
        <v>0.10000000000000002</v>
      </c>
    </row>
    <row r="11" spans="2:13" ht="12.75">
      <c r="B11" s="5"/>
      <c r="C11" s="5"/>
      <c r="G11" s="26"/>
      <c r="H11" s="26"/>
      <c r="I11" s="27"/>
      <c r="J11" s="26"/>
      <c r="K11" s="26"/>
      <c r="L11" s="21"/>
      <c r="M11" s="28"/>
    </row>
    <row r="12" spans="2:13" ht="12.75">
      <c r="B12" s="5" t="s">
        <v>83</v>
      </c>
      <c r="C12" s="5" t="s">
        <v>139</v>
      </c>
      <c r="G12" s="26"/>
      <c r="H12" s="26"/>
      <c r="I12" s="27"/>
      <c r="J12" s="26"/>
      <c r="K12" s="26"/>
      <c r="L12" s="21"/>
      <c r="M12" s="28"/>
    </row>
    <row r="13" spans="2:13" ht="12.75">
      <c r="B13" s="5" t="s">
        <v>107</v>
      </c>
      <c r="C13" s="5"/>
      <c r="D13" s="5" t="s">
        <v>57</v>
      </c>
      <c r="G13" s="26">
        <v>59.3</v>
      </c>
      <c r="H13" s="26"/>
      <c r="I13" s="27" t="s">
        <v>141</v>
      </c>
      <c r="J13" s="26"/>
      <c r="K13" s="26">
        <v>59.7</v>
      </c>
      <c r="L13" s="21"/>
      <c r="M13" s="28"/>
    </row>
    <row r="14" spans="2:13" ht="12.75">
      <c r="B14" s="5" t="s">
        <v>108</v>
      </c>
      <c r="C14" s="5" t="s">
        <v>258</v>
      </c>
      <c r="D14" s="5" t="s">
        <v>57</v>
      </c>
      <c r="F14" s="5" t="s">
        <v>29</v>
      </c>
      <c r="G14" s="30">
        <v>3.46E-05</v>
      </c>
      <c r="H14" s="26" t="s">
        <v>29</v>
      </c>
      <c r="I14" s="30">
        <v>3.27E-05</v>
      </c>
      <c r="J14" s="26" t="s">
        <v>29</v>
      </c>
      <c r="K14" s="30">
        <v>3.32E-05</v>
      </c>
      <c r="L14" s="21"/>
      <c r="M14" s="31"/>
    </row>
    <row r="15" spans="2:13" ht="12.75">
      <c r="B15" s="5" t="s">
        <v>56</v>
      </c>
      <c r="C15" s="5" t="s">
        <v>258</v>
      </c>
      <c r="D15" s="5" t="s">
        <v>18</v>
      </c>
      <c r="G15" s="26">
        <v>99.999942</v>
      </c>
      <c r="H15" s="26"/>
      <c r="I15" s="27">
        <v>99.999945</v>
      </c>
      <c r="J15" s="26"/>
      <c r="K15" s="26">
        <v>99.999944</v>
      </c>
      <c r="L15" s="21"/>
      <c r="M15" s="28"/>
    </row>
    <row r="16" spans="2:13" ht="12.75">
      <c r="B16" s="5"/>
      <c r="C16" s="5"/>
      <c r="G16" s="26"/>
      <c r="H16" s="26"/>
      <c r="I16" s="27"/>
      <c r="J16" s="26"/>
      <c r="K16" s="26"/>
      <c r="L16" s="21"/>
      <c r="M16" s="28"/>
    </row>
    <row r="17" spans="2:13" ht="12.75">
      <c r="B17" s="5" t="s">
        <v>83</v>
      </c>
      <c r="C17" s="5" t="s">
        <v>140</v>
      </c>
      <c r="G17" s="26"/>
      <c r="H17" s="26"/>
      <c r="I17" s="27"/>
      <c r="J17" s="26"/>
      <c r="K17" s="26"/>
      <c r="L17" s="21"/>
      <c r="M17" s="28"/>
    </row>
    <row r="18" spans="2:13" ht="12.75">
      <c r="B18" s="5" t="s">
        <v>107</v>
      </c>
      <c r="C18" s="5"/>
      <c r="D18" s="5" t="s">
        <v>57</v>
      </c>
      <c r="G18" s="26">
        <v>60</v>
      </c>
      <c r="H18" s="26"/>
      <c r="I18" s="27">
        <v>60</v>
      </c>
      <c r="J18" s="26"/>
      <c r="K18" s="26">
        <v>60</v>
      </c>
      <c r="L18" s="21"/>
      <c r="M18" s="28"/>
    </row>
    <row r="19" spans="2:13" ht="12.75">
      <c r="B19" s="5" t="s">
        <v>108</v>
      </c>
      <c r="C19" s="5" t="s">
        <v>258</v>
      </c>
      <c r="D19" s="5" t="s">
        <v>57</v>
      </c>
      <c r="F19" s="5" t="s">
        <v>29</v>
      </c>
      <c r="G19" s="30">
        <v>3.46E-05</v>
      </c>
      <c r="H19" s="26" t="s">
        <v>29</v>
      </c>
      <c r="I19" s="30">
        <v>3.27E-05</v>
      </c>
      <c r="J19" s="26" t="s">
        <v>29</v>
      </c>
      <c r="K19" s="30">
        <v>3.32E-05</v>
      </c>
      <c r="L19" s="21"/>
      <c r="M19" s="31"/>
    </row>
    <row r="20" spans="2:13" ht="12.75">
      <c r="B20" s="5" t="s">
        <v>56</v>
      </c>
      <c r="C20" s="5" t="s">
        <v>258</v>
      </c>
      <c r="D20" s="5" t="s">
        <v>18</v>
      </c>
      <c r="G20" s="26">
        <v>99.999942</v>
      </c>
      <c r="H20" s="26"/>
      <c r="I20" s="27">
        <v>99.999945</v>
      </c>
      <c r="J20" s="26"/>
      <c r="K20" s="26">
        <v>99.999945</v>
      </c>
      <c r="L20" s="26"/>
      <c r="M20" s="27"/>
    </row>
    <row r="21" spans="2:13" ht="12.75">
      <c r="B21" s="5"/>
      <c r="C21" s="5"/>
      <c r="G21" s="26"/>
      <c r="H21" s="26"/>
      <c r="I21" s="27"/>
      <c r="J21" s="26"/>
      <c r="K21" s="26"/>
      <c r="L21" s="21"/>
      <c r="M21" s="28"/>
    </row>
    <row r="22" spans="2:13" ht="12.75">
      <c r="B22" s="5" t="s">
        <v>114</v>
      </c>
      <c r="C22" s="5" t="s">
        <v>56</v>
      </c>
      <c r="D22" s="5" t="s">
        <v>258</v>
      </c>
      <c r="G22" s="26"/>
      <c r="H22" s="26"/>
      <c r="I22" s="27"/>
      <c r="J22" s="26"/>
      <c r="K22" s="26"/>
      <c r="M22" s="29"/>
    </row>
    <row r="23" spans="2:13" ht="12.75">
      <c r="B23" s="5" t="s">
        <v>92</v>
      </c>
      <c r="C23" s="5"/>
      <c r="D23" s="5" t="s">
        <v>17</v>
      </c>
      <c r="G23" s="26">
        <v>37911</v>
      </c>
      <c r="H23" s="26"/>
      <c r="I23" s="27">
        <v>35961</v>
      </c>
      <c r="J23" s="26"/>
      <c r="K23" s="26">
        <v>37596</v>
      </c>
      <c r="M23" s="28">
        <f>AVERAGE(K23,G23,I23)</f>
        <v>37156</v>
      </c>
    </row>
    <row r="24" spans="2:13" ht="12.75">
      <c r="B24" s="5" t="s">
        <v>109</v>
      </c>
      <c r="C24" s="5"/>
      <c r="D24" s="5" t="s">
        <v>18</v>
      </c>
      <c r="G24" s="26">
        <v>14.02</v>
      </c>
      <c r="H24" s="26"/>
      <c r="I24" s="27">
        <v>14.05</v>
      </c>
      <c r="J24" s="26"/>
      <c r="K24" s="26">
        <v>13.9</v>
      </c>
      <c r="M24" s="29">
        <f>AVERAGE(K24,G24,I24)</f>
        <v>13.99</v>
      </c>
    </row>
    <row r="25" spans="2:13" ht="12.75">
      <c r="B25" s="5" t="s">
        <v>110</v>
      </c>
      <c r="C25" s="5"/>
      <c r="D25" s="5" t="s">
        <v>18</v>
      </c>
      <c r="G25" s="26"/>
      <c r="H25" s="26"/>
      <c r="I25" s="27"/>
      <c r="J25" s="26"/>
      <c r="K25" s="26"/>
      <c r="M25" s="29"/>
    </row>
    <row r="26" spans="2:13" ht="12.75">
      <c r="B26" s="5" t="s">
        <v>91</v>
      </c>
      <c r="C26" s="5"/>
      <c r="D26" s="5" t="s">
        <v>19</v>
      </c>
      <c r="G26" s="26"/>
      <c r="H26" s="26"/>
      <c r="I26" s="27"/>
      <c r="J26" s="26"/>
      <c r="K26" s="26"/>
      <c r="M26" s="29"/>
    </row>
    <row r="27" spans="2:13" ht="12.75">
      <c r="B27" s="5"/>
      <c r="C27" s="5"/>
      <c r="G27" s="26"/>
      <c r="H27" s="26"/>
      <c r="I27" s="27"/>
      <c r="J27" s="26"/>
      <c r="K27" s="26"/>
      <c r="L27" s="21"/>
      <c r="M27" s="28"/>
    </row>
    <row r="28" spans="2:13" ht="12.75">
      <c r="B28" s="5" t="s">
        <v>112</v>
      </c>
      <c r="C28" s="5" t="s">
        <v>258</v>
      </c>
      <c r="D28" s="5" t="s">
        <v>16</v>
      </c>
      <c r="E28" s="5" t="s">
        <v>15</v>
      </c>
      <c r="G28" s="6">
        <f>G8*(21-7)/(21-G$24)</f>
        <v>5.3352435530085955</v>
      </c>
      <c r="H28" s="6"/>
      <c r="I28" s="6">
        <f>I8*(21-7)/(21-I$24)</f>
        <v>5.620143884892087</v>
      </c>
      <c r="J28" s="6"/>
      <c r="K28" s="6">
        <f>K8*(21-7)/(21-K$24)</f>
        <v>5.067605633802817</v>
      </c>
      <c r="L28" s="6"/>
      <c r="M28" s="25">
        <f>AVERAGE(K28,I28,G28)</f>
        <v>5.340997690567833</v>
      </c>
    </row>
    <row r="29" spans="2:13" ht="12.75">
      <c r="B29" s="5" t="s">
        <v>137</v>
      </c>
      <c r="C29" s="5" t="s">
        <v>258</v>
      </c>
      <c r="D29" s="5" t="s">
        <v>16</v>
      </c>
      <c r="E29" s="5" t="s">
        <v>15</v>
      </c>
      <c r="G29" s="6">
        <f aca="true" t="shared" si="0" ref="G29:I30">G9*(21-7)/(21-G$24)</f>
        <v>6.9799426934097415</v>
      </c>
      <c r="H29" s="6"/>
      <c r="I29" s="6">
        <f t="shared" si="0"/>
        <v>7.19136690647482</v>
      </c>
      <c r="J29" s="6"/>
      <c r="K29" s="6">
        <f>K9*(21-7)/(21-K$24)</f>
        <v>6.132394366197183</v>
      </c>
      <c r="L29" s="6"/>
      <c r="M29" s="25">
        <f>AVERAGE(K29,I29,G29)</f>
        <v>6.767901322027249</v>
      </c>
    </row>
    <row r="30" spans="2:13" ht="12.75">
      <c r="B30" s="5" t="s">
        <v>138</v>
      </c>
      <c r="C30" s="5" t="s">
        <v>258</v>
      </c>
      <c r="D30" s="5" t="s">
        <v>16</v>
      </c>
      <c r="E30" s="5" t="s">
        <v>15</v>
      </c>
      <c r="G30" s="6">
        <f t="shared" si="0"/>
        <v>0.2005730659025788</v>
      </c>
      <c r="H30" s="7"/>
      <c r="I30" s="6">
        <f t="shared" si="0"/>
        <v>0.20143884892086336</v>
      </c>
      <c r="J30" s="7"/>
      <c r="K30" s="6">
        <f>K10*(21-7)/(21-K$24)</f>
        <v>0.1971830985915493</v>
      </c>
      <c r="L30" s="7"/>
      <c r="M30" s="25">
        <f>AVERAGE(K30,I30,G30)</f>
        <v>0.19973167113833049</v>
      </c>
    </row>
    <row r="31" spans="2:13" ht="12.75">
      <c r="B31" s="5"/>
      <c r="C31" s="5"/>
      <c r="G31" s="7"/>
      <c r="H31" s="7"/>
      <c r="I31" s="7"/>
      <c r="J31" s="7"/>
      <c r="K31" s="7"/>
      <c r="L31" s="7"/>
      <c r="M31" s="25"/>
    </row>
    <row r="32" spans="1:13" ht="12.75">
      <c r="A32" s="19">
        <v>3</v>
      </c>
      <c r="B32" s="23" t="s">
        <v>205</v>
      </c>
      <c r="C32" s="23" t="s">
        <v>106</v>
      </c>
      <c r="G32" s="21" t="s">
        <v>210</v>
      </c>
      <c r="H32" s="21"/>
      <c r="I32" s="22" t="s">
        <v>211</v>
      </c>
      <c r="J32" s="21"/>
      <c r="K32" s="21" t="s">
        <v>212</v>
      </c>
      <c r="L32" s="21"/>
      <c r="M32" s="19" t="s">
        <v>48</v>
      </c>
    </row>
    <row r="33" spans="2:13" ht="12.75">
      <c r="B33" s="23"/>
      <c r="C33" s="23"/>
      <c r="G33" s="21"/>
      <c r="H33" s="21"/>
      <c r="I33" s="22"/>
      <c r="J33" s="21"/>
      <c r="K33" s="21"/>
      <c r="L33" s="21"/>
      <c r="M33" s="29"/>
    </row>
    <row r="34" spans="2:13" ht="12.75">
      <c r="B34" s="5" t="s">
        <v>112</v>
      </c>
      <c r="C34" s="5"/>
      <c r="D34" s="5" t="s">
        <v>16</v>
      </c>
      <c r="E34" s="5" t="s">
        <v>136</v>
      </c>
      <c r="G34" s="26">
        <v>3.83</v>
      </c>
      <c r="H34" s="26"/>
      <c r="I34" s="27">
        <v>3.77</v>
      </c>
      <c r="J34" s="26"/>
      <c r="K34" s="26">
        <v>3.33</v>
      </c>
      <c r="L34" s="26"/>
      <c r="M34" s="7"/>
    </row>
    <row r="35" spans="2:13" ht="12.75">
      <c r="B35" s="5" t="s">
        <v>137</v>
      </c>
      <c r="C35" s="5"/>
      <c r="D35" s="5" t="s">
        <v>16</v>
      </c>
      <c r="E35" s="5" t="s">
        <v>136</v>
      </c>
      <c r="G35" s="26">
        <v>7.65</v>
      </c>
      <c r="H35" s="26"/>
      <c r="I35" s="27">
        <v>4.62</v>
      </c>
      <c r="J35" s="26"/>
      <c r="K35" s="26">
        <v>3.72</v>
      </c>
      <c r="L35" s="26"/>
      <c r="M35" s="7"/>
    </row>
    <row r="36" spans="2:13" ht="12.75">
      <c r="B36" s="5"/>
      <c r="C36" s="5"/>
      <c r="G36" s="26"/>
      <c r="H36" s="26"/>
      <c r="I36" s="27"/>
      <c r="J36" s="26"/>
      <c r="K36" s="26"/>
      <c r="L36" s="26"/>
      <c r="M36" s="7"/>
    </row>
    <row r="37" spans="2:13" ht="12.75">
      <c r="B37" s="5" t="s">
        <v>154</v>
      </c>
      <c r="C37" s="5"/>
      <c r="D37" s="5" t="s">
        <v>50</v>
      </c>
      <c r="G37" s="26">
        <v>1.71</v>
      </c>
      <c r="H37" s="26" t="s">
        <v>29</v>
      </c>
      <c r="I37" s="27">
        <v>2.1</v>
      </c>
      <c r="J37" s="26" t="s">
        <v>29</v>
      </c>
      <c r="K37" s="26">
        <v>1.8</v>
      </c>
      <c r="L37" s="26"/>
      <c r="M37" s="7"/>
    </row>
    <row r="38" spans="2:13" ht="12.75">
      <c r="B38" s="5" t="s">
        <v>94</v>
      </c>
      <c r="C38" s="5"/>
      <c r="D38" s="5" t="s">
        <v>50</v>
      </c>
      <c r="F38" s="5" t="s">
        <v>29</v>
      </c>
      <c r="G38" s="26">
        <v>0.098</v>
      </c>
      <c r="H38" s="26" t="s">
        <v>29</v>
      </c>
      <c r="I38" s="27">
        <v>0.16</v>
      </c>
      <c r="J38" s="26" t="s">
        <v>29</v>
      </c>
      <c r="K38" s="26">
        <v>0.1</v>
      </c>
      <c r="L38" s="26"/>
      <c r="M38" s="7"/>
    </row>
    <row r="39" spans="2:13" ht="12.75">
      <c r="B39" s="5" t="s">
        <v>95</v>
      </c>
      <c r="C39" s="5"/>
      <c r="D39" s="5" t="s">
        <v>50</v>
      </c>
      <c r="F39" s="5" t="s">
        <v>29</v>
      </c>
      <c r="G39" s="26">
        <v>0.023</v>
      </c>
      <c r="H39" s="26" t="s">
        <v>29</v>
      </c>
      <c r="I39" s="27">
        <v>0.054</v>
      </c>
      <c r="J39" s="26" t="s">
        <v>29</v>
      </c>
      <c r="K39" s="26">
        <v>0.029</v>
      </c>
      <c r="L39" s="26"/>
      <c r="M39" s="7"/>
    </row>
    <row r="40" spans="2:13" ht="12.75">
      <c r="B40" s="5" t="s">
        <v>96</v>
      </c>
      <c r="C40" s="5"/>
      <c r="D40" s="5" t="s">
        <v>50</v>
      </c>
      <c r="G40" s="26">
        <v>0.0607</v>
      </c>
      <c r="H40" s="26"/>
      <c r="I40" s="27">
        <v>0.0926</v>
      </c>
      <c r="J40" s="26" t="s">
        <v>29</v>
      </c>
      <c r="K40" s="26">
        <v>1.8</v>
      </c>
      <c r="L40" s="26"/>
      <c r="M40" s="7"/>
    </row>
    <row r="41" spans="2:13" ht="12.75">
      <c r="B41" s="5" t="s">
        <v>97</v>
      </c>
      <c r="C41" s="5"/>
      <c r="D41" s="5" t="s">
        <v>50</v>
      </c>
      <c r="F41" s="5" t="s">
        <v>29</v>
      </c>
      <c r="G41" s="26">
        <v>0.00055</v>
      </c>
      <c r="H41" s="26" t="s">
        <v>29</v>
      </c>
      <c r="I41" s="27">
        <v>0.0018</v>
      </c>
      <c r="J41" s="26" t="s">
        <v>29</v>
      </c>
      <c r="K41" s="26">
        <v>0.00083</v>
      </c>
      <c r="L41" s="26"/>
      <c r="M41" s="7"/>
    </row>
    <row r="42" spans="2:13" ht="12.75">
      <c r="B42" s="5" t="s">
        <v>98</v>
      </c>
      <c r="C42" s="5"/>
      <c r="D42" s="5" t="s">
        <v>50</v>
      </c>
      <c r="F42" s="5" t="s">
        <v>29</v>
      </c>
      <c r="G42" s="26">
        <v>0.043</v>
      </c>
      <c r="H42" s="26"/>
      <c r="I42" s="27">
        <v>0.0444</v>
      </c>
      <c r="J42" s="26" t="s">
        <v>29</v>
      </c>
      <c r="K42" s="26">
        <v>0.02</v>
      </c>
      <c r="L42" s="26"/>
      <c r="M42" s="7"/>
    </row>
    <row r="43" spans="2:13" ht="12.75">
      <c r="B43" s="5" t="s">
        <v>166</v>
      </c>
      <c r="C43" s="5"/>
      <c r="D43" s="5" t="s">
        <v>50</v>
      </c>
      <c r="G43" s="26">
        <v>15.1</v>
      </c>
      <c r="H43" s="26" t="s">
        <v>29</v>
      </c>
      <c r="I43" s="27">
        <v>29</v>
      </c>
      <c r="J43" s="26" t="s">
        <v>29</v>
      </c>
      <c r="K43" s="26">
        <v>28</v>
      </c>
      <c r="L43" s="26"/>
      <c r="M43" s="7"/>
    </row>
    <row r="44" spans="2:13" ht="12.75">
      <c r="B44" s="5" t="s">
        <v>113</v>
      </c>
      <c r="C44" s="5"/>
      <c r="D44" s="5" t="s">
        <v>50</v>
      </c>
      <c r="G44" s="26">
        <v>0.0883</v>
      </c>
      <c r="H44" s="26" t="s">
        <v>29</v>
      </c>
      <c r="I44" s="27">
        <v>0.081</v>
      </c>
      <c r="J44" s="26" t="s">
        <v>29</v>
      </c>
      <c r="K44" s="26">
        <v>0.089</v>
      </c>
      <c r="L44" s="26"/>
      <c r="M44" s="7"/>
    </row>
    <row r="45" spans="2:13" ht="12.75">
      <c r="B45" s="5" t="s">
        <v>155</v>
      </c>
      <c r="C45" s="5"/>
      <c r="D45" s="5" t="s">
        <v>50</v>
      </c>
      <c r="F45" s="5" t="s">
        <v>29</v>
      </c>
      <c r="G45" s="26">
        <v>0.013</v>
      </c>
      <c r="H45" s="26" t="s">
        <v>29</v>
      </c>
      <c r="I45" s="27">
        <v>0.04</v>
      </c>
      <c r="J45" s="26" t="s">
        <v>29</v>
      </c>
      <c r="K45" s="26">
        <v>0.013</v>
      </c>
      <c r="L45" s="26"/>
      <c r="M45" s="7"/>
    </row>
    <row r="46" spans="2:13" ht="12.75">
      <c r="B46" s="5" t="s">
        <v>111</v>
      </c>
      <c r="C46" s="5"/>
      <c r="D46" s="5" t="s">
        <v>50</v>
      </c>
      <c r="F46" s="5" t="s">
        <v>29</v>
      </c>
      <c r="G46" s="26">
        <v>0.53</v>
      </c>
      <c r="H46" s="26"/>
      <c r="I46" s="27">
        <v>0.164</v>
      </c>
      <c r="J46" s="26" t="s">
        <v>29</v>
      </c>
      <c r="K46" s="26">
        <v>0.081</v>
      </c>
      <c r="L46" s="26"/>
      <c r="M46" s="7"/>
    </row>
    <row r="47" spans="2:13" ht="12.75">
      <c r="B47" s="5" t="s">
        <v>156</v>
      </c>
      <c r="C47" s="5"/>
      <c r="D47" s="5" t="s">
        <v>50</v>
      </c>
      <c r="G47" s="26">
        <v>2.53</v>
      </c>
      <c r="H47" s="26" t="s">
        <v>29</v>
      </c>
      <c r="I47" s="27">
        <v>1.6</v>
      </c>
      <c r="J47" s="26" t="s">
        <v>29</v>
      </c>
      <c r="K47" s="26">
        <v>1.6</v>
      </c>
      <c r="L47" s="26"/>
      <c r="M47" s="7"/>
    </row>
    <row r="48" spans="2:13" ht="12.75">
      <c r="B48" s="5" t="s">
        <v>93</v>
      </c>
      <c r="C48" s="5"/>
      <c r="D48" s="5" t="s">
        <v>50</v>
      </c>
      <c r="G48" s="26">
        <v>0.191</v>
      </c>
      <c r="H48" s="26"/>
      <c r="I48" s="27">
        <v>0.128</v>
      </c>
      <c r="J48" s="26" t="s">
        <v>29</v>
      </c>
      <c r="K48" s="26">
        <v>0.072</v>
      </c>
      <c r="L48" s="26"/>
      <c r="M48" s="7"/>
    </row>
    <row r="49" spans="2:13" ht="12.75">
      <c r="B49" s="5" t="s">
        <v>157</v>
      </c>
      <c r="C49" s="5"/>
      <c r="D49" s="5" t="s">
        <v>50</v>
      </c>
      <c r="F49" s="5" t="s">
        <v>29</v>
      </c>
      <c r="G49" s="26">
        <v>0.057</v>
      </c>
      <c r="H49" s="26" t="s">
        <v>29</v>
      </c>
      <c r="I49" s="27">
        <v>0.061</v>
      </c>
      <c r="J49" s="26" t="s">
        <v>29</v>
      </c>
      <c r="K49" s="26">
        <v>0.06</v>
      </c>
      <c r="L49" s="26"/>
      <c r="M49" s="7"/>
    </row>
    <row r="50" spans="2:13" ht="12.75">
      <c r="B50" s="5" t="s">
        <v>158</v>
      </c>
      <c r="C50" s="5"/>
      <c r="D50" s="5" t="s">
        <v>50</v>
      </c>
      <c r="G50" s="26">
        <v>1.31</v>
      </c>
      <c r="H50" s="26" t="s">
        <v>29</v>
      </c>
      <c r="I50" s="27">
        <v>10</v>
      </c>
      <c r="J50" s="26" t="s">
        <v>29</v>
      </c>
      <c r="K50" s="26">
        <v>9.6</v>
      </c>
      <c r="L50" s="26"/>
      <c r="M50" s="7"/>
    </row>
    <row r="51" spans="2:13" ht="12.75">
      <c r="B51" s="5" t="s">
        <v>159</v>
      </c>
      <c r="C51" s="5"/>
      <c r="D51" s="5" t="s">
        <v>50</v>
      </c>
      <c r="F51" s="5" t="s">
        <v>29</v>
      </c>
      <c r="G51" s="26">
        <v>0.97</v>
      </c>
      <c r="H51" s="26" t="s">
        <v>29</v>
      </c>
      <c r="I51" s="27">
        <v>0.094</v>
      </c>
      <c r="J51" s="26" t="s">
        <v>29</v>
      </c>
      <c r="K51" s="26">
        <v>0.08</v>
      </c>
      <c r="L51" s="26"/>
      <c r="M51" s="7"/>
    </row>
    <row r="52" spans="2:13" ht="12.75">
      <c r="B52" s="5" t="s">
        <v>99</v>
      </c>
      <c r="C52" s="5"/>
      <c r="D52" s="5" t="s">
        <v>50</v>
      </c>
      <c r="F52" s="5" t="s">
        <v>29</v>
      </c>
      <c r="G52" s="26">
        <v>0.0027</v>
      </c>
      <c r="H52" s="26" t="s">
        <v>29</v>
      </c>
      <c r="I52" s="27">
        <v>0.003</v>
      </c>
      <c r="J52" s="26" t="s">
        <v>29</v>
      </c>
      <c r="K52" s="26">
        <v>0.0026</v>
      </c>
      <c r="L52" s="26"/>
      <c r="M52" s="7"/>
    </row>
    <row r="53" spans="2:13" ht="12.75">
      <c r="B53" s="5" t="s">
        <v>160</v>
      </c>
      <c r="C53" s="5"/>
      <c r="D53" s="5" t="s">
        <v>50</v>
      </c>
      <c r="F53" s="5" t="s">
        <v>29</v>
      </c>
      <c r="G53" s="26">
        <v>0.23</v>
      </c>
      <c r="H53" s="26" t="s">
        <v>29</v>
      </c>
      <c r="I53" s="27">
        <v>0.26</v>
      </c>
      <c r="J53" s="26" t="s">
        <v>29</v>
      </c>
      <c r="K53" s="26">
        <v>0.24</v>
      </c>
      <c r="L53" s="26"/>
      <c r="M53" s="7"/>
    </row>
    <row r="54" spans="2:13" ht="12.75">
      <c r="B54" s="5" t="s">
        <v>100</v>
      </c>
      <c r="C54" s="5"/>
      <c r="D54" s="5" t="s">
        <v>50</v>
      </c>
      <c r="F54" s="5" t="s">
        <v>29</v>
      </c>
      <c r="G54" s="26">
        <v>0.1</v>
      </c>
      <c r="H54" s="26"/>
      <c r="I54" s="27">
        <v>0.132</v>
      </c>
      <c r="J54" s="26" t="s">
        <v>29</v>
      </c>
      <c r="K54" s="26">
        <v>0.039</v>
      </c>
      <c r="L54" s="26"/>
      <c r="M54" s="7"/>
    </row>
    <row r="55" spans="2:13" ht="12.75">
      <c r="B55" s="5" t="s">
        <v>161</v>
      </c>
      <c r="C55" s="5"/>
      <c r="D55" s="5" t="s">
        <v>50</v>
      </c>
      <c r="F55" s="5" t="s">
        <v>29</v>
      </c>
      <c r="G55" s="26">
        <v>8.5</v>
      </c>
      <c r="H55" s="26" t="s">
        <v>29</v>
      </c>
      <c r="I55" s="27">
        <v>9.1</v>
      </c>
      <c r="J55" s="26" t="s">
        <v>29</v>
      </c>
      <c r="K55" s="26">
        <v>12</v>
      </c>
      <c r="L55" s="26"/>
      <c r="M55" s="7"/>
    </row>
    <row r="56" spans="2:13" ht="12.75">
      <c r="B56" s="5" t="s">
        <v>162</v>
      </c>
      <c r="C56" s="5"/>
      <c r="D56" s="5" t="s">
        <v>50</v>
      </c>
      <c r="G56" s="26">
        <v>10.9</v>
      </c>
      <c r="H56" s="26" t="s">
        <v>29</v>
      </c>
      <c r="I56" s="27">
        <v>8.5</v>
      </c>
      <c r="J56" s="26" t="s">
        <v>29</v>
      </c>
      <c r="K56" s="26">
        <v>7.4</v>
      </c>
      <c r="L56" s="26"/>
      <c r="M56" s="7"/>
    </row>
    <row r="57" spans="2:13" ht="12.75">
      <c r="B57" s="5" t="s">
        <v>101</v>
      </c>
      <c r="C57" s="5"/>
      <c r="D57" s="5" t="s">
        <v>50</v>
      </c>
      <c r="F57" s="5" t="s">
        <v>29</v>
      </c>
      <c r="G57" s="26">
        <v>0.099</v>
      </c>
      <c r="H57" s="26" t="s">
        <v>29</v>
      </c>
      <c r="I57" s="27">
        <v>0.13</v>
      </c>
      <c r="J57" s="26" t="s">
        <v>29</v>
      </c>
      <c r="K57" s="26">
        <v>0.052</v>
      </c>
      <c r="L57" s="26"/>
      <c r="M57" s="7"/>
    </row>
    <row r="58" spans="2:13" ht="12.75">
      <c r="B58" s="5" t="s">
        <v>102</v>
      </c>
      <c r="C58" s="5"/>
      <c r="D58" s="5" t="s">
        <v>50</v>
      </c>
      <c r="F58" s="5" t="s">
        <v>29</v>
      </c>
      <c r="G58" s="26">
        <v>0.0038</v>
      </c>
      <c r="H58" s="26" t="s">
        <v>29</v>
      </c>
      <c r="I58" s="27">
        <v>0.012</v>
      </c>
      <c r="J58" s="26" t="s">
        <v>29</v>
      </c>
      <c r="K58" s="26">
        <v>0.004</v>
      </c>
      <c r="L58" s="26"/>
      <c r="M58" s="7"/>
    </row>
    <row r="59" spans="2:13" ht="12.75">
      <c r="B59" s="5" t="s">
        <v>163</v>
      </c>
      <c r="C59" s="5"/>
      <c r="D59" s="5" t="s">
        <v>50</v>
      </c>
      <c r="G59" s="26">
        <v>105</v>
      </c>
      <c r="H59" s="26" t="s">
        <v>29</v>
      </c>
      <c r="I59" s="27">
        <v>84</v>
      </c>
      <c r="J59" s="26" t="s">
        <v>29</v>
      </c>
      <c r="K59" s="26">
        <v>83</v>
      </c>
      <c r="L59" s="26"/>
      <c r="M59" s="7"/>
    </row>
    <row r="60" spans="2:13" ht="12.75">
      <c r="B60" s="5" t="s">
        <v>164</v>
      </c>
      <c r="C60" s="5"/>
      <c r="D60" s="5" t="s">
        <v>50</v>
      </c>
      <c r="G60" s="26">
        <v>0.0531</v>
      </c>
      <c r="H60" s="26" t="s">
        <v>29</v>
      </c>
      <c r="I60" s="27">
        <v>0.034</v>
      </c>
      <c r="J60" s="26" t="s">
        <v>29</v>
      </c>
      <c r="K60" s="26">
        <v>0.036</v>
      </c>
      <c r="L60" s="26"/>
      <c r="M60" s="7"/>
    </row>
    <row r="61" spans="2:13" ht="12.75">
      <c r="B61" s="5" t="s">
        <v>103</v>
      </c>
      <c r="C61" s="5"/>
      <c r="D61" s="5" t="s">
        <v>50</v>
      </c>
      <c r="F61" s="5" t="s">
        <v>29</v>
      </c>
      <c r="G61" s="26">
        <v>0.034</v>
      </c>
      <c r="H61" s="26" t="s">
        <v>29</v>
      </c>
      <c r="I61" s="27">
        <v>0.038</v>
      </c>
      <c r="J61" s="26" t="s">
        <v>29</v>
      </c>
      <c r="K61" s="26">
        <v>0.00593</v>
      </c>
      <c r="L61" s="26"/>
      <c r="M61" s="7"/>
    </row>
    <row r="62" spans="2:13" ht="12.75">
      <c r="B62" s="5" t="s">
        <v>165</v>
      </c>
      <c r="C62" s="5"/>
      <c r="D62" s="5" t="s">
        <v>50</v>
      </c>
      <c r="F62" s="5" t="s">
        <v>29</v>
      </c>
      <c r="G62" s="26">
        <v>0.13</v>
      </c>
      <c r="H62" s="26" t="s">
        <v>29</v>
      </c>
      <c r="I62" s="27">
        <v>0.16</v>
      </c>
      <c r="J62" s="26" t="s">
        <v>29</v>
      </c>
      <c r="K62" s="26">
        <v>0.091</v>
      </c>
      <c r="L62" s="26"/>
      <c r="M62" s="7"/>
    </row>
    <row r="63" spans="2:13" ht="12.75">
      <c r="B63" s="5" t="s">
        <v>115</v>
      </c>
      <c r="C63" s="5"/>
      <c r="D63" s="5" t="s">
        <v>50</v>
      </c>
      <c r="G63" s="26">
        <v>12.7</v>
      </c>
      <c r="H63" s="26" t="s">
        <v>29</v>
      </c>
      <c r="I63" s="27">
        <v>18</v>
      </c>
      <c r="J63" s="26" t="s">
        <v>29</v>
      </c>
      <c r="K63" s="26">
        <v>1.8</v>
      </c>
      <c r="L63" s="26"/>
      <c r="M63" s="7"/>
    </row>
    <row r="64" spans="2:13" ht="12.75">
      <c r="B64" s="5" t="s">
        <v>275</v>
      </c>
      <c r="C64" s="5"/>
      <c r="D64" s="5" t="s">
        <v>50</v>
      </c>
      <c r="G64" s="26">
        <v>0.11</v>
      </c>
      <c r="H64" s="26"/>
      <c r="I64" s="27">
        <v>0.14</v>
      </c>
      <c r="J64" s="26"/>
      <c r="K64" s="26">
        <v>0.13</v>
      </c>
      <c r="L64" s="26"/>
      <c r="M64" s="7"/>
    </row>
    <row r="65" spans="2:13" ht="12.75">
      <c r="B65" s="5"/>
      <c r="C65" s="5"/>
      <c r="G65" s="26"/>
      <c r="H65" s="26"/>
      <c r="I65" s="27"/>
      <c r="J65" s="26"/>
      <c r="K65" s="26"/>
      <c r="L65" s="26"/>
      <c r="M65" s="7"/>
    </row>
    <row r="66" spans="2:13" ht="12.75">
      <c r="B66" s="5" t="s">
        <v>114</v>
      </c>
      <c r="C66" s="5" t="s">
        <v>219</v>
      </c>
      <c r="D66" s="5" t="s">
        <v>258</v>
      </c>
      <c r="G66" s="26"/>
      <c r="H66" s="26"/>
      <c r="I66" s="27"/>
      <c r="J66" s="26"/>
      <c r="K66" s="26"/>
      <c r="L66" s="26"/>
      <c r="M66" s="7"/>
    </row>
    <row r="67" spans="2:13" ht="12.75">
      <c r="B67" s="5" t="s">
        <v>92</v>
      </c>
      <c r="C67" s="5"/>
      <c r="D67" s="5" t="s">
        <v>17</v>
      </c>
      <c r="G67" s="26">
        <v>29058</v>
      </c>
      <c r="H67" s="26"/>
      <c r="I67" s="27">
        <v>30220</v>
      </c>
      <c r="J67" s="26"/>
      <c r="K67" s="26">
        <v>29771</v>
      </c>
      <c r="L67" s="26"/>
      <c r="M67" s="25">
        <f>AVERAGE(K67,I67,G67)</f>
        <v>29683</v>
      </c>
    </row>
    <row r="68" spans="2:13" ht="12.75">
      <c r="B68" s="5" t="s">
        <v>109</v>
      </c>
      <c r="C68" s="5"/>
      <c r="D68" s="5" t="s">
        <v>18</v>
      </c>
      <c r="G68" s="26">
        <v>10.24</v>
      </c>
      <c r="H68" s="26"/>
      <c r="I68" s="27">
        <v>10.29</v>
      </c>
      <c r="J68" s="26"/>
      <c r="K68" s="26">
        <v>10.81</v>
      </c>
      <c r="L68" s="26"/>
      <c r="M68" s="25">
        <f>AVERAGE(K68,I68,G68)</f>
        <v>10.446666666666667</v>
      </c>
    </row>
    <row r="69" spans="2:13" ht="12.75">
      <c r="B69" s="5" t="s">
        <v>110</v>
      </c>
      <c r="C69" s="5"/>
      <c r="D69" s="5" t="s">
        <v>18</v>
      </c>
      <c r="G69" s="26"/>
      <c r="H69" s="26"/>
      <c r="I69" s="27"/>
      <c r="J69" s="26"/>
      <c r="K69" s="26"/>
      <c r="L69" s="26"/>
      <c r="M69" s="7"/>
    </row>
    <row r="70" spans="2:13" ht="12.75">
      <c r="B70" s="5" t="s">
        <v>91</v>
      </c>
      <c r="C70" s="5"/>
      <c r="D70" s="5" t="s">
        <v>19</v>
      </c>
      <c r="E70" s="14"/>
      <c r="F70" s="14"/>
      <c r="G70" s="26"/>
      <c r="H70" s="14"/>
      <c r="I70" s="27"/>
      <c r="J70" s="14"/>
      <c r="K70" s="26"/>
      <c r="L70" s="21"/>
      <c r="M70" s="29"/>
    </row>
    <row r="71" spans="2:13" ht="12.75">
      <c r="B71" s="5" t="s">
        <v>114</v>
      </c>
      <c r="C71" s="5" t="s">
        <v>167</v>
      </c>
      <c r="D71" s="5" t="s">
        <v>260</v>
      </c>
      <c r="G71" s="26"/>
      <c r="H71" s="26"/>
      <c r="I71" s="27"/>
      <c r="J71" s="26"/>
      <c r="K71" s="26"/>
      <c r="L71" s="26"/>
      <c r="M71" s="7"/>
    </row>
    <row r="72" spans="2:13" ht="12.75">
      <c r="B72" s="5" t="s">
        <v>92</v>
      </c>
      <c r="C72" s="5"/>
      <c r="D72" s="5" t="s">
        <v>17</v>
      </c>
      <c r="G72" s="26">
        <v>29023</v>
      </c>
      <c r="H72" s="26"/>
      <c r="I72" s="27">
        <v>29256</v>
      </c>
      <c r="J72" s="26"/>
      <c r="K72" s="26">
        <v>29242</v>
      </c>
      <c r="L72" s="26"/>
      <c r="M72" s="25">
        <f>AVERAGE(K72,I72,G72)</f>
        <v>29173.666666666668</v>
      </c>
    </row>
    <row r="73" spans="2:13" ht="12.75">
      <c r="B73" s="5" t="s">
        <v>109</v>
      </c>
      <c r="C73" s="5"/>
      <c r="D73" s="5" t="s">
        <v>18</v>
      </c>
      <c r="G73" s="26">
        <v>10.24</v>
      </c>
      <c r="H73" s="26"/>
      <c r="I73" s="27">
        <v>10.29</v>
      </c>
      <c r="J73" s="26"/>
      <c r="K73" s="26">
        <v>10.81</v>
      </c>
      <c r="L73" s="26"/>
      <c r="M73" s="25">
        <f>AVERAGE(K73,I73,G73)</f>
        <v>10.446666666666667</v>
      </c>
    </row>
    <row r="74" spans="2:13" ht="12.75">
      <c r="B74" s="5" t="s">
        <v>110</v>
      </c>
      <c r="C74" s="5"/>
      <c r="D74" s="5" t="s">
        <v>18</v>
      </c>
      <c r="G74" s="26"/>
      <c r="H74" s="26"/>
      <c r="I74" s="27"/>
      <c r="J74" s="26"/>
      <c r="K74" s="26"/>
      <c r="L74" s="26"/>
      <c r="M74" s="7"/>
    </row>
    <row r="75" spans="2:13" ht="12.75">
      <c r="B75" s="5" t="s">
        <v>91</v>
      </c>
      <c r="C75" s="5"/>
      <c r="D75" s="5" t="s">
        <v>19</v>
      </c>
      <c r="E75" s="14"/>
      <c r="F75" s="14"/>
      <c r="G75" s="26"/>
      <c r="H75" s="14"/>
      <c r="I75" s="27"/>
      <c r="J75" s="14"/>
      <c r="K75" s="26"/>
      <c r="L75" s="21"/>
      <c r="M75" s="29"/>
    </row>
    <row r="76" spans="2:13" ht="12.75">
      <c r="B76" s="5"/>
      <c r="C76" s="5"/>
      <c r="G76" s="26"/>
      <c r="H76" s="26"/>
      <c r="I76" s="27"/>
      <c r="J76" s="26"/>
      <c r="K76" s="26"/>
      <c r="M76" s="29"/>
    </row>
    <row r="77" spans="2:13" ht="12.75">
      <c r="B77" s="5" t="s">
        <v>114</v>
      </c>
      <c r="C77" s="5" t="s">
        <v>80</v>
      </c>
      <c r="D77" s="5" t="s">
        <v>259</v>
      </c>
      <c r="G77" s="26"/>
      <c r="H77" s="26"/>
      <c r="I77" s="27"/>
      <c r="J77" s="26"/>
      <c r="K77" s="26"/>
      <c r="M77" s="29"/>
    </row>
    <row r="78" spans="2:13" ht="12.75">
      <c r="B78" s="5" t="s">
        <v>92</v>
      </c>
      <c r="C78" s="5"/>
      <c r="D78" s="5" t="s">
        <v>17</v>
      </c>
      <c r="G78" s="26">
        <v>29986</v>
      </c>
      <c r="H78" s="26"/>
      <c r="I78" s="27">
        <v>31091</v>
      </c>
      <c r="J78" s="26"/>
      <c r="K78" s="26">
        <v>30518</v>
      </c>
      <c r="M78" s="25">
        <f>AVERAGE(K78,I78,G78)</f>
        <v>30531.666666666668</v>
      </c>
    </row>
    <row r="79" spans="2:13" ht="12.75">
      <c r="B79" s="5" t="s">
        <v>109</v>
      </c>
      <c r="C79" s="5"/>
      <c r="D79" s="5" t="s">
        <v>18</v>
      </c>
      <c r="G79" s="26">
        <v>10</v>
      </c>
      <c r="H79" s="26"/>
      <c r="I79" s="27">
        <v>9.9</v>
      </c>
      <c r="J79" s="26"/>
      <c r="K79" s="26">
        <v>10.2</v>
      </c>
      <c r="M79" s="25">
        <f>AVERAGE(K79,I79,G79)</f>
        <v>10.033333333333333</v>
      </c>
    </row>
    <row r="80" spans="2:11" ht="12.75">
      <c r="B80" s="5" t="s">
        <v>110</v>
      </c>
      <c r="C80" s="5"/>
      <c r="D80" s="5" t="s">
        <v>18</v>
      </c>
      <c r="G80" s="26"/>
      <c r="H80" s="26"/>
      <c r="I80" s="27"/>
      <c r="J80" s="8"/>
      <c r="K80" s="26"/>
    </row>
    <row r="81" spans="2:11" ht="12.75">
      <c r="B81" s="5" t="s">
        <v>91</v>
      </c>
      <c r="C81" s="5"/>
      <c r="D81" s="5" t="s">
        <v>19</v>
      </c>
      <c r="G81" s="26"/>
      <c r="H81" s="26"/>
      <c r="I81" s="27"/>
      <c r="J81" s="26"/>
      <c r="K81" s="26"/>
    </row>
    <row r="82" spans="2:13" ht="12.75">
      <c r="B82" s="5"/>
      <c r="C82" s="5"/>
      <c r="G82" s="26"/>
      <c r="H82" s="26"/>
      <c r="I82" s="27"/>
      <c r="J82" s="26"/>
      <c r="K82" s="26"/>
      <c r="L82" s="26"/>
      <c r="M82" s="7"/>
    </row>
    <row r="83" spans="2:13" ht="12.75">
      <c r="B83" s="5" t="s">
        <v>112</v>
      </c>
      <c r="C83" s="5" t="s">
        <v>258</v>
      </c>
      <c r="D83" s="5" t="s">
        <v>16</v>
      </c>
      <c r="E83" s="5" t="s">
        <v>15</v>
      </c>
      <c r="G83" s="6">
        <f>G34*(21-7)/(21-G$68)</f>
        <v>4.9832713754646845</v>
      </c>
      <c r="H83" s="26"/>
      <c r="I83" s="6">
        <f>I34*(21-7)/(21-I$68)</f>
        <v>4.928104575163398</v>
      </c>
      <c r="J83" s="26"/>
      <c r="K83" s="6">
        <f>K34*(21-7)/(21-K$68)</f>
        <v>4.575073601570168</v>
      </c>
      <c r="L83" s="26"/>
      <c r="M83" s="25">
        <f>AVERAGE(K83,I83,G83)</f>
        <v>4.828816517399417</v>
      </c>
    </row>
    <row r="84" spans="2:13" ht="12.75">
      <c r="B84" s="5" t="s">
        <v>137</v>
      </c>
      <c r="C84" s="5" t="s">
        <v>258</v>
      </c>
      <c r="D84" s="5" t="s">
        <v>16</v>
      </c>
      <c r="E84" s="5" t="s">
        <v>15</v>
      </c>
      <c r="G84" s="6">
        <f>G35*(21-7)/(21-G$68)</f>
        <v>9.953531598513012</v>
      </c>
      <c r="H84" s="26"/>
      <c r="I84" s="6">
        <f>I35*(21-7)/(21-I$68)</f>
        <v>6.03921568627451</v>
      </c>
      <c r="J84" s="26"/>
      <c r="K84" s="6">
        <f>K35*(21-7)/(21-K$68)</f>
        <v>5.110893032384691</v>
      </c>
      <c r="L84" s="26"/>
      <c r="M84" s="25">
        <f>AVERAGE(K84,I84,G84)</f>
        <v>7.034546772390738</v>
      </c>
    </row>
    <row r="85" spans="2:11" ht="12.75">
      <c r="B85" s="5"/>
      <c r="C85" s="5"/>
      <c r="G85" s="26"/>
      <c r="H85" s="26"/>
      <c r="I85" s="27"/>
      <c r="J85" s="26"/>
      <c r="K85" s="26"/>
    </row>
    <row r="86" spans="2:13" ht="12.75">
      <c r="B86" s="5" t="s">
        <v>154</v>
      </c>
      <c r="C86" s="5" t="s">
        <v>258</v>
      </c>
      <c r="D86" s="5" t="s">
        <v>66</v>
      </c>
      <c r="E86" s="5" t="s">
        <v>15</v>
      </c>
      <c r="G86" s="6">
        <f>G37/60/0.0283/G$67*(21-7)/(21-G$68)*1000000</f>
        <v>45.092931459631124</v>
      </c>
      <c r="H86" s="26" t="s">
        <v>29</v>
      </c>
      <c r="I86" s="6">
        <f>I37/60/0.0283/I$67*(21-7)/(21-I$68)*1000000</f>
        <v>53.49654241911273</v>
      </c>
      <c r="J86" s="26" t="s">
        <v>29</v>
      </c>
      <c r="K86" s="6">
        <f aca="true" t="shared" si="1" ref="K86:K113">K37/60/0.0283/K$67*(21-7)/(21-K$68)*1000000</f>
        <v>48.9209912383312</v>
      </c>
      <c r="M86" s="29">
        <f aca="true" t="shared" si="2" ref="M86:M100">AVERAGE(K86,I86,G86)</f>
        <v>49.17015503902502</v>
      </c>
    </row>
    <row r="87" spans="2:13" ht="12.75">
      <c r="B87" s="5" t="s">
        <v>94</v>
      </c>
      <c r="C87" s="5" t="s">
        <v>258</v>
      </c>
      <c r="D87" s="5" t="s">
        <v>66</v>
      </c>
      <c r="E87" s="5" t="s">
        <v>15</v>
      </c>
      <c r="F87" s="5" t="s">
        <v>29</v>
      </c>
      <c r="G87" s="6">
        <f aca="true" t="shared" si="3" ref="G87:I113">G38/60/0.0283/G$67*(21-7)/(21-G$68)*1000000</f>
        <v>2.5842732649379245</v>
      </c>
      <c r="H87" s="26" t="s">
        <v>29</v>
      </c>
      <c r="I87" s="6">
        <f t="shared" si="3"/>
        <v>4.075927041456207</v>
      </c>
      <c r="J87" s="26" t="s">
        <v>29</v>
      </c>
      <c r="K87" s="6">
        <f t="shared" si="1"/>
        <v>2.7178328465739554</v>
      </c>
      <c r="M87" s="29">
        <f t="shared" si="2"/>
        <v>3.126011050989362</v>
      </c>
    </row>
    <row r="88" spans="2:13" ht="12.75">
      <c r="B88" s="5" t="s">
        <v>95</v>
      </c>
      <c r="C88" s="5" t="s">
        <v>258</v>
      </c>
      <c r="D88" s="5" t="s">
        <v>66</v>
      </c>
      <c r="E88" s="5" t="s">
        <v>15</v>
      </c>
      <c r="F88" s="5" t="s">
        <v>29</v>
      </c>
      <c r="G88" s="6">
        <f t="shared" si="3"/>
        <v>0.6065131131997169</v>
      </c>
      <c r="H88" s="26" t="s">
        <v>29</v>
      </c>
      <c r="I88" s="6">
        <f t="shared" si="3"/>
        <v>1.3756253764914703</v>
      </c>
      <c r="J88" s="26" t="s">
        <v>29</v>
      </c>
      <c r="K88" s="6">
        <f t="shared" si="1"/>
        <v>0.788171525506447</v>
      </c>
      <c r="M88" s="29">
        <f t="shared" si="2"/>
        <v>0.9234366717325447</v>
      </c>
    </row>
    <row r="89" spans="2:13" ht="12.75">
      <c r="B89" s="5" t="s">
        <v>96</v>
      </c>
      <c r="C89" s="5" t="s">
        <v>258</v>
      </c>
      <c r="D89" s="5" t="s">
        <v>66</v>
      </c>
      <c r="E89" s="5" t="s">
        <v>15</v>
      </c>
      <c r="G89" s="6">
        <f t="shared" si="3"/>
        <v>1.6006672161401223</v>
      </c>
      <c r="H89" s="26"/>
      <c r="I89" s="6">
        <f t="shared" si="3"/>
        <v>2.3589427752427805</v>
      </c>
      <c r="J89" s="26" t="s">
        <v>29</v>
      </c>
      <c r="K89" s="6">
        <f t="shared" si="1"/>
        <v>48.9209912383312</v>
      </c>
      <c r="M89" s="29">
        <f t="shared" si="2"/>
        <v>17.62686707657137</v>
      </c>
    </row>
    <row r="90" spans="2:13" ht="12.75">
      <c r="B90" s="5" t="s">
        <v>97</v>
      </c>
      <c r="C90" s="5" t="s">
        <v>258</v>
      </c>
      <c r="D90" s="5" t="s">
        <v>66</v>
      </c>
      <c r="E90" s="5" t="s">
        <v>15</v>
      </c>
      <c r="F90" s="5" t="s">
        <v>29</v>
      </c>
      <c r="G90" s="6">
        <f t="shared" si="3"/>
        <v>0.014503574446080187</v>
      </c>
      <c r="H90" s="26" t="s">
        <v>29</v>
      </c>
      <c r="I90" s="6">
        <f t="shared" si="3"/>
        <v>0.045854179216382344</v>
      </c>
      <c r="J90" s="26" t="s">
        <v>29</v>
      </c>
      <c r="K90" s="6">
        <f t="shared" si="1"/>
        <v>0.022558012626563827</v>
      </c>
      <c r="M90" s="29">
        <f t="shared" si="2"/>
        <v>0.027638588763008787</v>
      </c>
    </row>
    <row r="91" spans="2:13" ht="12.75">
      <c r="B91" s="5" t="s">
        <v>98</v>
      </c>
      <c r="C91" s="5" t="s">
        <v>258</v>
      </c>
      <c r="D91" s="5" t="s">
        <v>66</v>
      </c>
      <c r="E91" s="5" t="s">
        <v>15</v>
      </c>
      <c r="F91" s="5" t="s">
        <v>29</v>
      </c>
      <c r="G91" s="6">
        <f t="shared" si="3"/>
        <v>1.1339158203299053</v>
      </c>
      <c r="H91" s="26"/>
      <c r="I91" s="6">
        <f t="shared" si="3"/>
        <v>1.1310697540040977</v>
      </c>
      <c r="J91" s="26" t="s">
        <v>29</v>
      </c>
      <c r="K91" s="6">
        <f t="shared" si="1"/>
        <v>0.5435665693147911</v>
      </c>
      <c r="M91" s="29">
        <f t="shared" si="2"/>
        <v>0.9361840478829313</v>
      </c>
    </row>
    <row r="92" spans="2:13" ht="12.75">
      <c r="B92" s="5" t="s">
        <v>166</v>
      </c>
      <c r="C92" s="5" t="s">
        <v>258</v>
      </c>
      <c r="D92" s="5" t="s">
        <v>66</v>
      </c>
      <c r="E92" s="5" t="s">
        <v>15</v>
      </c>
      <c r="G92" s="6">
        <f t="shared" si="3"/>
        <v>398.1890438832923</v>
      </c>
      <c r="H92" s="26" t="s">
        <v>29</v>
      </c>
      <c r="I92" s="6">
        <f t="shared" si="3"/>
        <v>738.7617762639377</v>
      </c>
      <c r="J92" s="26" t="s">
        <v>29</v>
      </c>
      <c r="K92" s="6">
        <f t="shared" si="1"/>
        <v>760.9931970407075</v>
      </c>
      <c r="M92" s="29">
        <f t="shared" si="2"/>
        <v>632.6480057293126</v>
      </c>
    </row>
    <row r="93" spans="2:13" ht="12.75">
      <c r="B93" s="5" t="s">
        <v>113</v>
      </c>
      <c r="C93" s="5" t="s">
        <v>258</v>
      </c>
      <c r="D93" s="5" t="s">
        <v>66</v>
      </c>
      <c r="E93" s="5" t="s">
        <v>15</v>
      </c>
      <c r="G93" s="6">
        <f t="shared" si="3"/>
        <v>2.3284829519797823</v>
      </c>
      <c r="H93" s="26" t="s">
        <v>29</v>
      </c>
      <c r="I93" s="6">
        <f t="shared" si="3"/>
        <v>2.0634380647372055</v>
      </c>
      <c r="J93" s="26" t="s">
        <v>29</v>
      </c>
      <c r="K93" s="6">
        <f t="shared" si="1"/>
        <v>2.41887123345082</v>
      </c>
      <c r="M93" s="29">
        <f t="shared" si="2"/>
        <v>2.2702640833892693</v>
      </c>
    </row>
    <row r="94" spans="2:13" ht="12.75">
      <c r="B94" s="5" t="s">
        <v>155</v>
      </c>
      <c r="C94" s="5" t="s">
        <v>258</v>
      </c>
      <c r="D94" s="5" t="s">
        <v>66</v>
      </c>
      <c r="E94" s="5" t="s">
        <v>15</v>
      </c>
      <c r="F94" s="5" t="s">
        <v>29</v>
      </c>
      <c r="G94" s="6">
        <f t="shared" si="3"/>
        <v>0.34281175963462257</v>
      </c>
      <c r="H94" s="26" t="s">
        <v>29</v>
      </c>
      <c r="I94" s="6">
        <f t="shared" si="3"/>
        <v>1.0189817603640519</v>
      </c>
      <c r="J94" s="26" t="s">
        <v>29</v>
      </c>
      <c r="K94" s="6">
        <f t="shared" si="1"/>
        <v>0.3533182700546142</v>
      </c>
      <c r="M94" s="29">
        <f t="shared" si="2"/>
        <v>0.5717039300177629</v>
      </c>
    </row>
    <row r="95" spans="2:13" ht="12.75">
      <c r="B95" s="5" t="s">
        <v>111</v>
      </c>
      <c r="C95" s="5" t="s">
        <v>258</v>
      </c>
      <c r="D95" s="5" t="s">
        <v>66</v>
      </c>
      <c r="E95" s="5" t="s">
        <v>15</v>
      </c>
      <c r="F95" s="5" t="s">
        <v>29</v>
      </c>
      <c r="G95" s="6">
        <f t="shared" si="3"/>
        <v>13.976171738949999</v>
      </c>
      <c r="H95" s="26"/>
      <c r="I95" s="6">
        <f t="shared" si="3"/>
        <v>4.177825217492614</v>
      </c>
      <c r="J95" s="26" t="s">
        <v>29</v>
      </c>
      <c r="K95" s="6">
        <f t="shared" si="1"/>
        <v>2.201444605724904</v>
      </c>
      <c r="M95" s="29">
        <f t="shared" si="2"/>
        <v>6.785147187389172</v>
      </c>
    </row>
    <row r="96" spans="2:13" ht="12.75">
      <c r="B96" s="5" t="s">
        <v>156</v>
      </c>
      <c r="C96" s="5" t="s">
        <v>258</v>
      </c>
      <c r="D96" s="5" t="s">
        <v>66</v>
      </c>
      <c r="E96" s="5" t="s">
        <v>15</v>
      </c>
      <c r="G96" s="6">
        <f t="shared" si="3"/>
        <v>66.71644245196885</v>
      </c>
      <c r="H96" s="26" t="s">
        <v>29</v>
      </c>
      <c r="I96" s="6">
        <f t="shared" si="3"/>
        <v>40.75927041456208</v>
      </c>
      <c r="J96" s="26" t="s">
        <v>29</v>
      </c>
      <c r="K96" s="6">
        <f t="shared" si="1"/>
        <v>43.48532554518329</v>
      </c>
      <c r="M96" s="29">
        <f t="shared" si="2"/>
        <v>50.32034613723807</v>
      </c>
    </row>
    <row r="97" spans="2:13" ht="12.75">
      <c r="B97" s="5" t="s">
        <v>93</v>
      </c>
      <c r="C97" s="5" t="s">
        <v>258</v>
      </c>
      <c r="D97" s="5" t="s">
        <v>66</v>
      </c>
      <c r="E97" s="5" t="s">
        <v>15</v>
      </c>
      <c r="G97" s="6">
        <f t="shared" si="3"/>
        <v>5.036695853093302</v>
      </c>
      <c r="H97" s="26"/>
      <c r="I97" s="6">
        <f t="shared" si="3"/>
        <v>3.2607416331649666</v>
      </c>
      <c r="J97" s="26" t="s">
        <v>29</v>
      </c>
      <c r="K97" s="6">
        <f t="shared" si="1"/>
        <v>1.9568396495332472</v>
      </c>
      <c r="M97" s="29">
        <f t="shared" si="2"/>
        <v>3.4180923785971715</v>
      </c>
    </row>
    <row r="98" spans="2:13" ht="12.75">
      <c r="B98" s="5" t="s">
        <v>157</v>
      </c>
      <c r="C98" s="5" t="s">
        <v>258</v>
      </c>
      <c r="D98" s="5" t="s">
        <v>66</v>
      </c>
      <c r="E98" s="5" t="s">
        <v>15</v>
      </c>
      <c r="F98" s="5" t="s">
        <v>29</v>
      </c>
      <c r="G98" s="6">
        <f t="shared" si="3"/>
        <v>1.5030977153210376</v>
      </c>
      <c r="H98" s="26" t="s">
        <v>29</v>
      </c>
      <c r="I98" s="6">
        <f t="shared" si="3"/>
        <v>1.5539471845551789</v>
      </c>
      <c r="J98" s="26" t="s">
        <v>29</v>
      </c>
      <c r="K98" s="6">
        <f t="shared" si="1"/>
        <v>1.630699707944373</v>
      </c>
      <c r="M98" s="29">
        <f t="shared" si="2"/>
        <v>1.5625815359401967</v>
      </c>
    </row>
    <row r="99" spans="2:13" ht="12.75">
      <c r="B99" s="5" t="s">
        <v>158</v>
      </c>
      <c r="C99" s="5" t="s">
        <v>258</v>
      </c>
      <c r="D99" s="5" t="s">
        <v>66</v>
      </c>
      <c r="E99" s="5" t="s">
        <v>15</v>
      </c>
      <c r="G99" s="6">
        <f t="shared" si="3"/>
        <v>34.54487731702735</v>
      </c>
      <c r="H99" s="26" t="s">
        <v>29</v>
      </c>
      <c r="I99" s="6">
        <f t="shared" si="3"/>
        <v>254.74544009101302</v>
      </c>
      <c r="J99" s="26" t="s">
        <v>29</v>
      </c>
      <c r="K99" s="6">
        <f t="shared" si="1"/>
        <v>260.9119532710997</v>
      </c>
      <c r="M99" s="29">
        <f t="shared" si="2"/>
        <v>183.40075689304672</v>
      </c>
    </row>
    <row r="100" spans="2:13" ht="12.75">
      <c r="B100" s="5" t="s">
        <v>159</v>
      </c>
      <c r="C100" s="5" t="s">
        <v>258</v>
      </c>
      <c r="D100" s="5" t="s">
        <v>66</v>
      </c>
      <c r="E100" s="5" t="s">
        <v>15</v>
      </c>
      <c r="F100" s="5" t="s">
        <v>29</v>
      </c>
      <c r="G100" s="6">
        <f t="shared" si="3"/>
        <v>25.579031295814143</v>
      </c>
      <c r="H100" s="26" t="s">
        <v>29</v>
      </c>
      <c r="I100" s="6">
        <f t="shared" si="3"/>
        <v>2.394607136855522</v>
      </c>
      <c r="J100" s="26" t="s">
        <v>29</v>
      </c>
      <c r="K100" s="6">
        <f t="shared" si="1"/>
        <v>2.1742662772591643</v>
      </c>
      <c r="M100" s="29">
        <f t="shared" si="2"/>
        <v>10.049301569976278</v>
      </c>
    </row>
    <row r="101" spans="2:13" ht="12.75">
      <c r="B101" s="5" t="s">
        <v>99</v>
      </c>
      <c r="C101" s="5" t="s">
        <v>258</v>
      </c>
      <c r="D101" s="5" t="s">
        <v>66</v>
      </c>
      <c r="E101" s="5" t="s">
        <v>15</v>
      </c>
      <c r="F101" s="5" t="s">
        <v>29</v>
      </c>
      <c r="G101" s="6">
        <f t="shared" si="3"/>
        <v>0.07119936546257546</v>
      </c>
      <c r="H101" s="26" t="s">
        <v>29</v>
      </c>
      <c r="I101" s="6">
        <f t="shared" si="3"/>
        <v>0.0764236320273039</v>
      </c>
      <c r="J101" s="26" t="s">
        <v>29</v>
      </c>
      <c r="K101" s="6">
        <f t="shared" si="1"/>
        <v>0.07066365401092284</v>
      </c>
      <c r="M101" s="29">
        <f>AVERAGE(K101,I101,G101)</f>
        <v>0.07276221716693407</v>
      </c>
    </row>
    <row r="102" spans="2:13" ht="12.75">
      <c r="B102" s="5" t="s">
        <v>160</v>
      </c>
      <c r="C102" s="5" t="s">
        <v>258</v>
      </c>
      <c r="D102" s="5" t="s">
        <v>66</v>
      </c>
      <c r="E102" s="5" t="s">
        <v>15</v>
      </c>
      <c r="F102" s="5" t="s">
        <v>29</v>
      </c>
      <c r="G102" s="6">
        <f t="shared" si="3"/>
        <v>6.065131131997169</v>
      </c>
      <c r="H102" s="26" t="s">
        <v>29</v>
      </c>
      <c r="I102" s="6">
        <f t="shared" si="3"/>
        <v>6.6233814423663375</v>
      </c>
      <c r="J102" s="26" t="s">
        <v>29</v>
      </c>
      <c r="K102" s="6">
        <f t="shared" si="1"/>
        <v>6.522798831777492</v>
      </c>
      <c r="M102" s="29">
        <f aca="true" t="shared" si="4" ref="M102:M113">AVERAGE(K102,I102,G102)</f>
        <v>6.403770468713667</v>
      </c>
    </row>
    <row r="103" spans="2:13" ht="12.75">
      <c r="B103" s="5" t="s">
        <v>100</v>
      </c>
      <c r="C103" s="5" t="s">
        <v>258</v>
      </c>
      <c r="D103" s="5" t="s">
        <v>66</v>
      </c>
      <c r="E103" s="5" t="s">
        <v>15</v>
      </c>
      <c r="F103" s="5" t="s">
        <v>29</v>
      </c>
      <c r="G103" s="6">
        <f t="shared" si="3"/>
        <v>2.637013535650943</v>
      </c>
      <c r="H103" s="26"/>
      <c r="I103" s="6">
        <f t="shared" si="3"/>
        <v>3.362639809201372</v>
      </c>
      <c r="J103" s="26" t="s">
        <v>29</v>
      </c>
      <c r="K103" s="6">
        <f t="shared" si="1"/>
        <v>1.0599548101638425</v>
      </c>
      <c r="M103" s="29">
        <f t="shared" si="4"/>
        <v>2.353202718338719</v>
      </c>
    </row>
    <row r="104" spans="2:13" ht="12.75">
      <c r="B104" s="5" t="s">
        <v>161</v>
      </c>
      <c r="C104" s="5" t="s">
        <v>258</v>
      </c>
      <c r="D104" s="5" t="s">
        <v>66</v>
      </c>
      <c r="E104" s="5" t="s">
        <v>15</v>
      </c>
      <c r="F104" s="5" t="s">
        <v>29</v>
      </c>
      <c r="G104" s="6">
        <f t="shared" si="3"/>
        <v>224.14615053033015</v>
      </c>
      <c r="H104" s="26" t="s">
        <v>29</v>
      </c>
      <c r="I104" s="6">
        <f t="shared" si="3"/>
        <v>231.81835048282187</v>
      </c>
      <c r="J104" s="26" t="s">
        <v>29</v>
      </c>
      <c r="K104" s="6">
        <f t="shared" si="1"/>
        <v>326.1399415888746</v>
      </c>
      <c r="M104" s="29">
        <f t="shared" si="4"/>
        <v>260.7014808673422</v>
      </c>
    </row>
    <row r="105" spans="2:13" ht="12.75">
      <c r="B105" s="5" t="s">
        <v>162</v>
      </c>
      <c r="C105" s="5" t="s">
        <v>258</v>
      </c>
      <c r="D105" s="5" t="s">
        <v>66</v>
      </c>
      <c r="E105" s="5" t="s">
        <v>15</v>
      </c>
      <c r="G105" s="6">
        <f t="shared" si="3"/>
        <v>287.43447538595274</v>
      </c>
      <c r="H105" s="26" t="s">
        <v>29</v>
      </c>
      <c r="I105" s="6">
        <f t="shared" si="3"/>
        <v>216.53362407736103</v>
      </c>
      <c r="J105" s="26" t="s">
        <v>29</v>
      </c>
      <c r="K105" s="6">
        <f t="shared" si="1"/>
        <v>201.1196306464727</v>
      </c>
      <c r="M105" s="29">
        <f t="shared" si="4"/>
        <v>235.02924336992882</v>
      </c>
    </row>
    <row r="106" spans="2:13" ht="12.75">
      <c r="B106" s="5" t="s">
        <v>101</v>
      </c>
      <c r="C106" s="5" t="s">
        <v>258</v>
      </c>
      <c r="D106" s="5" t="s">
        <v>66</v>
      </c>
      <c r="E106" s="5" t="s">
        <v>15</v>
      </c>
      <c r="F106" s="5" t="s">
        <v>29</v>
      </c>
      <c r="G106" s="6">
        <f t="shared" si="3"/>
        <v>2.610643400294434</v>
      </c>
      <c r="H106" s="26" t="s">
        <v>29</v>
      </c>
      <c r="I106" s="6">
        <f t="shared" si="3"/>
        <v>3.3116907211831688</v>
      </c>
      <c r="J106" s="26" t="s">
        <v>29</v>
      </c>
      <c r="K106" s="6">
        <f t="shared" si="1"/>
        <v>1.4132730802184568</v>
      </c>
      <c r="M106" s="29">
        <f t="shared" si="4"/>
        <v>2.4452024005653534</v>
      </c>
    </row>
    <row r="107" spans="2:13" ht="12.75">
      <c r="B107" s="5" t="s">
        <v>102</v>
      </c>
      <c r="C107" s="5" t="s">
        <v>258</v>
      </c>
      <c r="D107" s="5" t="s">
        <v>66</v>
      </c>
      <c r="E107" s="5" t="s">
        <v>15</v>
      </c>
      <c r="F107" s="5" t="s">
        <v>29</v>
      </c>
      <c r="G107" s="6">
        <f t="shared" si="3"/>
        <v>0.10020651435473583</v>
      </c>
      <c r="H107" s="26" t="s">
        <v>29</v>
      </c>
      <c r="I107" s="6">
        <f t="shared" si="3"/>
        <v>0.3056945281092156</v>
      </c>
      <c r="J107" s="26" t="s">
        <v>29</v>
      </c>
      <c r="K107" s="6">
        <f t="shared" si="1"/>
        <v>0.10871331386295821</v>
      </c>
      <c r="M107" s="29">
        <f t="shared" si="4"/>
        <v>0.17153811877563654</v>
      </c>
    </row>
    <row r="108" spans="2:13" ht="12.75">
      <c r="B108" s="5" t="s">
        <v>163</v>
      </c>
      <c r="C108" s="5" t="s">
        <v>258</v>
      </c>
      <c r="D108" s="5" t="s">
        <v>66</v>
      </c>
      <c r="E108" s="5" t="s">
        <v>15</v>
      </c>
      <c r="G108" s="6">
        <f t="shared" si="3"/>
        <v>2768.86421243349</v>
      </c>
      <c r="H108" s="26" t="s">
        <v>29</v>
      </c>
      <c r="I108" s="6">
        <f t="shared" si="3"/>
        <v>2139.861696764509</v>
      </c>
      <c r="J108" s="26" t="s">
        <v>29</v>
      </c>
      <c r="K108" s="6">
        <f t="shared" si="1"/>
        <v>2255.8012626563827</v>
      </c>
      <c r="M108" s="29">
        <f t="shared" si="4"/>
        <v>2388.1757239514604</v>
      </c>
    </row>
    <row r="109" spans="2:13" ht="12.75">
      <c r="B109" s="5" t="s">
        <v>164</v>
      </c>
      <c r="C109" s="5" t="s">
        <v>258</v>
      </c>
      <c r="D109" s="5" t="s">
        <v>66</v>
      </c>
      <c r="E109" s="5" t="s">
        <v>15</v>
      </c>
      <c r="G109" s="6">
        <f t="shared" si="3"/>
        <v>1.4002541874306509</v>
      </c>
      <c r="H109" s="26" t="s">
        <v>29</v>
      </c>
      <c r="I109" s="6">
        <f t="shared" si="3"/>
        <v>0.8661344963094443</v>
      </c>
      <c r="J109" s="26" t="s">
        <v>29</v>
      </c>
      <c r="K109" s="6">
        <f t="shared" si="1"/>
        <v>0.9784198247666236</v>
      </c>
      <c r="M109" s="29">
        <f t="shared" si="4"/>
        <v>1.0816028361689063</v>
      </c>
    </row>
    <row r="110" spans="2:13" ht="12.75">
      <c r="B110" s="5" t="s">
        <v>103</v>
      </c>
      <c r="C110" s="19" t="s">
        <v>258</v>
      </c>
      <c r="D110" s="5" t="s">
        <v>66</v>
      </c>
      <c r="E110" s="5" t="s">
        <v>15</v>
      </c>
      <c r="F110" s="5" t="s">
        <v>29</v>
      </c>
      <c r="G110" s="6">
        <f t="shared" si="3"/>
        <v>0.8965846021213209</v>
      </c>
      <c r="H110" s="26" t="s">
        <v>29</v>
      </c>
      <c r="I110" s="6">
        <f t="shared" si="3"/>
        <v>0.9680326723458493</v>
      </c>
      <c r="J110" s="26" t="s">
        <v>29</v>
      </c>
      <c r="K110" s="6">
        <f t="shared" si="1"/>
        <v>0.1611674878018356</v>
      </c>
      <c r="M110" s="29">
        <f t="shared" si="4"/>
        <v>0.675261587423002</v>
      </c>
    </row>
    <row r="111" spans="2:13" ht="12.75">
      <c r="B111" s="5" t="s">
        <v>165</v>
      </c>
      <c r="C111" s="5" t="s">
        <v>258</v>
      </c>
      <c r="D111" s="5" t="s">
        <v>66</v>
      </c>
      <c r="E111" s="5" t="s">
        <v>15</v>
      </c>
      <c r="F111" s="5" t="s">
        <v>29</v>
      </c>
      <c r="G111" s="6">
        <f t="shared" si="3"/>
        <v>3.4281175963462256</v>
      </c>
      <c r="H111" s="26" t="s">
        <v>29</v>
      </c>
      <c r="I111" s="6">
        <f t="shared" si="3"/>
        <v>4.075927041456207</v>
      </c>
      <c r="J111" s="26" t="s">
        <v>29</v>
      </c>
      <c r="K111" s="6">
        <f t="shared" si="1"/>
        <v>2.473227890382299</v>
      </c>
      <c r="M111" s="29">
        <f t="shared" si="4"/>
        <v>3.325757509394911</v>
      </c>
    </row>
    <row r="112" spans="2:13" ht="12.75">
      <c r="B112" s="5" t="s">
        <v>115</v>
      </c>
      <c r="C112" s="5" t="s">
        <v>258</v>
      </c>
      <c r="D112" s="5" t="s">
        <v>66</v>
      </c>
      <c r="E112" s="5" t="s">
        <v>15</v>
      </c>
      <c r="G112" s="6">
        <f t="shared" si="3"/>
        <v>334.9007190276697</v>
      </c>
      <c r="H112" s="26" t="s">
        <v>29</v>
      </c>
      <c r="I112" s="6">
        <f t="shared" si="3"/>
        <v>458.54179216382346</v>
      </c>
      <c r="J112" s="26" t="s">
        <v>29</v>
      </c>
      <c r="K112" s="6">
        <f t="shared" si="1"/>
        <v>48.9209912383312</v>
      </c>
      <c r="M112" s="29">
        <f t="shared" si="4"/>
        <v>280.7878341432748</v>
      </c>
    </row>
    <row r="113" spans="2:13" ht="12.75">
      <c r="B113" s="5" t="s">
        <v>275</v>
      </c>
      <c r="C113" s="5" t="s">
        <v>260</v>
      </c>
      <c r="D113" s="5" t="s">
        <v>66</v>
      </c>
      <c r="E113" s="5" t="s">
        <v>15</v>
      </c>
      <c r="G113" s="6">
        <f t="shared" si="3"/>
        <v>2.9007148892160366</v>
      </c>
      <c r="H113" s="26"/>
      <c r="I113" s="6">
        <f t="shared" si="3"/>
        <v>3.566436161274183</v>
      </c>
      <c r="J113" s="26"/>
      <c r="K113" s="6">
        <f t="shared" si="1"/>
        <v>3.5331827005461416</v>
      </c>
      <c r="M113" s="29">
        <f t="shared" si="4"/>
        <v>3.333444583678787</v>
      </c>
    </row>
    <row r="114" spans="2:13" ht="12.75">
      <c r="B114" s="5" t="s">
        <v>67</v>
      </c>
      <c r="C114" s="5" t="s">
        <v>258</v>
      </c>
      <c r="D114" s="5" t="s">
        <v>66</v>
      </c>
      <c r="E114" s="5" t="s">
        <v>15</v>
      </c>
      <c r="F114" s="5">
        <f>G91/G114*100</f>
        <v>18.37606837606837</v>
      </c>
      <c r="G114" s="6">
        <f>G97+G91</f>
        <v>6.170611673423207</v>
      </c>
      <c r="I114" s="6">
        <f>I97+I91</f>
        <v>4.3918113871690645</v>
      </c>
      <c r="J114" s="5">
        <f>K91/K114*100</f>
        <v>43.478260869565226</v>
      </c>
      <c r="K114" s="6">
        <f>K97/2+K91/2</f>
        <v>1.2502031094240191</v>
      </c>
      <c r="M114" s="25">
        <f>AVERAGE(K114,I114,G114)</f>
        <v>3.937542056672097</v>
      </c>
    </row>
    <row r="115" spans="2:13" ht="12.75">
      <c r="B115" s="5" t="s">
        <v>68</v>
      </c>
      <c r="C115" s="5" t="s">
        <v>258</v>
      </c>
      <c r="D115" s="5" t="s">
        <v>66</v>
      </c>
      <c r="E115" s="5" t="s">
        <v>15</v>
      </c>
      <c r="F115" s="5">
        <f>(G88+G90)/G115*100</f>
        <v>21.0549843540456</v>
      </c>
      <c r="G115" s="7">
        <f>G93+G90+G88</f>
        <v>2.949499639625579</v>
      </c>
      <c r="H115" s="5">
        <f>(I88+I90+I93)/I115*100</f>
        <v>100</v>
      </c>
      <c r="I115" s="7">
        <f>I93+I90+I88</f>
        <v>3.4849176204450583</v>
      </c>
      <c r="J115" s="5">
        <f>(K88+K90+K93)/K115*100</f>
        <v>100</v>
      </c>
      <c r="K115" s="7">
        <f>K93+K90+K88</f>
        <v>3.2296007715838306</v>
      </c>
      <c r="M115" s="25">
        <f>AVERAGE(K115,I115,G115)</f>
        <v>3.221339343884823</v>
      </c>
    </row>
    <row r="116" spans="7:9" ht="12.75">
      <c r="G116" s="26"/>
      <c r="I116" s="27"/>
    </row>
    <row r="117" spans="2:11" ht="12.75">
      <c r="B117" s="5"/>
      <c r="C117" s="5"/>
      <c r="G117" s="26"/>
      <c r="H117" s="21"/>
      <c r="I117" s="27"/>
      <c r="J117" s="21"/>
      <c r="K117" s="26"/>
    </row>
    <row r="118" spans="7:9" ht="12.75">
      <c r="G118" s="26"/>
      <c r="I118" s="27"/>
    </row>
    <row r="119" spans="2:9" ht="12.75">
      <c r="B119" s="5"/>
      <c r="C119" s="5"/>
      <c r="G119" s="26"/>
      <c r="I119" s="27"/>
    </row>
    <row r="120" spans="2:9" ht="12.75">
      <c r="B120" s="5"/>
      <c r="C120" s="5"/>
      <c r="G120" s="26"/>
      <c r="I120" s="27"/>
    </row>
    <row r="121" spans="2:9" ht="12.75">
      <c r="B121" s="5"/>
      <c r="C121" s="5"/>
      <c r="G121" s="26"/>
      <c r="I121" s="27"/>
    </row>
    <row r="122" spans="2:9" ht="12.75">
      <c r="B122" s="5"/>
      <c r="C122" s="5"/>
      <c r="G122" s="26"/>
      <c r="I122" s="27"/>
    </row>
    <row r="123" spans="7:9" ht="12.75">
      <c r="G123" s="26"/>
      <c r="I123" s="27"/>
    </row>
    <row r="124" spans="2:11" ht="12.75">
      <c r="B124" s="18"/>
      <c r="C124" s="18"/>
      <c r="G124" s="21"/>
      <c r="H124" s="21"/>
      <c r="I124" s="22"/>
      <c r="J124" s="21"/>
      <c r="K124" s="21"/>
    </row>
    <row r="127" spans="7:11" ht="12.75">
      <c r="G127" s="31"/>
      <c r="K127" s="31"/>
    </row>
    <row r="128" spans="7:11" ht="12.75">
      <c r="G128" s="31"/>
      <c r="K128" s="31"/>
    </row>
    <row r="129" spans="7:11" ht="12.75">
      <c r="G129" s="31"/>
      <c r="K129" s="31"/>
    </row>
    <row r="130" spans="7:11" ht="12.75">
      <c r="G130" s="31"/>
      <c r="K130" s="31"/>
    </row>
    <row r="131" spans="7:11" ht="12.75">
      <c r="G131" s="31"/>
      <c r="K131" s="31"/>
    </row>
    <row r="132" spans="7:11" ht="12.75">
      <c r="G132" s="31"/>
      <c r="K132" s="31"/>
    </row>
    <row r="133" spans="7:11" ht="12.75">
      <c r="G133" s="31"/>
      <c r="K133" s="31"/>
    </row>
    <row r="134" spans="7:11" ht="12.75">
      <c r="G134" s="31"/>
      <c r="K134" s="31"/>
    </row>
    <row r="135" spans="7:11" ht="12.75">
      <c r="G135" s="31"/>
      <c r="K135" s="31"/>
    </row>
    <row r="136" spans="7:11" ht="12.75">
      <c r="G136" s="31"/>
      <c r="K136" s="31"/>
    </row>
    <row r="137" spans="7:11" ht="12.75">
      <c r="G137" s="31"/>
      <c r="K137" s="31"/>
    </row>
    <row r="138" spans="7:11" ht="12.75">
      <c r="G138" s="31"/>
      <c r="K138" s="31"/>
    </row>
    <row r="140" spans="7:11" ht="12.75">
      <c r="G140" s="31"/>
      <c r="K140" s="31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K53"/>
  <sheetViews>
    <sheetView workbookViewId="0" topLeftCell="B25">
      <selection activeCell="B2" sqref="B2"/>
    </sheetView>
  </sheetViews>
  <sheetFormatPr defaultColWidth="9.140625" defaultRowHeight="12.75"/>
  <cols>
    <col min="1" max="1" width="1.421875" style="0" hidden="1" customWidth="1"/>
    <col min="2" max="2" width="21.00390625" style="0" bestFit="1" customWidth="1"/>
    <col min="3" max="3" width="9.7109375" style="0" customWidth="1"/>
    <col min="5" max="5" width="3.421875" style="0" customWidth="1"/>
    <col min="6" max="6" width="2.140625" style="0" customWidth="1"/>
    <col min="7" max="7" width="10.421875" style="0" customWidth="1"/>
    <col min="8" max="8" width="2.28125" style="0" customWidth="1"/>
    <col min="9" max="9" width="10.8515625" style="0" customWidth="1"/>
    <col min="10" max="10" width="2.7109375" style="0" customWidth="1"/>
    <col min="11" max="11" width="10.140625" style="0" customWidth="1"/>
    <col min="12" max="12" width="2.7109375" style="0" customWidth="1"/>
    <col min="13" max="13" width="10.7109375" style="0" customWidth="1"/>
    <col min="14" max="14" width="2.421875" style="0" hidden="1" customWidth="1"/>
    <col min="15" max="15" width="0" style="0" hidden="1" customWidth="1"/>
    <col min="16" max="16" width="2.28125" style="0" hidden="1" customWidth="1"/>
    <col min="17" max="21" width="0" style="0" hidden="1" customWidth="1"/>
    <col min="22" max="23" width="9.140625" style="0" hidden="1" customWidth="1"/>
    <col min="24" max="24" width="0" style="0" hidden="1" customWidth="1"/>
  </cols>
  <sheetData>
    <row r="1" ht="12.75">
      <c r="B1" s="3" t="s">
        <v>239</v>
      </c>
    </row>
    <row r="2" ht="12.75">
      <c r="B2" s="3"/>
    </row>
    <row r="4" spans="2:13" ht="12.75">
      <c r="B4" s="3" t="s">
        <v>135</v>
      </c>
      <c r="G4" s="69" t="s">
        <v>210</v>
      </c>
      <c r="H4" s="69"/>
      <c r="I4" s="69" t="s">
        <v>211</v>
      </c>
      <c r="J4" s="69"/>
      <c r="K4" s="69" t="s">
        <v>212</v>
      </c>
      <c r="L4" s="69"/>
      <c r="M4" s="69" t="s">
        <v>48</v>
      </c>
    </row>
    <row r="6" spans="1:24" s="61" customFormat="1" ht="12.75">
      <c r="A6" s="61" t="s">
        <v>135</v>
      </c>
      <c r="B6" s="61" t="s">
        <v>13</v>
      </c>
      <c r="C6" s="61" t="s">
        <v>258</v>
      </c>
      <c r="D6" s="61" t="s">
        <v>14</v>
      </c>
      <c r="E6" s="61" t="s">
        <v>15</v>
      </c>
      <c r="F6" s="62" t="s">
        <v>213</v>
      </c>
      <c r="G6" s="63">
        <v>0.01200011904</v>
      </c>
      <c r="H6" s="63" t="s">
        <v>213</v>
      </c>
      <c r="I6" s="63">
        <v>0.01100010912</v>
      </c>
      <c r="J6" s="63" t="s">
        <v>213</v>
      </c>
      <c r="K6" s="63">
        <v>0.00800007936</v>
      </c>
      <c r="L6" s="63" t="s">
        <v>213</v>
      </c>
      <c r="M6" s="63">
        <f>AVERAGE(G6,I6,K6)</f>
        <v>0.01033343584</v>
      </c>
      <c r="N6" s="63" t="s">
        <v>213</v>
      </c>
      <c r="O6" s="63"/>
      <c r="P6" s="63" t="s">
        <v>213</v>
      </c>
      <c r="Q6" s="63"/>
      <c r="R6" s="63" t="s">
        <v>213</v>
      </c>
      <c r="S6" s="63"/>
      <c r="T6" s="63" t="s">
        <v>213</v>
      </c>
      <c r="U6" s="63"/>
      <c r="V6" s="62" t="s">
        <v>213</v>
      </c>
      <c r="W6" s="62"/>
      <c r="X6" s="61">
        <v>0.01033343584</v>
      </c>
    </row>
    <row r="7" spans="1:24" s="61" customFormat="1" ht="12.75">
      <c r="A7" s="61" t="s">
        <v>135</v>
      </c>
      <c r="B7" s="61" t="s">
        <v>55</v>
      </c>
      <c r="C7" s="61" t="s">
        <v>258</v>
      </c>
      <c r="D7" s="61" t="s">
        <v>16</v>
      </c>
      <c r="E7" s="61" t="s">
        <v>15</v>
      </c>
      <c r="F7" s="62" t="s">
        <v>213</v>
      </c>
      <c r="G7" s="64">
        <v>0.2805488609268</v>
      </c>
      <c r="H7" s="64" t="s">
        <v>213</v>
      </c>
      <c r="I7" s="64">
        <v>0.7631687257373624</v>
      </c>
      <c r="J7" s="64" t="s">
        <v>213</v>
      </c>
      <c r="K7" s="64">
        <v>0.33543885545595636</v>
      </c>
      <c r="L7" s="62" t="s">
        <v>213</v>
      </c>
      <c r="M7" s="64">
        <f>AVERAGE(G7,I7,K7)</f>
        <v>0.4597188140400396</v>
      </c>
      <c r="N7" s="62" t="s">
        <v>213</v>
      </c>
      <c r="O7" s="62"/>
      <c r="P7" s="62" t="s">
        <v>213</v>
      </c>
      <c r="Q7" s="62"/>
      <c r="R7" s="62" t="s">
        <v>213</v>
      </c>
      <c r="S7" s="62"/>
      <c r="T7" s="62" t="s">
        <v>213</v>
      </c>
      <c r="U7" s="62"/>
      <c r="V7" s="62" t="s">
        <v>213</v>
      </c>
      <c r="W7" s="62"/>
      <c r="X7" s="61">
        <v>0.4597188140400396</v>
      </c>
    </row>
    <row r="8" spans="6:23" s="61" customFormat="1" ht="12.75">
      <c r="F8" s="62"/>
      <c r="G8" s="64"/>
      <c r="H8" s="64"/>
      <c r="I8" s="64"/>
      <c r="J8" s="64"/>
      <c r="K8" s="64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2:23" s="61" customFormat="1" ht="12.75">
      <c r="B9" s="61" t="s">
        <v>114</v>
      </c>
      <c r="C9" s="61" t="s">
        <v>214</v>
      </c>
      <c r="D9" s="61" t="s">
        <v>258</v>
      </c>
      <c r="F9" s="62"/>
      <c r="G9" s="64"/>
      <c r="H9" s="64"/>
      <c r="I9" s="64"/>
      <c r="J9" s="64"/>
      <c r="K9" s="64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2:63" s="61" customFormat="1" ht="12.75">
      <c r="B10" s="14" t="s">
        <v>92</v>
      </c>
      <c r="C10" s="14"/>
      <c r="D10" s="14" t="s">
        <v>17</v>
      </c>
      <c r="G10" s="64">
        <v>28887.3974</v>
      </c>
      <c r="H10" s="64"/>
      <c r="I10" s="64">
        <v>28357.6774</v>
      </c>
      <c r="J10" s="64"/>
      <c r="K10" s="64">
        <v>29063.9707</v>
      </c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</row>
    <row r="11" spans="2:63" s="61" customFormat="1" ht="12.75">
      <c r="B11" s="14" t="s">
        <v>109</v>
      </c>
      <c r="C11" s="14"/>
      <c r="D11" s="14" t="s">
        <v>18</v>
      </c>
      <c r="G11" s="64">
        <v>14.4</v>
      </c>
      <c r="H11" s="64"/>
      <c r="I11" s="64">
        <v>13.6</v>
      </c>
      <c r="J11" s="64"/>
      <c r="K11" s="64">
        <v>14.1</v>
      </c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</row>
    <row r="12" spans="1:63" s="61" customFormat="1" ht="12.75">
      <c r="A12" s="61" t="s">
        <v>135</v>
      </c>
      <c r="B12" s="14" t="s">
        <v>110</v>
      </c>
      <c r="C12" s="14"/>
      <c r="D12" s="14" t="s">
        <v>18</v>
      </c>
      <c r="G12" s="64">
        <v>15.9</v>
      </c>
      <c r="H12" s="64"/>
      <c r="I12" s="64">
        <v>16</v>
      </c>
      <c r="J12" s="64"/>
      <c r="K12" s="64">
        <v>15.8</v>
      </c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</row>
    <row r="13" spans="2:63" s="61" customFormat="1" ht="12.75">
      <c r="B13" s="14" t="s">
        <v>91</v>
      </c>
      <c r="C13" s="14"/>
      <c r="D13" s="14" t="s">
        <v>19</v>
      </c>
      <c r="G13" s="64">
        <v>131.9</v>
      </c>
      <c r="H13" s="64"/>
      <c r="I13" s="64">
        <v>131.9</v>
      </c>
      <c r="J13" s="64"/>
      <c r="K13" s="64">
        <v>131.9</v>
      </c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</row>
    <row r="14" spans="7:63" s="61" customFormat="1" ht="12.75"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</row>
    <row r="15" spans="1:57" s="65" customFormat="1" ht="12.75">
      <c r="A15" s="65" t="s">
        <v>135</v>
      </c>
      <c r="B15" s="65" t="s">
        <v>215</v>
      </c>
      <c r="C15" s="65" t="s">
        <v>56</v>
      </c>
      <c r="D15" s="65" t="s">
        <v>18</v>
      </c>
      <c r="G15" s="66">
        <v>99.99993</v>
      </c>
      <c r="H15" s="66"/>
      <c r="I15" s="66">
        <v>99.99997</v>
      </c>
      <c r="J15" s="66"/>
      <c r="K15" s="66">
        <v>99.99993</v>
      </c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</row>
    <row r="16" spans="1:57" s="65" customFormat="1" ht="12.75">
      <c r="A16" s="65" t="s">
        <v>135</v>
      </c>
      <c r="B16" s="65" t="s">
        <v>216</v>
      </c>
      <c r="C16" s="65" t="s">
        <v>56</v>
      </c>
      <c r="D16" s="65" t="s">
        <v>18</v>
      </c>
      <c r="G16" s="66">
        <v>99.99995</v>
      </c>
      <c r="H16" s="66"/>
      <c r="I16" s="66">
        <v>99.99997</v>
      </c>
      <c r="J16" s="66"/>
      <c r="K16" s="66">
        <v>99.99996</v>
      </c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</row>
    <row r="17" spans="1:57" s="65" customFormat="1" ht="12.75">
      <c r="A17" s="65" t="s">
        <v>135</v>
      </c>
      <c r="B17" s="65" t="s">
        <v>217</v>
      </c>
      <c r="C17" s="65" t="s">
        <v>56</v>
      </c>
      <c r="D17" s="65" t="s">
        <v>18</v>
      </c>
      <c r="G17" s="66">
        <v>99.9997</v>
      </c>
      <c r="H17" s="66"/>
      <c r="I17" s="66">
        <v>99.9998</v>
      </c>
      <c r="J17" s="66"/>
      <c r="K17" s="66">
        <v>99.9998</v>
      </c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</row>
    <row r="18" spans="6:23" s="61" customFormat="1" ht="12.75">
      <c r="F18" s="62"/>
      <c r="G18" s="64"/>
      <c r="H18" s="64"/>
      <c r="I18" s="64"/>
      <c r="J18" s="64"/>
      <c r="K18" s="64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</row>
    <row r="19" spans="2:23" s="61" customFormat="1" ht="12.75">
      <c r="B19" s="50" t="s">
        <v>169</v>
      </c>
      <c r="F19" s="62"/>
      <c r="G19" s="69" t="s">
        <v>210</v>
      </c>
      <c r="H19" s="69"/>
      <c r="I19" s="69" t="s">
        <v>211</v>
      </c>
      <c r="J19" s="69"/>
      <c r="K19" s="69" t="s">
        <v>212</v>
      </c>
      <c r="L19" s="69"/>
      <c r="M19" s="69" t="s">
        <v>48</v>
      </c>
      <c r="N19" s="62"/>
      <c r="O19" s="62"/>
      <c r="P19" s="62"/>
      <c r="Q19" s="62"/>
      <c r="R19" s="62"/>
      <c r="S19" s="62"/>
      <c r="T19" s="62"/>
      <c r="U19" s="62"/>
      <c r="V19" s="62"/>
      <c r="W19" s="62"/>
    </row>
    <row r="20" spans="6:23" s="61" customFormat="1" ht="12.75">
      <c r="F20" s="62"/>
      <c r="G20" s="64"/>
      <c r="H20" s="64"/>
      <c r="I20" s="64"/>
      <c r="J20" s="64"/>
      <c r="K20" s="64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</row>
    <row r="21" spans="1:24" s="61" customFormat="1" ht="12.75">
      <c r="A21" s="61" t="s">
        <v>169</v>
      </c>
      <c r="B21" s="61" t="s">
        <v>13</v>
      </c>
      <c r="C21" s="61" t="s">
        <v>258</v>
      </c>
      <c r="D21" s="61" t="s">
        <v>14</v>
      </c>
      <c r="E21" s="61" t="s">
        <v>15</v>
      </c>
      <c r="F21" s="62" t="s">
        <v>213</v>
      </c>
      <c r="G21" s="63">
        <v>0.00400003968</v>
      </c>
      <c r="H21" s="63" t="s">
        <v>213</v>
      </c>
      <c r="I21" s="63">
        <v>0.00600005952</v>
      </c>
      <c r="J21" s="63" t="s">
        <v>213</v>
      </c>
      <c r="K21" s="63">
        <v>0.00400003968</v>
      </c>
      <c r="L21" s="63" t="s">
        <v>213</v>
      </c>
      <c r="M21" s="63">
        <f>AVERAGE(G21,I21,K21)</f>
        <v>0.0046667129600000004</v>
      </c>
      <c r="N21" s="63" t="s">
        <v>213</v>
      </c>
      <c r="O21" s="63"/>
      <c r="P21" s="63" t="s">
        <v>213</v>
      </c>
      <c r="Q21" s="63"/>
      <c r="R21" s="63" t="s">
        <v>213</v>
      </c>
      <c r="S21" s="63"/>
      <c r="T21" s="63" t="s">
        <v>213</v>
      </c>
      <c r="U21" s="63"/>
      <c r="V21" s="62" t="s">
        <v>213</v>
      </c>
      <c r="W21" s="62"/>
      <c r="X21" s="61">
        <v>0.0046667129600000004</v>
      </c>
    </row>
    <row r="22" spans="1:24" s="61" customFormat="1" ht="12.75">
      <c r="A22" s="61" t="s">
        <v>169</v>
      </c>
      <c r="B22" s="61" t="s">
        <v>55</v>
      </c>
      <c r="C22" s="61" t="s">
        <v>258</v>
      </c>
      <c r="D22" s="61" t="s">
        <v>16</v>
      </c>
      <c r="E22" s="61" t="s">
        <v>15</v>
      </c>
      <c r="F22" s="62" t="s">
        <v>213</v>
      </c>
      <c r="G22" s="64">
        <v>2.0319753212841</v>
      </c>
      <c r="H22" s="64" t="s">
        <v>213</v>
      </c>
      <c r="I22" s="64">
        <v>2.0059243556266195</v>
      </c>
      <c r="J22" s="64" t="s">
        <v>213</v>
      </c>
      <c r="K22" s="64">
        <v>0.7093878340577655</v>
      </c>
      <c r="L22" s="62" t="s">
        <v>213</v>
      </c>
      <c r="M22" s="64">
        <f>AVERAGE(G22,I22,K22)</f>
        <v>1.5824291703228281</v>
      </c>
      <c r="N22" s="62" t="s">
        <v>213</v>
      </c>
      <c r="O22" s="62"/>
      <c r="P22" s="62" t="s">
        <v>213</v>
      </c>
      <c r="Q22" s="62"/>
      <c r="R22" s="62" t="s">
        <v>213</v>
      </c>
      <c r="S22" s="62"/>
      <c r="T22" s="62" t="s">
        <v>213</v>
      </c>
      <c r="U22" s="62"/>
      <c r="V22" s="62" t="s">
        <v>213</v>
      </c>
      <c r="W22" s="62"/>
      <c r="X22" s="61">
        <v>1.5824291703228284</v>
      </c>
    </row>
    <row r="23" spans="6:23" s="61" customFormat="1" ht="12.75">
      <c r="F23" s="62"/>
      <c r="G23" s="64"/>
      <c r="H23" s="64"/>
      <c r="I23" s="64"/>
      <c r="J23" s="64"/>
      <c r="K23" s="64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</row>
    <row r="24" spans="2:23" s="61" customFormat="1" ht="12.75">
      <c r="B24" s="61" t="s">
        <v>114</v>
      </c>
      <c r="C24" s="61" t="s">
        <v>218</v>
      </c>
      <c r="D24" s="61" t="s">
        <v>258</v>
      </c>
      <c r="F24" s="62"/>
      <c r="G24" s="64"/>
      <c r="H24" s="64"/>
      <c r="I24" s="64"/>
      <c r="J24" s="64"/>
      <c r="K24" s="64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</row>
    <row r="25" spans="2:63" s="61" customFormat="1" ht="12.75">
      <c r="B25" s="14" t="s">
        <v>92</v>
      </c>
      <c r="C25" s="14"/>
      <c r="D25" s="14" t="s">
        <v>17</v>
      </c>
      <c r="G25" s="64">
        <v>35597.1841</v>
      </c>
      <c r="H25" s="64"/>
      <c r="I25" s="64">
        <v>36126.9041</v>
      </c>
      <c r="J25" s="64"/>
      <c r="K25" s="64">
        <v>36621.3094</v>
      </c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</row>
    <row r="26" spans="2:63" s="61" customFormat="1" ht="12.75">
      <c r="B26" s="14" t="s">
        <v>109</v>
      </c>
      <c r="C26" s="14"/>
      <c r="D26" s="14" t="s">
        <v>18</v>
      </c>
      <c r="G26" s="64">
        <v>13.3</v>
      </c>
      <c r="H26" s="64"/>
      <c r="I26" s="64">
        <v>13.8</v>
      </c>
      <c r="J26" s="64"/>
      <c r="K26" s="64">
        <v>13.3</v>
      </c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</row>
    <row r="27" spans="1:63" s="61" customFormat="1" ht="12.75">
      <c r="A27" s="61" t="s">
        <v>169</v>
      </c>
      <c r="B27" s="14" t="s">
        <v>110</v>
      </c>
      <c r="C27" s="14"/>
      <c r="D27" s="14" t="s">
        <v>18</v>
      </c>
      <c r="G27" s="64">
        <v>17.8</v>
      </c>
      <c r="H27" s="64"/>
      <c r="I27" s="64">
        <v>17.5</v>
      </c>
      <c r="J27" s="64"/>
      <c r="K27" s="64">
        <v>17.7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</row>
    <row r="28" spans="2:63" s="61" customFormat="1" ht="12.75">
      <c r="B28" s="14" t="s">
        <v>91</v>
      </c>
      <c r="C28" s="14"/>
      <c r="D28" s="14" t="s">
        <v>19</v>
      </c>
      <c r="G28" s="64">
        <v>134.96</v>
      </c>
      <c r="H28" s="64"/>
      <c r="I28" s="64">
        <v>135.86</v>
      </c>
      <c r="J28" s="64"/>
      <c r="K28" s="64">
        <v>136.94</v>
      </c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</row>
    <row r="29" spans="7:63" s="61" customFormat="1" ht="12.75"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</row>
    <row r="30" spans="1:57" s="65" customFormat="1" ht="12.75">
      <c r="A30" s="65" t="s">
        <v>169</v>
      </c>
      <c r="B30" s="65" t="s">
        <v>308</v>
      </c>
      <c r="C30" s="65" t="s">
        <v>56</v>
      </c>
      <c r="D30" s="65" t="s">
        <v>18</v>
      </c>
      <c r="G30" s="66">
        <v>99.99997</v>
      </c>
      <c r="H30" s="66"/>
      <c r="I30" s="66">
        <v>99.99996</v>
      </c>
      <c r="J30" s="66"/>
      <c r="K30" s="66">
        <v>99.99996</v>
      </c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</row>
    <row r="31" spans="1:57" s="65" customFormat="1" ht="12.75">
      <c r="A31" s="65" t="s">
        <v>169</v>
      </c>
      <c r="B31" s="65" t="s">
        <v>216</v>
      </c>
      <c r="C31" s="65" t="s">
        <v>56</v>
      </c>
      <c r="D31" s="65" t="s">
        <v>18</v>
      </c>
      <c r="G31" s="66">
        <v>99.9998</v>
      </c>
      <c r="H31" s="66"/>
      <c r="I31" s="66">
        <v>99.9998</v>
      </c>
      <c r="J31" s="66"/>
      <c r="K31" s="66">
        <v>99.9999</v>
      </c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</row>
    <row r="32" spans="7:63" s="61" customFormat="1" ht="12.75"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</row>
    <row r="33" spans="2:63" s="61" customFormat="1" ht="12.75">
      <c r="B33" s="50" t="s">
        <v>208</v>
      </c>
      <c r="G33" s="69" t="s">
        <v>210</v>
      </c>
      <c r="H33" s="69"/>
      <c r="I33" s="69" t="s">
        <v>211</v>
      </c>
      <c r="J33" s="69"/>
      <c r="K33" s="69" t="s">
        <v>212</v>
      </c>
      <c r="L33" s="69"/>
      <c r="M33" s="69" t="s">
        <v>48</v>
      </c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4"/>
      <c r="BC33" s="64"/>
      <c r="BD33" s="64"/>
      <c r="BE33" s="64"/>
      <c r="BF33" s="64"/>
      <c r="BG33" s="64"/>
      <c r="BH33" s="64"/>
      <c r="BI33" s="64"/>
      <c r="BJ33" s="64"/>
      <c r="BK33" s="64"/>
    </row>
    <row r="34" spans="6:23" s="61" customFormat="1" ht="12.75">
      <c r="F34" s="62"/>
      <c r="G34" s="64"/>
      <c r="H34" s="64"/>
      <c r="I34" s="64"/>
      <c r="J34" s="64"/>
      <c r="K34" s="64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</row>
    <row r="35" spans="1:24" s="61" customFormat="1" ht="12.75">
      <c r="A35" s="61" t="s">
        <v>208</v>
      </c>
      <c r="B35" s="61" t="s">
        <v>13</v>
      </c>
      <c r="C35" s="61" t="s">
        <v>260</v>
      </c>
      <c r="D35" s="61" t="s">
        <v>14</v>
      </c>
      <c r="E35" s="61" t="s">
        <v>15</v>
      </c>
      <c r="F35" s="62" t="s">
        <v>213</v>
      </c>
      <c r="G35" s="63">
        <v>0.00300002976</v>
      </c>
      <c r="H35" s="63" t="s">
        <v>213</v>
      </c>
      <c r="I35" s="63">
        <v>0.00300002976</v>
      </c>
      <c r="J35" s="63" t="s">
        <v>213</v>
      </c>
      <c r="K35" s="63">
        <v>0.00300002976</v>
      </c>
      <c r="L35" s="63" t="s">
        <v>213</v>
      </c>
      <c r="M35" s="64">
        <f aca="true" t="shared" si="0" ref="M35:M41">AVERAGE(G35,I35,K35)</f>
        <v>0.00300002976</v>
      </c>
      <c r="N35" s="63" t="s">
        <v>213</v>
      </c>
      <c r="O35" s="63"/>
      <c r="P35" s="63" t="s">
        <v>213</v>
      </c>
      <c r="Q35" s="63"/>
      <c r="R35" s="63" t="s">
        <v>213</v>
      </c>
      <c r="S35" s="63"/>
      <c r="T35" s="63" t="s">
        <v>213</v>
      </c>
      <c r="U35" s="63"/>
      <c r="V35" s="62" t="s">
        <v>213</v>
      </c>
      <c r="W35" s="62"/>
      <c r="X35" s="61">
        <v>0.00300002976</v>
      </c>
    </row>
    <row r="36" spans="1:24" s="61" customFormat="1" ht="12.75">
      <c r="A36" s="61" t="s">
        <v>208</v>
      </c>
      <c r="B36" s="61" t="s">
        <v>95</v>
      </c>
      <c r="C36" s="61" t="s">
        <v>258</v>
      </c>
      <c r="D36" s="61" t="s">
        <v>66</v>
      </c>
      <c r="E36" s="61" t="s">
        <v>15</v>
      </c>
      <c r="F36" s="62" t="s">
        <v>213</v>
      </c>
      <c r="G36" s="64">
        <v>6.3383606676923</v>
      </c>
      <c r="H36" s="64" t="s">
        <v>213</v>
      </c>
      <c r="I36" s="64">
        <v>4.924698580673438</v>
      </c>
      <c r="J36" s="64" t="s">
        <v>213</v>
      </c>
      <c r="K36" s="64">
        <v>5.4062246641170635</v>
      </c>
      <c r="L36" s="62" t="s">
        <v>213</v>
      </c>
      <c r="M36" s="64">
        <f t="shared" si="0"/>
        <v>5.556427970827602</v>
      </c>
      <c r="N36" s="62" t="s">
        <v>213</v>
      </c>
      <c r="O36" s="62"/>
      <c r="P36" s="62" t="s">
        <v>213</v>
      </c>
      <c r="Q36" s="62"/>
      <c r="R36" s="62" t="s">
        <v>213</v>
      </c>
      <c r="S36" s="62"/>
      <c r="T36" s="62" t="s">
        <v>213</v>
      </c>
      <c r="U36" s="62"/>
      <c r="V36" s="62" t="s">
        <v>213</v>
      </c>
      <c r="W36" s="62"/>
      <c r="X36" s="61">
        <v>5.5564279708276</v>
      </c>
    </row>
    <row r="37" spans="1:24" s="61" customFormat="1" ht="12.75">
      <c r="A37" s="61" t="s">
        <v>208</v>
      </c>
      <c r="B37" s="61" t="s">
        <v>98</v>
      </c>
      <c r="C37" s="61" t="s">
        <v>258</v>
      </c>
      <c r="D37" s="61" t="s">
        <v>66</v>
      </c>
      <c r="E37" s="61" t="s">
        <v>15</v>
      </c>
      <c r="F37" s="62" t="s">
        <v>213</v>
      </c>
      <c r="G37" s="64">
        <v>168.49475441615385</v>
      </c>
      <c r="H37" s="64" t="s">
        <v>213</v>
      </c>
      <c r="I37" s="64">
        <v>101.77710400058439</v>
      </c>
      <c r="J37" s="64" t="s">
        <v>213</v>
      </c>
      <c r="K37" s="64">
        <v>113.81525608667503</v>
      </c>
      <c r="L37" s="62" t="s">
        <v>213</v>
      </c>
      <c r="M37" s="64">
        <f t="shared" si="0"/>
        <v>128.02903816780443</v>
      </c>
      <c r="N37" s="62" t="s">
        <v>213</v>
      </c>
      <c r="O37" s="62"/>
      <c r="P37" s="62" t="s">
        <v>213</v>
      </c>
      <c r="Q37" s="62"/>
      <c r="R37" s="62" t="s">
        <v>213</v>
      </c>
      <c r="S37" s="62"/>
      <c r="T37" s="62" t="s">
        <v>213</v>
      </c>
      <c r="U37" s="62"/>
      <c r="V37" s="62" t="s">
        <v>213</v>
      </c>
      <c r="W37" s="62"/>
      <c r="X37" s="61">
        <v>128.02903816780443</v>
      </c>
    </row>
    <row r="38" spans="1:24" s="61" customFormat="1" ht="12.75">
      <c r="A38" s="61" t="s">
        <v>208</v>
      </c>
      <c r="B38" s="61" t="s">
        <v>113</v>
      </c>
      <c r="C38" s="65" t="s">
        <v>258</v>
      </c>
      <c r="D38" s="61" t="s">
        <v>66</v>
      </c>
      <c r="E38" s="61" t="s">
        <v>15</v>
      </c>
      <c r="F38" s="62" t="s">
        <v>213</v>
      </c>
      <c r="G38" s="64">
        <v>5.810163945384616</v>
      </c>
      <c r="H38" s="64" t="s">
        <v>213</v>
      </c>
      <c r="I38" s="64">
        <v>15.047690107613283</v>
      </c>
      <c r="J38" s="64" t="s">
        <v>213</v>
      </c>
      <c r="K38" s="64">
        <v>11.381525608667502</v>
      </c>
      <c r="L38" s="62" t="s">
        <v>213</v>
      </c>
      <c r="M38" s="64">
        <f t="shared" si="0"/>
        <v>10.746459887221802</v>
      </c>
      <c r="N38" s="62" t="s">
        <v>213</v>
      </c>
      <c r="O38" s="62"/>
      <c r="P38" s="62" t="s">
        <v>213</v>
      </c>
      <c r="Q38" s="62"/>
      <c r="R38" s="62" t="s">
        <v>213</v>
      </c>
      <c r="S38" s="62"/>
      <c r="T38" s="62" t="s">
        <v>213</v>
      </c>
      <c r="U38" s="62"/>
      <c r="V38" s="62" t="s">
        <v>213</v>
      </c>
      <c r="W38" s="62"/>
      <c r="X38" s="61">
        <v>10.746459887221802</v>
      </c>
    </row>
    <row r="39" spans="1:24" s="61" customFormat="1" ht="12.75">
      <c r="A39" s="61" t="s">
        <v>208</v>
      </c>
      <c r="B39" s="61" t="s">
        <v>93</v>
      </c>
      <c r="C39" s="65" t="s">
        <v>258</v>
      </c>
      <c r="D39" s="61" t="s">
        <v>66</v>
      </c>
      <c r="E39" s="61" t="s">
        <v>15</v>
      </c>
      <c r="F39" s="62" t="s">
        <v>213</v>
      </c>
      <c r="G39" s="64">
        <v>59.950327981923</v>
      </c>
      <c r="H39" s="64" t="s">
        <v>213</v>
      </c>
      <c r="I39" s="64">
        <v>51.162146365885164</v>
      </c>
      <c r="J39" s="64" t="s">
        <v>213</v>
      </c>
      <c r="K39" s="64">
        <v>2.8453814021668755</v>
      </c>
      <c r="L39" s="62" t="s">
        <v>213</v>
      </c>
      <c r="M39" s="64">
        <f t="shared" si="0"/>
        <v>37.985951916658344</v>
      </c>
      <c r="N39" s="62" t="s">
        <v>213</v>
      </c>
      <c r="O39" s="62"/>
      <c r="P39" s="62" t="s">
        <v>213</v>
      </c>
      <c r="Q39" s="62"/>
      <c r="R39" s="62" t="s">
        <v>213</v>
      </c>
      <c r="S39" s="62"/>
      <c r="T39" s="62" t="s">
        <v>213</v>
      </c>
      <c r="U39" s="62"/>
      <c r="V39" s="62" t="s">
        <v>213</v>
      </c>
      <c r="W39" s="62"/>
      <c r="X39" s="61">
        <v>37.985951916658344</v>
      </c>
    </row>
    <row r="40" spans="2:23" s="61" customFormat="1" ht="12.75">
      <c r="B40" s="61" t="s">
        <v>67</v>
      </c>
      <c r="C40" s="65" t="s">
        <v>258</v>
      </c>
      <c r="D40" s="61" t="s">
        <v>66</v>
      </c>
      <c r="E40" s="61" t="s">
        <v>15</v>
      </c>
      <c r="F40" s="62"/>
      <c r="G40" s="64">
        <f>G37+G39</f>
        <v>228.44508239807686</v>
      </c>
      <c r="H40" s="64"/>
      <c r="I40" s="64">
        <f>I37+I39</f>
        <v>152.93925036646954</v>
      </c>
      <c r="J40" s="64"/>
      <c r="K40" s="64">
        <f>K37+K39</f>
        <v>116.66063748884191</v>
      </c>
      <c r="L40" s="62"/>
      <c r="M40" s="64">
        <f t="shared" si="0"/>
        <v>166.01499008446277</v>
      </c>
      <c r="N40" s="62"/>
      <c r="O40" s="62"/>
      <c r="P40" s="62"/>
      <c r="Q40" s="62"/>
      <c r="R40" s="62"/>
      <c r="S40" s="62"/>
      <c r="T40" s="62"/>
      <c r="U40" s="62"/>
      <c r="V40" s="62"/>
      <c r="W40" s="62"/>
    </row>
    <row r="41" spans="2:25" s="61" customFormat="1" ht="12.75">
      <c r="B41" s="61" t="s">
        <v>68</v>
      </c>
      <c r="C41" s="65" t="s">
        <v>258</v>
      </c>
      <c r="D41" s="61" t="s">
        <v>66</v>
      </c>
      <c r="E41" s="61" t="s">
        <v>15</v>
      </c>
      <c r="F41" s="62"/>
      <c r="G41" s="64">
        <f>G36+G38</f>
        <v>12.148524613076916</v>
      </c>
      <c r="H41" s="64"/>
      <c r="I41" s="64">
        <f>I36+I38</f>
        <v>19.97238868828672</v>
      </c>
      <c r="J41" s="64"/>
      <c r="K41" s="64">
        <f>K36+K38</f>
        <v>16.787750272784564</v>
      </c>
      <c r="L41" s="62"/>
      <c r="M41" s="64">
        <f t="shared" si="0"/>
        <v>16.3028878580494</v>
      </c>
      <c r="N41" s="62"/>
      <c r="O41" s="62"/>
      <c r="P41" s="62"/>
      <c r="Q41" s="62"/>
      <c r="R41" s="62"/>
      <c r="S41" s="62"/>
      <c r="T41" s="62"/>
      <c r="U41" s="62"/>
      <c r="V41" s="62"/>
      <c r="W41" s="62"/>
      <c r="Y41" s="61" t="s">
        <v>261</v>
      </c>
    </row>
    <row r="43" spans="2:4" ht="12.75">
      <c r="B43" t="s">
        <v>114</v>
      </c>
      <c r="C43" s="61" t="s">
        <v>219</v>
      </c>
      <c r="D43" t="s">
        <v>258</v>
      </c>
    </row>
    <row r="44" spans="2:63" s="61" customFormat="1" ht="12.75">
      <c r="B44" s="14" t="s">
        <v>92</v>
      </c>
      <c r="C44" s="14"/>
      <c r="D44" s="14" t="s">
        <v>17</v>
      </c>
      <c r="G44" s="64">
        <v>24000</v>
      </c>
      <c r="H44" s="64"/>
      <c r="I44" s="64">
        <v>23167</v>
      </c>
      <c r="J44" s="64"/>
      <c r="K44" s="64">
        <v>23167</v>
      </c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</row>
    <row r="45" spans="2:63" s="61" customFormat="1" ht="12.75">
      <c r="B45" s="14" t="s">
        <v>109</v>
      </c>
      <c r="C45" s="14"/>
      <c r="D45" s="14" t="s">
        <v>18</v>
      </c>
      <c r="G45" s="64">
        <v>8</v>
      </c>
      <c r="H45" s="64"/>
      <c r="I45" s="64">
        <v>8</v>
      </c>
      <c r="J45" s="64"/>
      <c r="K45" s="64">
        <v>8.5</v>
      </c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</row>
    <row r="46" spans="1:63" s="61" customFormat="1" ht="12.75">
      <c r="A46" s="61" t="s">
        <v>208</v>
      </c>
      <c r="B46" s="14" t="s">
        <v>110</v>
      </c>
      <c r="C46" s="14"/>
      <c r="D46" s="14" t="s">
        <v>18</v>
      </c>
      <c r="G46" s="64">
        <v>24.3</v>
      </c>
      <c r="H46" s="64"/>
      <c r="I46" s="64">
        <v>23.5</v>
      </c>
      <c r="J46" s="64"/>
      <c r="K46" s="64">
        <v>23.4</v>
      </c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</row>
    <row r="47" spans="2:63" s="61" customFormat="1" ht="12.75">
      <c r="B47" s="14" t="s">
        <v>91</v>
      </c>
      <c r="C47" s="14"/>
      <c r="D47" s="14" t="s">
        <v>19</v>
      </c>
      <c r="G47" s="64">
        <v>149</v>
      </c>
      <c r="H47" s="64"/>
      <c r="I47" s="64">
        <v>147</v>
      </c>
      <c r="J47" s="64"/>
      <c r="K47" s="64">
        <v>147</v>
      </c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</row>
    <row r="48" spans="7:63" s="61" customFormat="1" ht="12.75"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64"/>
      <c r="AQ48" s="64"/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4"/>
      <c r="BC48" s="64"/>
      <c r="BD48" s="64"/>
      <c r="BE48" s="64"/>
      <c r="BF48" s="64"/>
      <c r="BG48" s="64"/>
      <c r="BH48" s="64"/>
      <c r="BI48" s="64"/>
      <c r="BJ48" s="64"/>
      <c r="BK48" s="64"/>
    </row>
    <row r="49" spans="2:63" s="61" customFormat="1" ht="12.75">
      <c r="B49" s="61" t="s">
        <v>114</v>
      </c>
      <c r="C49" s="61" t="s">
        <v>220</v>
      </c>
      <c r="D49" s="65" t="s">
        <v>260</v>
      </c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4"/>
      <c r="AI49" s="64"/>
      <c r="AJ49" s="64"/>
      <c r="AK49" s="64"/>
      <c r="AL49" s="64"/>
      <c r="AM49" s="64"/>
      <c r="AN49" s="64"/>
      <c r="AO49" s="64"/>
      <c r="AP49" s="64"/>
      <c r="AQ49" s="64"/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4"/>
      <c r="BC49" s="64"/>
      <c r="BD49" s="64"/>
      <c r="BE49" s="64"/>
      <c r="BF49" s="64"/>
      <c r="BG49" s="64"/>
      <c r="BH49" s="64"/>
      <c r="BI49" s="64"/>
      <c r="BJ49" s="64"/>
      <c r="BK49" s="64"/>
    </row>
    <row r="50" spans="2:63" s="61" customFormat="1" ht="12.75">
      <c r="B50" s="14" t="s">
        <v>92</v>
      </c>
      <c r="C50" s="14"/>
      <c r="D50" s="14" t="s">
        <v>17</v>
      </c>
      <c r="G50" s="64">
        <v>23833</v>
      </c>
      <c r="H50" s="64"/>
      <c r="I50" s="64">
        <v>23167</v>
      </c>
      <c r="J50" s="64"/>
      <c r="K50" s="64">
        <v>24167</v>
      </c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</row>
    <row r="51" spans="2:63" s="61" customFormat="1" ht="12.75">
      <c r="B51" s="14" t="s">
        <v>109</v>
      </c>
      <c r="C51" s="14"/>
      <c r="D51" s="14" t="s">
        <v>18</v>
      </c>
      <c r="G51" s="64">
        <v>8</v>
      </c>
      <c r="H51" s="64"/>
      <c r="I51" s="64">
        <v>8</v>
      </c>
      <c r="J51" s="64"/>
      <c r="K51" s="64">
        <v>8.5</v>
      </c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</row>
    <row r="52" spans="2:63" s="61" customFormat="1" ht="12.75">
      <c r="B52" s="14" t="s">
        <v>110</v>
      </c>
      <c r="C52" s="14"/>
      <c r="D52" s="14" t="s">
        <v>18</v>
      </c>
      <c r="G52" s="64">
        <v>24.6</v>
      </c>
      <c r="H52" s="64"/>
      <c r="I52" s="64">
        <v>23.5</v>
      </c>
      <c r="J52" s="64"/>
      <c r="K52" s="64">
        <v>20.9</v>
      </c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</row>
    <row r="53" spans="2:63" s="61" customFormat="1" ht="12.75">
      <c r="B53" s="14" t="s">
        <v>91</v>
      </c>
      <c r="C53" s="14"/>
      <c r="D53" s="14" t="s">
        <v>19</v>
      </c>
      <c r="G53" s="64">
        <v>150</v>
      </c>
      <c r="H53" s="64"/>
      <c r="I53" s="64">
        <v>147</v>
      </c>
      <c r="J53" s="64"/>
      <c r="K53" s="64">
        <v>147</v>
      </c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H113"/>
  <sheetViews>
    <sheetView workbookViewId="0" topLeftCell="F50">
      <selection activeCell="B2" sqref="B2"/>
    </sheetView>
  </sheetViews>
  <sheetFormatPr defaultColWidth="9.140625" defaultRowHeight="12.75"/>
  <cols>
    <col min="1" max="1" width="3.28125" style="33" hidden="1" customWidth="1"/>
    <col min="2" max="2" width="24.57421875" style="9" customWidth="1"/>
    <col min="3" max="3" width="2.140625" style="9" customWidth="1"/>
    <col min="4" max="4" width="10.7109375" style="9" customWidth="1"/>
    <col min="5" max="5" width="2.8515625" style="33" customWidth="1"/>
    <col min="6" max="6" width="10.57421875" style="34" customWidth="1"/>
    <col min="7" max="7" width="3.140625" style="35" customWidth="1"/>
    <col min="8" max="8" width="9.7109375" style="33" customWidth="1"/>
    <col min="9" max="9" width="3.00390625" style="33" customWidth="1"/>
    <col min="10" max="10" width="9.8515625" style="33" customWidth="1"/>
    <col min="11" max="11" width="2.8515625" style="33" customWidth="1"/>
    <col min="12" max="12" width="10.7109375" style="33" customWidth="1"/>
    <col min="13" max="13" width="3.00390625" style="33" customWidth="1"/>
    <col min="14" max="14" width="10.8515625" style="33" customWidth="1"/>
    <col min="15" max="15" width="3.140625" style="33" customWidth="1"/>
    <col min="16" max="16" width="11.00390625" style="33" customWidth="1"/>
    <col min="17" max="17" width="3.140625" style="33" bestFit="1" customWidth="1"/>
    <col min="18" max="18" width="11.00390625" style="33" customWidth="1"/>
    <col min="19" max="19" width="2.7109375" style="33" customWidth="1"/>
    <col min="20" max="20" width="9.8515625" style="33" customWidth="1"/>
    <col min="21" max="21" width="3.00390625" style="33" customWidth="1"/>
    <col min="22" max="22" width="12.28125" style="33" customWidth="1"/>
    <col min="23" max="23" width="3.140625" style="33" bestFit="1" customWidth="1"/>
    <col min="24" max="24" width="12.140625" style="33" customWidth="1"/>
    <col min="25" max="25" width="3.140625" style="33" bestFit="1" customWidth="1"/>
    <col min="26" max="26" width="12.57421875" style="33" customWidth="1"/>
    <col min="27" max="27" width="2.28125" style="33" customWidth="1"/>
    <col min="28" max="28" width="10.421875" style="33" customWidth="1"/>
    <col min="29" max="29" width="3.140625" style="33" bestFit="1" customWidth="1"/>
    <col min="30" max="30" width="8.8515625" style="33" customWidth="1"/>
    <col min="31" max="31" width="3.140625" style="33" bestFit="1" customWidth="1"/>
    <col min="32" max="32" width="8.8515625" style="33" customWidth="1"/>
    <col min="33" max="33" width="3.140625" style="33" bestFit="1" customWidth="1"/>
    <col min="34" max="34" width="8.8515625" style="33" customWidth="1"/>
    <col min="35" max="35" width="2.57421875" style="33" customWidth="1"/>
    <col min="36" max="36" width="8.8515625" style="33" customWidth="1"/>
    <col min="37" max="37" width="3.28125" style="33" customWidth="1"/>
    <col min="38" max="38" width="10.57421875" style="33" bestFit="1" customWidth="1"/>
    <col min="39" max="39" width="2.28125" style="33" customWidth="1"/>
    <col min="40" max="40" width="10.421875" style="33" customWidth="1"/>
    <col min="41" max="41" width="2.00390625" style="33" customWidth="1"/>
    <col min="42" max="42" width="10.57421875" style="33" customWidth="1"/>
    <col min="43" max="43" width="2.57421875" style="33" customWidth="1"/>
    <col min="44" max="44" width="10.57421875" style="33" customWidth="1"/>
    <col min="45" max="45" width="4.00390625" style="33" customWidth="1"/>
    <col min="46" max="46" width="10.8515625" style="33" customWidth="1"/>
    <col min="47" max="47" width="4.28125" style="33" customWidth="1"/>
    <col min="48" max="48" width="10.8515625" style="33" customWidth="1"/>
    <col min="49" max="49" width="4.00390625" style="33" customWidth="1"/>
    <col min="50" max="50" width="11.140625" style="33" customWidth="1"/>
    <col min="51" max="51" width="4.140625" style="33" customWidth="1"/>
    <col min="52" max="52" width="11.7109375" style="33" customWidth="1"/>
    <col min="53" max="53" width="4.57421875" style="33" customWidth="1"/>
    <col min="54" max="54" width="11.7109375" style="33" customWidth="1"/>
    <col min="55" max="55" width="4.00390625" style="33" customWidth="1"/>
    <col min="56" max="56" width="11.7109375" style="33" customWidth="1"/>
    <col min="57" max="57" width="4.00390625" style="33" customWidth="1"/>
    <col min="58" max="58" width="11.7109375" style="33" customWidth="1"/>
    <col min="59" max="59" width="4.28125" style="33" customWidth="1"/>
    <col min="60" max="60" width="11.7109375" style="33" customWidth="1"/>
    <col min="61" max="16384" width="8.8515625" style="33" customWidth="1"/>
  </cols>
  <sheetData>
    <row r="1" spans="2:3" ht="12.75">
      <c r="B1" s="32" t="s">
        <v>240</v>
      </c>
      <c r="C1" s="32"/>
    </row>
    <row r="4" spans="1:52" ht="12.75">
      <c r="A4" s="33" t="s">
        <v>118</v>
      </c>
      <c r="B4" s="32" t="s">
        <v>204</v>
      </c>
      <c r="C4" s="32" t="s">
        <v>116</v>
      </c>
      <c r="F4" s="35" t="s">
        <v>210</v>
      </c>
      <c r="H4" s="35" t="s">
        <v>211</v>
      </c>
      <c r="I4" s="35"/>
      <c r="J4" s="35" t="s">
        <v>212</v>
      </c>
      <c r="K4" s="35"/>
      <c r="L4" s="35" t="s">
        <v>48</v>
      </c>
      <c r="N4" s="35" t="s">
        <v>210</v>
      </c>
      <c r="O4" s="35"/>
      <c r="P4" s="35" t="s">
        <v>211</v>
      </c>
      <c r="Q4" s="35"/>
      <c r="R4" s="35" t="s">
        <v>212</v>
      </c>
      <c r="S4" s="35"/>
      <c r="T4" s="35" t="s">
        <v>48</v>
      </c>
      <c r="V4" s="35" t="s">
        <v>210</v>
      </c>
      <c r="W4" s="35"/>
      <c r="X4" s="35" t="s">
        <v>211</v>
      </c>
      <c r="Y4" s="35"/>
      <c r="Z4" s="35" t="s">
        <v>212</v>
      </c>
      <c r="AA4" s="35"/>
      <c r="AB4" s="35" t="s">
        <v>48</v>
      </c>
      <c r="AD4" s="35" t="s">
        <v>210</v>
      </c>
      <c r="AE4" s="35"/>
      <c r="AF4" s="35" t="s">
        <v>211</v>
      </c>
      <c r="AG4" s="35"/>
      <c r="AH4" s="35" t="s">
        <v>212</v>
      </c>
      <c r="AI4" s="35"/>
      <c r="AJ4" s="35" t="s">
        <v>48</v>
      </c>
      <c r="AL4" s="35" t="s">
        <v>210</v>
      </c>
      <c r="AM4" s="35"/>
      <c r="AN4" s="35" t="s">
        <v>211</v>
      </c>
      <c r="AO4" s="35"/>
      <c r="AP4" s="35" t="s">
        <v>212</v>
      </c>
      <c r="AQ4" s="35"/>
      <c r="AR4" s="35" t="s">
        <v>48</v>
      </c>
      <c r="AT4" s="33" t="s">
        <v>210</v>
      </c>
      <c r="AV4" s="33" t="s">
        <v>211</v>
      </c>
      <c r="AX4" s="33" t="s">
        <v>212</v>
      </c>
      <c r="AZ4" s="33" t="s">
        <v>48</v>
      </c>
    </row>
    <row r="6" spans="2:44" ht="12.75">
      <c r="B6" s="9" t="s">
        <v>276</v>
      </c>
      <c r="F6" s="34" t="s">
        <v>278</v>
      </c>
      <c r="H6" s="34" t="s">
        <v>278</v>
      </c>
      <c r="J6" s="34" t="s">
        <v>278</v>
      </c>
      <c r="L6" s="34" t="s">
        <v>278</v>
      </c>
      <c r="N6" s="34" t="s">
        <v>280</v>
      </c>
      <c r="P6" s="34" t="s">
        <v>280</v>
      </c>
      <c r="R6" s="34" t="s">
        <v>280</v>
      </c>
      <c r="T6" s="34" t="s">
        <v>280</v>
      </c>
      <c r="V6" s="33" t="s">
        <v>283</v>
      </c>
      <c r="X6" s="33" t="s">
        <v>283</v>
      </c>
      <c r="Z6" s="33" t="s">
        <v>283</v>
      </c>
      <c r="AB6" s="33" t="s">
        <v>283</v>
      </c>
      <c r="AD6" s="33" t="s">
        <v>284</v>
      </c>
      <c r="AF6" s="33" t="s">
        <v>284</v>
      </c>
      <c r="AH6" s="33" t="s">
        <v>284</v>
      </c>
      <c r="AJ6" s="33" t="s">
        <v>284</v>
      </c>
      <c r="AL6" s="33" t="s">
        <v>285</v>
      </c>
      <c r="AN6" s="33" t="s">
        <v>285</v>
      </c>
      <c r="AP6" s="33" t="s">
        <v>285</v>
      </c>
      <c r="AR6" s="33" t="s">
        <v>285</v>
      </c>
    </row>
    <row r="7" spans="2:44" ht="12.75">
      <c r="B7" s="9" t="s">
        <v>277</v>
      </c>
      <c r="F7" s="34" t="s">
        <v>279</v>
      </c>
      <c r="H7" s="34" t="s">
        <v>279</v>
      </c>
      <c r="J7" s="34" t="s">
        <v>279</v>
      </c>
      <c r="L7" s="34" t="s">
        <v>279</v>
      </c>
      <c r="N7" s="34" t="s">
        <v>279</v>
      </c>
      <c r="P7" s="34" t="s">
        <v>279</v>
      </c>
      <c r="R7" s="34" t="s">
        <v>279</v>
      </c>
      <c r="T7" s="34" t="s">
        <v>279</v>
      </c>
      <c r="V7" s="33" t="s">
        <v>281</v>
      </c>
      <c r="X7" s="33" t="s">
        <v>281</v>
      </c>
      <c r="Z7" s="33" t="s">
        <v>281</v>
      </c>
      <c r="AB7" s="33" t="s">
        <v>281</v>
      </c>
      <c r="AD7" s="33" t="s">
        <v>279</v>
      </c>
      <c r="AF7" s="33" t="s">
        <v>279</v>
      </c>
      <c r="AH7" s="33" t="s">
        <v>279</v>
      </c>
      <c r="AJ7" s="33" t="s">
        <v>279</v>
      </c>
      <c r="AL7" s="33" t="s">
        <v>25</v>
      </c>
      <c r="AN7" s="33" t="s">
        <v>25</v>
      </c>
      <c r="AP7" s="33" t="s">
        <v>25</v>
      </c>
      <c r="AR7" s="33" t="s">
        <v>25</v>
      </c>
    </row>
    <row r="8" spans="2:52" ht="12.75">
      <c r="B8" s="5" t="s">
        <v>287</v>
      </c>
      <c r="H8" s="34"/>
      <c r="J8" s="34"/>
      <c r="L8" s="34"/>
      <c r="N8" s="34"/>
      <c r="P8" s="34"/>
      <c r="R8" s="34"/>
      <c r="T8" s="34"/>
      <c r="AL8" s="33" t="s">
        <v>25</v>
      </c>
      <c r="AN8" s="33" t="s">
        <v>25</v>
      </c>
      <c r="AP8" s="33" t="s">
        <v>25</v>
      </c>
      <c r="AR8" s="33" t="s">
        <v>25</v>
      </c>
      <c r="AT8" s="33" t="s">
        <v>75</v>
      </c>
      <c r="AV8" s="33" t="s">
        <v>75</v>
      </c>
      <c r="AX8" s="33" t="s">
        <v>75</v>
      </c>
      <c r="AZ8" s="33" t="s">
        <v>75</v>
      </c>
    </row>
    <row r="9" spans="2:44" ht="12.75">
      <c r="B9" s="9" t="s">
        <v>49</v>
      </c>
      <c r="F9" s="34" t="s">
        <v>142</v>
      </c>
      <c r="G9" s="34"/>
      <c r="H9" s="34" t="s">
        <v>142</v>
      </c>
      <c r="I9" s="34"/>
      <c r="J9" s="34" t="s">
        <v>142</v>
      </c>
      <c r="K9" s="34"/>
      <c r="L9" s="34" t="s">
        <v>142</v>
      </c>
      <c r="M9" s="34"/>
      <c r="N9" s="34" t="s">
        <v>143</v>
      </c>
      <c r="O9" s="34"/>
      <c r="P9" s="34" t="s">
        <v>143</v>
      </c>
      <c r="R9" s="34" t="s">
        <v>143</v>
      </c>
      <c r="T9" s="34" t="s">
        <v>143</v>
      </c>
      <c r="V9" s="33" t="s">
        <v>144</v>
      </c>
      <c r="X9" s="33" t="s">
        <v>144</v>
      </c>
      <c r="Z9" s="33" t="s">
        <v>144</v>
      </c>
      <c r="AB9" s="33" t="s">
        <v>144</v>
      </c>
      <c r="AD9" s="33" t="s">
        <v>145</v>
      </c>
      <c r="AF9" s="33" t="s">
        <v>145</v>
      </c>
      <c r="AH9" s="33" t="s">
        <v>145</v>
      </c>
      <c r="AJ9" s="33" t="s">
        <v>145</v>
      </c>
      <c r="AL9" s="33" t="s">
        <v>25</v>
      </c>
      <c r="AN9" s="33" t="s">
        <v>25</v>
      </c>
      <c r="AP9" s="33" t="s">
        <v>25</v>
      </c>
      <c r="AR9" s="33" t="s">
        <v>25</v>
      </c>
    </row>
    <row r="10" spans="2:36" ht="12.75">
      <c r="B10" s="9" t="s">
        <v>120</v>
      </c>
      <c r="D10" s="9" t="s">
        <v>57</v>
      </c>
      <c r="F10" s="11">
        <v>5310.6</v>
      </c>
      <c r="G10" s="13"/>
      <c r="H10" s="74">
        <v>5466.6</v>
      </c>
      <c r="I10" s="74"/>
      <c r="J10" s="74">
        <v>5492.8</v>
      </c>
      <c r="K10" s="74"/>
      <c r="L10" s="74">
        <f>AVERAGE(J10,H10,F10)</f>
        <v>5423.333333333334</v>
      </c>
      <c r="M10" s="74"/>
      <c r="N10" s="74">
        <v>1774.4</v>
      </c>
      <c r="O10" s="74"/>
      <c r="P10" s="74">
        <v>1673.9</v>
      </c>
      <c r="Q10" s="74"/>
      <c r="R10" s="74">
        <v>1727.9</v>
      </c>
      <c r="S10" s="74"/>
      <c r="T10" s="74">
        <f>AVERAGE(R10,P10,N10)</f>
        <v>1725.4000000000003</v>
      </c>
      <c r="U10" s="74"/>
      <c r="V10" s="74">
        <v>982.3</v>
      </c>
      <c r="W10" s="74"/>
      <c r="X10" s="74">
        <v>952.7</v>
      </c>
      <c r="Y10" s="74"/>
      <c r="Z10" s="74">
        <v>847</v>
      </c>
      <c r="AA10" s="74"/>
      <c r="AB10" s="74"/>
      <c r="AC10" s="74"/>
      <c r="AD10" s="74">
        <v>1104.5</v>
      </c>
      <c r="AE10" s="74"/>
      <c r="AF10" s="74">
        <v>1121.4</v>
      </c>
      <c r="AG10" s="74"/>
      <c r="AH10" s="74">
        <v>1227.9</v>
      </c>
      <c r="AI10" s="74"/>
      <c r="AJ10" s="74">
        <f>AVERAGE(AH10,AF10,AD10)</f>
        <v>1151.2666666666667</v>
      </c>
    </row>
    <row r="11" spans="2:36" ht="12.75">
      <c r="B11" s="9" t="s">
        <v>51</v>
      </c>
      <c r="D11" s="9" t="s">
        <v>52</v>
      </c>
      <c r="F11" s="10">
        <v>8880</v>
      </c>
      <c r="H11" s="33">
        <v>8920</v>
      </c>
      <c r="J11" s="33">
        <v>8770</v>
      </c>
      <c r="L11" s="36">
        <f>AVERAGE(J11,H11,F11)</f>
        <v>8856.666666666666</v>
      </c>
      <c r="N11" s="33">
        <v>7490</v>
      </c>
      <c r="P11" s="33">
        <v>7410</v>
      </c>
      <c r="R11" s="33">
        <v>7430</v>
      </c>
      <c r="T11" s="36">
        <f>AVERAGE(R11,P11,N11)</f>
        <v>7443.333333333333</v>
      </c>
      <c r="AD11" s="33">
        <v>7600</v>
      </c>
      <c r="AF11" s="33">
        <v>7600</v>
      </c>
      <c r="AH11" s="33">
        <v>7600</v>
      </c>
      <c r="AJ11" s="36">
        <f>AVERAGE(AH11,AF11,AD11)</f>
        <v>7600</v>
      </c>
    </row>
    <row r="12" spans="2:18" ht="12.75">
      <c r="B12" s="9" t="s">
        <v>58</v>
      </c>
      <c r="D12" s="9" t="s">
        <v>146</v>
      </c>
      <c r="F12" s="34">
        <v>9</v>
      </c>
      <c r="H12" s="33">
        <v>9</v>
      </c>
      <c r="J12" s="33">
        <v>9</v>
      </c>
      <c r="N12" s="19">
        <v>10</v>
      </c>
      <c r="P12" s="19">
        <v>10</v>
      </c>
      <c r="R12" s="33">
        <v>10</v>
      </c>
    </row>
    <row r="13" spans="2:18" ht="12.75">
      <c r="B13" s="9" t="s">
        <v>147</v>
      </c>
      <c r="D13" s="9" t="s">
        <v>148</v>
      </c>
      <c r="F13" s="34">
        <v>1</v>
      </c>
      <c r="H13" s="33">
        <v>1</v>
      </c>
      <c r="J13" s="33">
        <v>1</v>
      </c>
      <c r="N13" s="19">
        <v>1</v>
      </c>
      <c r="P13" s="19">
        <v>1</v>
      </c>
      <c r="R13" s="33">
        <v>1</v>
      </c>
    </row>
    <row r="14" spans="2:26" ht="12.75">
      <c r="B14" s="9" t="s">
        <v>53</v>
      </c>
      <c r="D14" s="9" t="s">
        <v>57</v>
      </c>
      <c r="E14" s="35"/>
      <c r="F14" s="10">
        <v>0.15</v>
      </c>
      <c r="G14" s="35" t="s">
        <v>29</v>
      </c>
      <c r="H14" s="10">
        <v>0.109</v>
      </c>
      <c r="I14" s="10" t="s">
        <v>29</v>
      </c>
      <c r="J14" s="34">
        <v>0.11</v>
      </c>
      <c r="K14" s="34"/>
      <c r="L14" s="34"/>
      <c r="M14" s="34" t="s">
        <v>29</v>
      </c>
      <c r="N14" s="34">
        <v>0.029</v>
      </c>
      <c r="O14" s="34" t="s">
        <v>29</v>
      </c>
      <c r="P14" s="19">
        <v>0.033</v>
      </c>
      <c r="Q14" s="33" t="s">
        <v>29</v>
      </c>
      <c r="R14" s="33">
        <v>0.035</v>
      </c>
      <c r="V14" s="33">
        <v>98.2</v>
      </c>
      <c r="X14" s="33">
        <v>95.3</v>
      </c>
      <c r="Z14" s="33">
        <v>84.7</v>
      </c>
    </row>
    <row r="15" spans="2:34" ht="12.75">
      <c r="B15" s="9" t="s">
        <v>54</v>
      </c>
      <c r="D15" s="9" t="s">
        <v>57</v>
      </c>
      <c r="E15" s="35"/>
      <c r="F15" s="11">
        <v>2230</v>
      </c>
      <c r="H15" s="34">
        <v>2350</v>
      </c>
      <c r="I15" s="34"/>
      <c r="J15" s="34">
        <v>2330</v>
      </c>
      <c r="K15" s="34"/>
      <c r="L15" s="34"/>
      <c r="M15" s="34"/>
      <c r="N15" s="34">
        <v>1060</v>
      </c>
      <c r="O15" s="34"/>
      <c r="P15" s="19">
        <v>1050</v>
      </c>
      <c r="R15" s="33">
        <v>1140</v>
      </c>
      <c r="AD15" s="33">
        <v>45.3</v>
      </c>
      <c r="AF15" s="33">
        <v>46</v>
      </c>
      <c r="AH15" s="33">
        <v>50.3</v>
      </c>
    </row>
    <row r="16" spans="5:11" ht="12.75">
      <c r="E16" s="35"/>
      <c r="H16" s="34"/>
      <c r="I16" s="34"/>
      <c r="J16" s="35"/>
      <c r="K16" s="35"/>
    </row>
    <row r="17" spans="2:44" ht="12.75">
      <c r="B17" s="9" t="s">
        <v>72</v>
      </c>
      <c r="D17" s="9" t="s">
        <v>17</v>
      </c>
      <c r="E17" s="35"/>
      <c r="F17" s="28">
        <f>'emiss 1'!$G$23</f>
        <v>37911</v>
      </c>
      <c r="H17" s="28">
        <f>'emiss 1'!$I$23</f>
        <v>35961</v>
      </c>
      <c r="I17" s="34"/>
      <c r="J17" s="28">
        <f>'emiss 1'!$K$23</f>
        <v>37596</v>
      </c>
      <c r="K17" s="35"/>
      <c r="L17" s="28">
        <f>'emiss 1'!$M$23</f>
        <v>37156</v>
      </c>
      <c r="N17" s="28">
        <f>'emiss 1'!$G$23</f>
        <v>37911</v>
      </c>
      <c r="O17" s="35"/>
      <c r="P17" s="28">
        <f>'emiss 1'!$I$23</f>
        <v>35961</v>
      </c>
      <c r="Q17" s="34"/>
      <c r="R17" s="28">
        <f>'emiss 1'!$K$23</f>
        <v>37596</v>
      </c>
      <c r="S17" s="35"/>
      <c r="T17" s="28">
        <f>'emiss 1'!$M$23</f>
        <v>37156</v>
      </c>
      <c r="V17" s="28">
        <f>'emiss 1'!$G$23</f>
        <v>37911</v>
      </c>
      <c r="W17" s="35"/>
      <c r="X17" s="28">
        <f>'emiss 1'!$I$23</f>
        <v>35961</v>
      </c>
      <c r="Y17" s="34"/>
      <c r="Z17" s="28">
        <f>'emiss 1'!$K$23</f>
        <v>37596</v>
      </c>
      <c r="AA17" s="35"/>
      <c r="AB17" s="28">
        <f>'emiss 1'!$M$23</f>
        <v>37156</v>
      </c>
      <c r="AD17" s="28">
        <f>'emiss 1'!$G$23</f>
        <v>37911</v>
      </c>
      <c r="AE17" s="35"/>
      <c r="AF17" s="28">
        <f>'emiss 1'!$I$23</f>
        <v>35961</v>
      </c>
      <c r="AG17" s="34"/>
      <c r="AH17" s="28">
        <f>'emiss 1'!$K$23</f>
        <v>37596</v>
      </c>
      <c r="AI17" s="35"/>
      <c r="AJ17" s="28">
        <f>'emiss 1'!$M$23</f>
        <v>37156</v>
      </c>
      <c r="AL17" s="74">
        <f>F17</f>
        <v>37911</v>
      </c>
      <c r="AN17" s="74">
        <f>H17</f>
        <v>35961</v>
      </c>
      <c r="AP17" s="74">
        <f>J17</f>
        <v>37596</v>
      </c>
      <c r="AR17" s="74">
        <f>L17</f>
        <v>37156</v>
      </c>
    </row>
    <row r="18" spans="2:44" ht="12.75">
      <c r="B18" s="9" t="s">
        <v>73</v>
      </c>
      <c r="D18" s="9" t="s">
        <v>18</v>
      </c>
      <c r="E18" s="35"/>
      <c r="F18" s="25">
        <f>'emiss 1'!$G$24</f>
        <v>14.02</v>
      </c>
      <c r="G18" s="12"/>
      <c r="H18" s="25">
        <f>'emiss 1'!$I$24</f>
        <v>14.05</v>
      </c>
      <c r="I18" s="10"/>
      <c r="J18" s="25">
        <f>'emiss 1'!$K$24</f>
        <v>13.9</v>
      </c>
      <c r="K18" s="12"/>
      <c r="L18" s="25">
        <f>'emiss 1'!$M$24</f>
        <v>13.99</v>
      </c>
      <c r="N18" s="25">
        <f>'emiss 1'!$G$24</f>
        <v>14.02</v>
      </c>
      <c r="O18" s="12"/>
      <c r="P18" s="25">
        <f>'emiss 1'!$I$24</f>
        <v>14.05</v>
      </c>
      <c r="Q18" s="10"/>
      <c r="R18" s="25">
        <f>'emiss 1'!$K$24</f>
        <v>13.9</v>
      </c>
      <c r="S18" s="12"/>
      <c r="T18" s="25">
        <f>'emiss 1'!$M$24</f>
        <v>13.99</v>
      </c>
      <c r="V18" s="25">
        <f>'emiss 1'!$G$24</f>
        <v>14.02</v>
      </c>
      <c r="W18" s="12"/>
      <c r="X18" s="25">
        <f>'emiss 1'!$I$24</f>
        <v>14.05</v>
      </c>
      <c r="Y18" s="10"/>
      <c r="Z18" s="25">
        <f>'emiss 1'!$K$24</f>
        <v>13.9</v>
      </c>
      <c r="AA18" s="12"/>
      <c r="AB18" s="25">
        <f>'emiss 1'!$M$24</f>
        <v>13.99</v>
      </c>
      <c r="AD18" s="25">
        <f>'emiss 1'!$G$24</f>
        <v>14.02</v>
      </c>
      <c r="AE18" s="12"/>
      <c r="AF18" s="25">
        <f>'emiss 1'!$I$24</f>
        <v>14.05</v>
      </c>
      <c r="AG18" s="10"/>
      <c r="AH18" s="25">
        <f>'emiss 1'!$K$24</f>
        <v>13.9</v>
      </c>
      <c r="AI18" s="12"/>
      <c r="AJ18" s="25">
        <f>'emiss 1'!$M$24</f>
        <v>13.99</v>
      </c>
      <c r="AL18" s="74">
        <f>F18</f>
        <v>14.02</v>
      </c>
      <c r="AN18" s="74">
        <f>H18</f>
        <v>14.05</v>
      </c>
      <c r="AP18" s="74">
        <f>J18</f>
        <v>13.9</v>
      </c>
      <c r="AR18" s="74">
        <f>L18</f>
        <v>13.99</v>
      </c>
    </row>
    <row r="19" spans="5:11" ht="12.75">
      <c r="E19" s="35"/>
      <c r="H19" s="34"/>
      <c r="I19" s="34"/>
      <c r="J19" s="35"/>
      <c r="K19" s="35"/>
    </row>
    <row r="20" spans="2:44" ht="12.75">
      <c r="B20" s="9" t="s">
        <v>119</v>
      </c>
      <c r="D20" s="9" t="s">
        <v>65</v>
      </c>
      <c r="E20" s="35"/>
      <c r="F20" s="10">
        <f>F10*F11/1000000</f>
        <v>47.158128</v>
      </c>
      <c r="G20" s="12"/>
      <c r="H20" s="10">
        <f>H10*H11/1000000</f>
        <v>48.762072</v>
      </c>
      <c r="I20" s="10"/>
      <c r="J20" s="10">
        <f>J10*J11/1000000</f>
        <v>48.171856</v>
      </c>
      <c r="K20" s="35"/>
      <c r="L20" s="10">
        <f>L10*L11/1000000</f>
        <v>48.03265555555556</v>
      </c>
      <c r="N20" s="10">
        <f>N10*N11/1000000</f>
        <v>13.290256</v>
      </c>
      <c r="O20" s="12"/>
      <c r="P20" s="10">
        <f>P10*P11/1000000</f>
        <v>12.403599</v>
      </c>
      <c r="Q20" s="10"/>
      <c r="R20" s="10">
        <f>R10*R11/1000000</f>
        <v>12.838297</v>
      </c>
      <c r="S20" s="35"/>
      <c r="T20" s="10">
        <f>T10*T11/1000000</f>
        <v>12.842727333333336</v>
      </c>
      <c r="AD20" s="10">
        <f>AD10*AD11/1000000</f>
        <v>8.3942</v>
      </c>
      <c r="AE20" s="12"/>
      <c r="AF20" s="10">
        <f>AF10*AF11/1000000</f>
        <v>8.52264</v>
      </c>
      <c r="AG20" s="10"/>
      <c r="AH20" s="10">
        <f>AH10*AH11/1000000</f>
        <v>9.33204</v>
      </c>
      <c r="AI20" s="35"/>
      <c r="AJ20" s="10">
        <f>AJ10*AJ11/1000000</f>
        <v>8.749626666666666</v>
      </c>
      <c r="AL20" s="36">
        <f>SUM(AD20,V20,N20/2,F20)</f>
        <v>62.197455999999995</v>
      </c>
      <c r="AN20" s="36">
        <f>SUM(AF20,X20,P20/2,H20)</f>
        <v>63.486511500000006</v>
      </c>
      <c r="AP20" s="36">
        <f>SUM(AH20,Z20,R20/2,J20)</f>
        <v>63.923044499999996</v>
      </c>
      <c r="AR20" s="36">
        <f>SUM(AJ20,AB20,T20/2,L20)</f>
        <v>63.20364588888889</v>
      </c>
    </row>
    <row r="21" spans="2:44" ht="12.75">
      <c r="B21" s="9" t="s">
        <v>289</v>
      </c>
      <c r="D21" s="9" t="s">
        <v>65</v>
      </c>
      <c r="E21" s="35"/>
      <c r="F21" s="36">
        <f>F17/9000*(21-F18)/21*60</f>
        <v>84.0059619047619</v>
      </c>
      <c r="G21" s="12"/>
      <c r="H21" s="36">
        <f>H17/9000*(21-H18)/21*60</f>
        <v>79.3425238095238</v>
      </c>
      <c r="I21" s="10"/>
      <c r="J21" s="36">
        <f>J17/9000*(21-J18)/21*60</f>
        <v>84.74019047619046</v>
      </c>
      <c r="K21" s="35"/>
      <c r="L21" s="36">
        <f>L17/9000*(21-L18)/21*60</f>
        <v>82.68684444444446</v>
      </c>
      <c r="N21" s="36">
        <f>N17/9000*(21-N18)/21*60</f>
        <v>84.0059619047619</v>
      </c>
      <c r="O21" s="12"/>
      <c r="P21" s="36">
        <f>P17/9000*(21-P18)/21*60</f>
        <v>79.3425238095238</v>
      </c>
      <c r="Q21" s="10"/>
      <c r="R21" s="36">
        <f>R17/9000*(21-R18)/21*60</f>
        <v>84.74019047619046</v>
      </c>
      <c r="S21" s="35"/>
      <c r="T21" s="36">
        <f>T17/9000*(21-T18)/21*60</f>
        <v>82.68684444444446</v>
      </c>
      <c r="AD21" s="36">
        <f>AD17/9000*(21-AD18)/21*60</f>
        <v>84.0059619047619</v>
      </c>
      <c r="AE21" s="12"/>
      <c r="AF21" s="36">
        <f>AF17/9000*(21-AF18)/21*60</f>
        <v>79.3425238095238</v>
      </c>
      <c r="AG21" s="10"/>
      <c r="AH21" s="36">
        <f>AH17/9000*(21-AH18)/21*60</f>
        <v>84.74019047619046</v>
      </c>
      <c r="AI21" s="35"/>
      <c r="AJ21" s="36">
        <f>AJ17/9000*(21-AJ18)/21*60</f>
        <v>82.68684444444446</v>
      </c>
      <c r="AL21" s="36">
        <f>AL17/9000*(21-AL18)/21*60</f>
        <v>84.0059619047619</v>
      </c>
      <c r="AN21" s="36">
        <f>AN17/9000*(21-AN18)/21*60</f>
        <v>79.3425238095238</v>
      </c>
      <c r="AP21" s="36">
        <f>AP17/9000*(21-AP18)/21*60</f>
        <v>84.74019047619046</v>
      </c>
      <c r="AR21" s="36">
        <f>AR17/9000*(21-AR18)/21*60</f>
        <v>82.68684444444446</v>
      </c>
    </row>
    <row r="22" spans="5:16" ht="12.75">
      <c r="E22" s="35"/>
      <c r="F22" s="33"/>
      <c r="G22" s="12"/>
      <c r="H22" s="10"/>
      <c r="I22" s="10"/>
      <c r="J22" s="35"/>
      <c r="K22" s="35"/>
      <c r="P22" s="10"/>
    </row>
    <row r="23" spans="2:16" ht="12.75">
      <c r="B23" s="54" t="s">
        <v>87</v>
      </c>
      <c r="C23" s="54"/>
      <c r="E23" s="35"/>
      <c r="F23" s="33"/>
      <c r="G23" s="12"/>
      <c r="H23" s="10"/>
      <c r="I23" s="10"/>
      <c r="J23" s="35"/>
      <c r="K23" s="35"/>
      <c r="P23" s="10"/>
    </row>
    <row r="24" spans="2:60" ht="12.75">
      <c r="B24" s="9" t="s">
        <v>53</v>
      </c>
      <c r="D24" s="9" t="s">
        <v>74</v>
      </c>
      <c r="E24" s="35"/>
      <c r="F24" s="10">
        <f>F14*454/0.0283/60/F$17*(21-7)/(21-F$18)*1000</f>
        <v>2.1218603567741083</v>
      </c>
      <c r="G24" s="35" t="s">
        <v>29</v>
      </c>
      <c r="H24" s="10">
        <f>H14*454/0.0283/60/H$17*(21-7)/(21-H$18)*1000</f>
        <v>1.6325110738992636</v>
      </c>
      <c r="I24" s="35" t="s">
        <v>29</v>
      </c>
      <c r="J24" s="10">
        <f>J14*454/0.0283/60/J$17*(21-7)/(21-J$18)*1000</f>
        <v>1.5425487499017787</v>
      </c>
      <c r="K24" s="35"/>
      <c r="L24" s="36">
        <f>AVERAGE(J24/2,H24/2,F24)</f>
        <v>1.2364634228915432</v>
      </c>
      <c r="M24" s="33" t="s">
        <v>29</v>
      </c>
      <c r="N24" s="10">
        <f>N14*454/0.0283/60/N$17*(21-7)/(21-N$18)*1000</f>
        <v>0.4102263356429944</v>
      </c>
      <c r="O24" s="35" t="s">
        <v>29</v>
      </c>
      <c r="P24" s="10">
        <f>P14*454/0.0283/60/P$17*(21-7)/(21-P$18)*1000</f>
        <v>0.49424647191445603</v>
      </c>
      <c r="Q24" s="35" t="s">
        <v>29</v>
      </c>
      <c r="R24" s="10">
        <f>R14*454/0.0283/60/R$17*(21-7)/(21-R$18)*1000</f>
        <v>0.4908109658778387</v>
      </c>
      <c r="S24" s="35"/>
      <c r="T24" s="36">
        <f>AVERAGE(R24,P24,N24)/2</f>
        <v>0.2325472955725482</v>
      </c>
      <c r="V24" s="10">
        <f>V14*454/0.0283/60/V$17*(21-7)/(21-V$18)*1000</f>
        <v>1389.1112469014497</v>
      </c>
      <c r="W24" s="35"/>
      <c r="X24" s="10">
        <f>X14*454/0.0283/60/X$17*(21-7)/(21-X$18)*1000</f>
        <v>1427.3239022256864</v>
      </c>
      <c r="Y24" s="35"/>
      <c r="Z24" s="10">
        <f>Z14*454/0.0283/60/Z$17*(21-7)/(21-Z$18)*1000</f>
        <v>1187.7625374243696</v>
      </c>
      <c r="AA24" s="35"/>
      <c r="AB24" s="36">
        <f>AVERAGE(Z24,X24,V24)</f>
        <v>1334.7325621838352</v>
      </c>
      <c r="AL24" s="36">
        <f>SUM(AD24,V24,N24/2,F24)</f>
        <v>1391.4382204260453</v>
      </c>
      <c r="AN24" s="36">
        <f>SUM(AF24,X24,P24/2,H24/2)</f>
        <v>1428.3872809985933</v>
      </c>
      <c r="AP24" s="36">
        <f>SUM(AH24,Z24,R24/2,J24/2)</f>
        <v>1188.7792172822594</v>
      </c>
      <c r="AR24" s="36">
        <f>SUM(AJ24,AB24,T24/2,L24)</f>
        <v>1336.085299254513</v>
      </c>
      <c r="AT24" s="36">
        <f>F24+N24+V24</f>
        <v>1391.6433335938668</v>
      </c>
      <c r="AV24" s="36">
        <f>H24+P24+X24</f>
        <v>1429.4506597715</v>
      </c>
      <c r="AX24" s="36">
        <f>J24+R24+Z24</f>
        <v>1189.7958971401492</v>
      </c>
      <c r="AZ24" s="36">
        <f>L24+T24+AB24</f>
        <v>1336.2015729022992</v>
      </c>
      <c r="BB24" s="36"/>
      <c r="BD24" s="36"/>
      <c r="BF24" s="36"/>
      <c r="BH24" s="36"/>
    </row>
    <row r="25" spans="2:60" ht="12.75">
      <c r="B25" s="9" t="s">
        <v>54</v>
      </c>
      <c r="D25" s="9" t="s">
        <v>66</v>
      </c>
      <c r="E25" s="35"/>
      <c r="F25" s="11">
        <f>F15*454/F$17/60/0.0283*(21-7)/(21-F$18)*1000000</f>
        <v>31544990.637375083</v>
      </c>
      <c r="G25" s="13"/>
      <c r="H25" s="11">
        <f>H15*454/H$17/60/0.0283*(21-7)/(21-H$18)*1000000</f>
        <v>35196339.6666355</v>
      </c>
      <c r="I25" s="11"/>
      <c r="J25" s="11">
        <f>J15*454/J$17/60/0.0283*(21-7)/(21-J$18)*1000000</f>
        <v>32673987.157010395</v>
      </c>
      <c r="K25" s="11"/>
      <c r="L25" s="74">
        <f>AVERAGE(J25,H25,F25)</f>
        <v>33138439.15367366</v>
      </c>
      <c r="M25" s="74"/>
      <c r="N25" s="11">
        <f>N15*454/N$17/60/0.0283*(21-7)/(21-N$18)*1000000</f>
        <v>14994479.854537033</v>
      </c>
      <c r="O25" s="13"/>
      <c r="P25" s="11">
        <f>P15*454/P$17/60/0.0283*(21-7)/(21-P$18)*1000000</f>
        <v>15726024.106369054</v>
      </c>
      <c r="Q25" s="11"/>
      <c r="R25" s="11">
        <f>R15*454/R$17/60/0.0283*(21-7)/(21-R$18)*1000000</f>
        <v>15986414.317163888</v>
      </c>
      <c r="S25" s="11"/>
      <c r="T25" s="74">
        <f>AVERAGE(R25,P25,N25)</f>
        <v>15568972.759356657</v>
      </c>
      <c r="U25" s="74"/>
      <c r="V25" s="74"/>
      <c r="W25" s="74"/>
      <c r="X25" s="74"/>
      <c r="Y25" s="74"/>
      <c r="Z25" s="74"/>
      <c r="AA25" s="74"/>
      <c r="AB25" s="74"/>
      <c r="AC25" s="74"/>
      <c r="AD25" s="11">
        <f>AD15/AD$17/60/0.0283*(21-7)/(21-AD$18)*1000000</f>
        <v>1411.4577703651557</v>
      </c>
      <c r="AE25" s="13"/>
      <c r="AF25" s="11">
        <f>AF15/AF$17/60/0.0283*(21-7)/(21-AF$18)*1000000</f>
        <v>1517.5101927689877</v>
      </c>
      <c r="AG25" s="11"/>
      <c r="AH25" s="11">
        <f>AH15/AH$17/60/0.0283*(21-7)/(21-AH$18)*1000000</f>
        <v>1553.6684445346307</v>
      </c>
      <c r="AI25" s="11"/>
      <c r="AJ25" s="74">
        <f>AVERAGE(AH25,AF25,AD25)</f>
        <v>1494.2121358895913</v>
      </c>
      <c r="AK25" s="74"/>
      <c r="AL25" s="74">
        <f>SUM(AD25,V25,N25/2,F25)</f>
        <v>39043642.02241396</v>
      </c>
      <c r="AM25" s="74"/>
      <c r="AN25" s="74">
        <f>SUM(AF25,X25,P25/2,H25)</f>
        <v>43060869.2300128</v>
      </c>
      <c r="AO25" s="74"/>
      <c r="AP25" s="74">
        <f>SUM(AH25,Z25,R25/2,J25)</f>
        <v>40668747.98403688</v>
      </c>
      <c r="AQ25" s="74"/>
      <c r="AR25" s="74">
        <f>SUM(AJ25,AB25,T25/2,L25)</f>
        <v>40924419.745487876</v>
      </c>
      <c r="AS25" s="74"/>
      <c r="AT25" s="74">
        <f>F25+N25+V25</f>
        <v>46539470.49191211</v>
      </c>
      <c r="AU25" s="74"/>
      <c r="AV25" s="74">
        <f>H25+P25+X25</f>
        <v>50922363.773004554</v>
      </c>
      <c r="AW25" s="74"/>
      <c r="AX25" s="74">
        <f>J25+R25+Z25</f>
        <v>48660401.47417428</v>
      </c>
      <c r="AY25" s="74"/>
      <c r="AZ25" s="74">
        <f>L25+T25+AB25</f>
        <v>48707411.91303032</v>
      </c>
      <c r="BB25" s="36"/>
      <c r="BD25" s="36"/>
      <c r="BF25" s="36"/>
      <c r="BH25" s="36"/>
    </row>
    <row r="26" spans="5:11" ht="12.75">
      <c r="E26" s="35"/>
      <c r="F26" s="37"/>
      <c r="H26" s="34"/>
      <c r="I26" s="34"/>
      <c r="J26" s="35"/>
      <c r="K26" s="35"/>
    </row>
    <row r="27" spans="2:60" ht="12.75">
      <c r="B27" s="32" t="s">
        <v>205</v>
      </c>
      <c r="C27" s="32" t="s">
        <v>117</v>
      </c>
      <c r="E27" s="35"/>
      <c r="F27" s="35" t="s">
        <v>210</v>
      </c>
      <c r="H27" s="35" t="s">
        <v>211</v>
      </c>
      <c r="I27" s="35"/>
      <c r="J27" s="35" t="s">
        <v>212</v>
      </c>
      <c r="K27" s="35"/>
      <c r="L27" s="35" t="s">
        <v>48</v>
      </c>
      <c r="N27" s="35" t="s">
        <v>210</v>
      </c>
      <c r="O27" s="35"/>
      <c r="P27" s="35" t="s">
        <v>211</v>
      </c>
      <c r="Q27" s="35"/>
      <c r="R27" s="35" t="s">
        <v>212</v>
      </c>
      <c r="S27" s="35"/>
      <c r="T27" s="35" t="s">
        <v>48</v>
      </c>
      <c r="V27" s="35" t="s">
        <v>210</v>
      </c>
      <c r="W27" s="35"/>
      <c r="X27" s="35" t="s">
        <v>211</v>
      </c>
      <c r="Y27" s="35"/>
      <c r="Z27" s="35" t="s">
        <v>212</v>
      </c>
      <c r="AA27" s="35"/>
      <c r="AB27" s="35" t="s">
        <v>48</v>
      </c>
      <c r="AD27" s="35" t="s">
        <v>210</v>
      </c>
      <c r="AE27" s="35"/>
      <c r="AF27" s="35" t="s">
        <v>211</v>
      </c>
      <c r="AG27" s="35"/>
      <c r="AH27" s="35" t="s">
        <v>212</v>
      </c>
      <c r="AI27" s="35"/>
      <c r="AJ27" s="35" t="s">
        <v>48</v>
      </c>
      <c r="AL27" s="35" t="s">
        <v>210</v>
      </c>
      <c r="AM27" s="35"/>
      <c r="AN27" s="35" t="s">
        <v>211</v>
      </c>
      <c r="AO27" s="35"/>
      <c r="AP27" s="35" t="s">
        <v>212</v>
      </c>
      <c r="AQ27" s="35"/>
      <c r="AR27" s="35" t="s">
        <v>48</v>
      </c>
      <c r="AT27" s="35" t="s">
        <v>210</v>
      </c>
      <c r="AU27" s="35"/>
      <c r="AV27" s="35" t="s">
        <v>211</v>
      </c>
      <c r="AW27" s="35"/>
      <c r="AX27" s="35" t="s">
        <v>212</v>
      </c>
      <c r="AZ27" s="33" t="s">
        <v>48</v>
      </c>
      <c r="BB27" s="33" t="s">
        <v>210</v>
      </c>
      <c r="BD27" s="33" t="s">
        <v>211</v>
      </c>
      <c r="BF27" s="33" t="s">
        <v>212</v>
      </c>
      <c r="BH27" s="33" t="s">
        <v>48</v>
      </c>
    </row>
    <row r="28" spans="5:11" ht="12.75">
      <c r="E28" s="35"/>
      <c r="H28" s="34"/>
      <c r="I28" s="34"/>
      <c r="J28" s="35"/>
      <c r="K28" s="35"/>
    </row>
    <row r="29" spans="2:52" ht="12.75">
      <c r="B29" s="9" t="s">
        <v>276</v>
      </c>
      <c r="F29" s="34" t="s">
        <v>278</v>
      </c>
      <c r="H29" s="34" t="s">
        <v>278</v>
      </c>
      <c r="J29" s="34" t="s">
        <v>278</v>
      </c>
      <c r="L29" s="34" t="s">
        <v>278</v>
      </c>
      <c r="N29" s="34" t="s">
        <v>280</v>
      </c>
      <c r="P29" s="34" t="s">
        <v>280</v>
      </c>
      <c r="R29" s="34" t="s">
        <v>280</v>
      </c>
      <c r="T29" s="34" t="s">
        <v>280</v>
      </c>
      <c r="V29" s="34" t="s">
        <v>283</v>
      </c>
      <c r="X29" s="34" t="s">
        <v>283</v>
      </c>
      <c r="Z29" s="34" t="s">
        <v>283</v>
      </c>
      <c r="AB29" s="34" t="s">
        <v>283</v>
      </c>
      <c r="AD29" s="33" t="s">
        <v>284</v>
      </c>
      <c r="AF29" s="33" t="s">
        <v>284</v>
      </c>
      <c r="AH29" s="33" t="s">
        <v>284</v>
      </c>
      <c r="AJ29" s="33" t="s">
        <v>284</v>
      </c>
      <c r="AL29" s="33" t="s">
        <v>285</v>
      </c>
      <c r="AN29" s="33" t="s">
        <v>285</v>
      </c>
      <c r="AP29" s="33" t="s">
        <v>285</v>
      </c>
      <c r="AR29" s="33" t="s">
        <v>285</v>
      </c>
      <c r="AT29" s="33" t="s">
        <v>286</v>
      </c>
      <c r="AV29" s="33" t="s">
        <v>286</v>
      </c>
      <c r="AX29" s="33" t="s">
        <v>286</v>
      </c>
      <c r="AZ29" s="33" t="s">
        <v>286</v>
      </c>
    </row>
    <row r="30" spans="2:52" ht="12.75">
      <c r="B30" s="9" t="s">
        <v>277</v>
      </c>
      <c r="F30" s="34" t="s">
        <v>279</v>
      </c>
      <c r="H30" s="34" t="s">
        <v>279</v>
      </c>
      <c r="J30" s="34" t="s">
        <v>279</v>
      </c>
      <c r="L30" s="34" t="s">
        <v>279</v>
      </c>
      <c r="N30" s="34" t="s">
        <v>279</v>
      </c>
      <c r="P30" s="34" t="s">
        <v>279</v>
      </c>
      <c r="R30" s="34" t="s">
        <v>279</v>
      </c>
      <c r="T30" s="34" t="s">
        <v>279</v>
      </c>
      <c r="V30" s="34" t="s">
        <v>279</v>
      </c>
      <c r="X30" s="34" t="s">
        <v>279</v>
      </c>
      <c r="Z30" s="34" t="s">
        <v>279</v>
      </c>
      <c r="AB30" s="34" t="s">
        <v>279</v>
      </c>
      <c r="AD30" s="33" t="s">
        <v>279</v>
      </c>
      <c r="AF30" s="33" t="s">
        <v>279</v>
      </c>
      <c r="AH30" s="33" t="s">
        <v>279</v>
      </c>
      <c r="AJ30" s="33" t="s">
        <v>279</v>
      </c>
      <c r="AL30" s="33" t="s">
        <v>279</v>
      </c>
      <c r="AN30" s="33" t="s">
        <v>279</v>
      </c>
      <c r="AP30" s="33" t="s">
        <v>279</v>
      </c>
      <c r="AR30" s="33" t="s">
        <v>279</v>
      </c>
      <c r="AT30" s="33" t="s">
        <v>25</v>
      </c>
      <c r="AV30" s="33" t="s">
        <v>25</v>
      </c>
      <c r="AX30" s="33" t="s">
        <v>25</v>
      </c>
      <c r="AZ30" s="33" t="s">
        <v>25</v>
      </c>
    </row>
    <row r="31" spans="2:60" ht="12.75">
      <c r="B31" s="5" t="s">
        <v>287</v>
      </c>
      <c r="H31" s="34"/>
      <c r="J31" s="34"/>
      <c r="L31" s="34"/>
      <c r="N31" s="34"/>
      <c r="P31" s="34"/>
      <c r="R31" s="34"/>
      <c r="T31" s="34"/>
      <c r="V31" s="34"/>
      <c r="X31" s="34"/>
      <c r="Z31" s="34"/>
      <c r="AB31" s="34"/>
      <c r="AT31" s="33" t="s">
        <v>25</v>
      </c>
      <c r="AV31" s="33" t="s">
        <v>25</v>
      </c>
      <c r="AX31" s="33" t="s">
        <v>25</v>
      </c>
      <c r="AZ31" s="33" t="s">
        <v>25</v>
      </c>
      <c r="BB31" s="33" t="s">
        <v>75</v>
      </c>
      <c r="BD31" s="33" t="s">
        <v>75</v>
      </c>
      <c r="BF31" s="33" t="s">
        <v>75</v>
      </c>
      <c r="BH31" s="33" t="s">
        <v>75</v>
      </c>
    </row>
    <row r="32" spans="2:52" ht="12.75">
      <c r="B32" s="9" t="s">
        <v>49</v>
      </c>
      <c r="F32" s="34" t="s">
        <v>171</v>
      </c>
      <c r="G32" s="34"/>
      <c r="H32" s="34" t="s">
        <v>171</v>
      </c>
      <c r="I32" s="34"/>
      <c r="J32" s="34" t="s">
        <v>171</v>
      </c>
      <c r="K32" s="34"/>
      <c r="L32" s="34" t="s">
        <v>171</v>
      </c>
      <c r="M32" s="34"/>
      <c r="N32" s="34" t="s">
        <v>142</v>
      </c>
      <c r="O32" s="34"/>
      <c r="P32" s="34" t="s">
        <v>142</v>
      </c>
      <c r="R32" s="34" t="s">
        <v>142</v>
      </c>
      <c r="T32" s="34" t="s">
        <v>142</v>
      </c>
      <c r="V32" s="34" t="s">
        <v>143</v>
      </c>
      <c r="W32" s="34"/>
      <c r="X32" s="34" t="s">
        <v>143</v>
      </c>
      <c r="Y32" s="34"/>
      <c r="Z32" s="34" t="s">
        <v>143</v>
      </c>
      <c r="AA32" s="34"/>
      <c r="AB32" s="34" t="s">
        <v>143</v>
      </c>
      <c r="AD32" s="33" t="s">
        <v>170</v>
      </c>
      <c r="AF32" s="33" t="s">
        <v>170</v>
      </c>
      <c r="AH32" s="33" t="s">
        <v>170</v>
      </c>
      <c r="AJ32" s="33" t="s">
        <v>170</v>
      </c>
      <c r="AL32" s="33" t="s">
        <v>145</v>
      </c>
      <c r="AN32" s="33" t="s">
        <v>145</v>
      </c>
      <c r="AP32" s="33" t="s">
        <v>145</v>
      </c>
      <c r="AR32" s="33" t="s">
        <v>145</v>
      </c>
      <c r="AT32" s="33" t="s">
        <v>25</v>
      </c>
      <c r="AV32" s="33" t="s">
        <v>25</v>
      </c>
      <c r="AX32" s="33" t="s">
        <v>25</v>
      </c>
      <c r="AZ32" s="33" t="s">
        <v>25</v>
      </c>
    </row>
    <row r="33" spans="2:60" ht="12.75">
      <c r="B33" s="9" t="s">
        <v>120</v>
      </c>
      <c r="D33" s="9" t="s">
        <v>57</v>
      </c>
      <c r="E33" s="35"/>
      <c r="F33" s="11">
        <v>994.7</v>
      </c>
      <c r="G33" s="13"/>
      <c r="H33" s="11">
        <v>1065</v>
      </c>
      <c r="I33" s="11"/>
      <c r="J33" s="11">
        <v>1235</v>
      </c>
      <c r="K33" s="13"/>
      <c r="L33" s="74">
        <f>AVERAGE(J33,H33,F33)</f>
        <v>1098.2333333333333</v>
      </c>
      <c r="M33" s="74"/>
      <c r="N33" s="74">
        <v>4578</v>
      </c>
      <c r="O33" s="74"/>
      <c r="P33" s="74">
        <v>4572</v>
      </c>
      <c r="Q33" s="74"/>
      <c r="R33" s="74">
        <v>4891</v>
      </c>
      <c r="S33" s="74"/>
      <c r="T33" s="74">
        <f>AVERAGE(R33,P33,N33)</f>
        <v>4680.333333333333</v>
      </c>
      <c r="U33" s="74"/>
      <c r="V33" s="74">
        <v>2011</v>
      </c>
      <c r="W33" s="74"/>
      <c r="X33" s="74">
        <v>2291</v>
      </c>
      <c r="Y33" s="74"/>
      <c r="Z33" s="74">
        <v>1768</v>
      </c>
      <c r="AA33" s="74"/>
      <c r="AB33" s="74">
        <f>AVERAGE(Z33,X33,V33)</f>
        <v>2023.3333333333333</v>
      </c>
      <c r="AC33" s="74"/>
      <c r="AD33" s="74">
        <v>802.2</v>
      </c>
      <c r="AE33" s="74"/>
      <c r="AF33" s="74">
        <v>819.7</v>
      </c>
      <c r="AG33" s="74"/>
      <c r="AH33" s="74">
        <v>951.5</v>
      </c>
      <c r="AI33" s="74"/>
      <c r="AJ33" s="74">
        <f>AVERAGE(AH33,AF33,AD33)</f>
        <v>857.8000000000001</v>
      </c>
      <c r="AK33" s="74"/>
      <c r="AL33" s="74">
        <v>1992</v>
      </c>
      <c r="AM33" s="74"/>
      <c r="AN33" s="74">
        <v>1821</v>
      </c>
      <c r="AO33" s="74"/>
      <c r="AP33" s="74">
        <v>449</v>
      </c>
      <c r="AQ33" s="74"/>
      <c r="AR33" s="74">
        <f>AVERAGE(AP33,AN33,AL33)</f>
        <v>1420.6666666666667</v>
      </c>
      <c r="AS33" s="74"/>
      <c r="AT33" s="74">
        <f>SUM(AL33,AD33,V33,P33,F33)</f>
        <v>10371.900000000001</v>
      </c>
      <c r="AU33" s="74"/>
      <c r="AV33" s="74">
        <f>SUM(AN33,AF33,X33,R33,H33)</f>
        <v>10887.7</v>
      </c>
      <c r="AW33" s="74"/>
      <c r="AX33" s="74">
        <f>SUM(AP33,AH33,Z33,T33,J33)</f>
        <v>9083.833333333332</v>
      </c>
      <c r="AY33" s="74"/>
      <c r="AZ33" s="74">
        <f>SUM(AR33,AJ33,AB33,V33,L33)</f>
        <v>7411.033333333334</v>
      </c>
      <c r="BB33" s="36"/>
      <c r="BD33" s="36"/>
      <c r="BF33" s="36"/>
      <c r="BH33" s="36"/>
    </row>
    <row r="34" spans="2:46" ht="12.75">
      <c r="B34" s="9" t="s">
        <v>51</v>
      </c>
      <c r="D34" s="9" t="s">
        <v>52</v>
      </c>
      <c r="E34" s="35"/>
      <c r="F34" s="34">
        <v>5260</v>
      </c>
      <c r="H34" s="34">
        <v>5220</v>
      </c>
      <c r="I34" s="34"/>
      <c r="J34" s="34">
        <v>5220</v>
      </c>
      <c r="K34" s="35"/>
      <c r="L34" s="36">
        <f>AVERAGE(J34,H34,F34)</f>
        <v>5233.333333333333</v>
      </c>
      <c r="N34" s="33">
        <v>7510</v>
      </c>
      <c r="P34" s="33">
        <v>7390</v>
      </c>
      <c r="R34" s="33">
        <v>7410</v>
      </c>
      <c r="T34" s="36">
        <f>AVERAGE(R34,P34,N34)</f>
        <v>7436.666666666667</v>
      </c>
      <c r="V34" s="33">
        <v>8710</v>
      </c>
      <c r="X34" s="33">
        <v>8810</v>
      </c>
      <c r="Z34" s="33">
        <v>8910</v>
      </c>
      <c r="AB34" s="36">
        <f>AVERAGE(Z34,X34,V34)</f>
        <v>8810</v>
      </c>
      <c r="AD34" s="33">
        <v>18400</v>
      </c>
      <c r="AF34" s="33">
        <v>18300</v>
      </c>
      <c r="AH34" s="33">
        <v>18400</v>
      </c>
      <c r="AJ34" s="36">
        <f>AVERAGE(AH34,AF34,AD34)</f>
        <v>18366.666666666668</v>
      </c>
      <c r="AL34" s="33">
        <v>7600</v>
      </c>
      <c r="AN34" s="33">
        <v>7600</v>
      </c>
      <c r="AP34" s="33">
        <v>7600</v>
      </c>
      <c r="AR34" s="36">
        <f>AVERAGE(AP34,AN34,AL34)</f>
        <v>7600</v>
      </c>
      <c r="AT34" s="36"/>
    </row>
    <row r="35" spans="2:34" ht="12.75">
      <c r="B35" s="9" t="s">
        <v>58</v>
      </c>
      <c r="D35" s="9" t="s">
        <v>146</v>
      </c>
      <c r="E35" s="35"/>
      <c r="F35" s="34">
        <v>11</v>
      </c>
      <c r="H35" s="34">
        <v>11.1</v>
      </c>
      <c r="I35" s="34"/>
      <c r="J35" s="34">
        <v>11.1</v>
      </c>
      <c r="K35" s="35"/>
      <c r="N35" s="33">
        <v>9.7</v>
      </c>
      <c r="P35" s="33">
        <v>9.6</v>
      </c>
      <c r="R35" s="33">
        <v>9.6</v>
      </c>
      <c r="V35" s="33">
        <v>9.4</v>
      </c>
      <c r="X35" s="33">
        <v>9.4</v>
      </c>
      <c r="Z35" s="33">
        <v>9.4</v>
      </c>
      <c r="AD35" s="33">
        <v>7.1</v>
      </c>
      <c r="AF35" s="33">
        <v>7.1</v>
      </c>
      <c r="AH35" s="33">
        <v>7.2</v>
      </c>
    </row>
    <row r="36" spans="2:34" ht="12.75">
      <c r="B36" s="9" t="s">
        <v>147</v>
      </c>
      <c r="D36" s="9" t="s">
        <v>148</v>
      </c>
      <c r="E36" s="35"/>
      <c r="F36" s="34">
        <v>2.5</v>
      </c>
      <c r="H36" s="34">
        <v>2.5</v>
      </c>
      <c r="I36" s="34"/>
      <c r="J36" s="34">
        <v>2.5</v>
      </c>
      <c r="K36" s="35"/>
      <c r="N36" s="33">
        <v>1</v>
      </c>
      <c r="P36" s="33">
        <v>1</v>
      </c>
      <c r="R36" s="33">
        <v>1</v>
      </c>
      <c r="V36" s="33">
        <v>1.2</v>
      </c>
      <c r="X36" s="33">
        <v>1.2</v>
      </c>
      <c r="Z36" s="33">
        <v>1.3</v>
      </c>
      <c r="AD36" s="33">
        <v>1</v>
      </c>
      <c r="AF36" s="33">
        <v>1</v>
      </c>
      <c r="AH36" s="33">
        <v>1</v>
      </c>
    </row>
    <row r="37" spans="2:34" ht="12.75">
      <c r="B37" s="9" t="s">
        <v>53</v>
      </c>
      <c r="D37" s="9" t="s">
        <v>57</v>
      </c>
      <c r="E37" s="35"/>
      <c r="F37" s="34">
        <v>3.57</v>
      </c>
      <c r="H37" s="34">
        <v>2.6</v>
      </c>
      <c r="I37" s="34"/>
      <c r="J37" s="34">
        <v>11.1</v>
      </c>
      <c r="K37" s="35"/>
      <c r="N37" s="19">
        <v>1.62</v>
      </c>
      <c r="P37" s="19">
        <v>1.98</v>
      </c>
      <c r="R37" s="33">
        <v>0.978</v>
      </c>
      <c r="U37" s="33" t="s">
        <v>29</v>
      </c>
      <c r="V37" s="33">
        <v>0.04</v>
      </c>
      <c r="W37" s="33" t="s">
        <v>29</v>
      </c>
      <c r="X37" s="33">
        <v>0.046</v>
      </c>
      <c r="Y37" s="33" t="s">
        <v>29</v>
      </c>
      <c r="Z37" s="33">
        <v>0.035</v>
      </c>
      <c r="AC37" s="33" t="s">
        <v>29</v>
      </c>
      <c r="AD37" s="33">
        <v>0.016</v>
      </c>
      <c r="AE37" s="33" t="s">
        <v>29</v>
      </c>
      <c r="AF37" s="33">
        <v>0.016</v>
      </c>
      <c r="AG37" s="33" t="s">
        <v>29</v>
      </c>
      <c r="AH37" s="33">
        <v>0.019</v>
      </c>
    </row>
    <row r="38" spans="2:42" ht="12.75">
      <c r="B38" s="33" t="s">
        <v>54</v>
      </c>
      <c r="D38" s="9" t="s">
        <v>57</v>
      </c>
      <c r="E38" s="35"/>
      <c r="F38" s="34">
        <v>614</v>
      </c>
      <c r="H38" s="34">
        <v>524</v>
      </c>
      <c r="I38" s="34"/>
      <c r="J38" s="34">
        <v>635</v>
      </c>
      <c r="K38" s="35"/>
      <c r="N38" s="19">
        <v>2660</v>
      </c>
      <c r="P38" s="19">
        <v>2690</v>
      </c>
      <c r="R38" s="33">
        <v>3320</v>
      </c>
      <c r="V38" s="33">
        <v>853</v>
      </c>
      <c r="X38" s="33">
        <v>1000</v>
      </c>
      <c r="Z38" s="33">
        <v>786</v>
      </c>
      <c r="AC38" s="33" t="s">
        <v>29</v>
      </c>
      <c r="AD38" s="33">
        <v>0.4</v>
      </c>
      <c r="AE38" s="33" t="s">
        <v>29</v>
      </c>
      <c r="AF38" s="33">
        <v>0.41</v>
      </c>
      <c r="AH38" s="33">
        <v>0.826</v>
      </c>
      <c r="AL38" s="33">
        <v>81.7</v>
      </c>
      <c r="AN38" s="33">
        <v>74.7</v>
      </c>
      <c r="AP38" s="33">
        <v>18.4</v>
      </c>
    </row>
    <row r="39" spans="2:34" ht="12.75">
      <c r="B39" s="9" t="s">
        <v>94</v>
      </c>
      <c r="D39" s="9" t="s">
        <v>50</v>
      </c>
      <c r="E39" s="35" t="s">
        <v>29</v>
      </c>
      <c r="F39" s="34">
        <v>0.17</v>
      </c>
      <c r="G39" s="35" t="s">
        <v>29</v>
      </c>
      <c r="H39" s="34">
        <v>0.18</v>
      </c>
      <c r="I39" s="35" t="s">
        <v>29</v>
      </c>
      <c r="J39" s="34">
        <v>0.21</v>
      </c>
      <c r="K39" s="35"/>
      <c r="M39" s="33" t="s">
        <v>29</v>
      </c>
      <c r="N39" s="19">
        <v>0.32</v>
      </c>
      <c r="O39" s="33" t="s">
        <v>29</v>
      </c>
      <c r="P39" s="19">
        <v>0.32</v>
      </c>
      <c r="Q39" s="33" t="s">
        <v>29</v>
      </c>
      <c r="R39" s="33">
        <v>0.34</v>
      </c>
      <c r="U39" s="33" t="s">
        <v>29</v>
      </c>
      <c r="V39" s="33">
        <v>0.14</v>
      </c>
      <c r="W39" s="33" t="s">
        <v>29</v>
      </c>
      <c r="X39" s="33">
        <v>0.16</v>
      </c>
      <c r="Y39" s="33" t="s">
        <v>29</v>
      </c>
      <c r="Z39" s="33">
        <v>0.12</v>
      </c>
      <c r="AC39" s="33" t="s">
        <v>29</v>
      </c>
      <c r="AD39" s="33">
        <v>0.14</v>
      </c>
      <c r="AE39" s="33" t="s">
        <v>29</v>
      </c>
      <c r="AF39" s="33">
        <v>0.14</v>
      </c>
      <c r="AG39" s="33" t="s">
        <v>29</v>
      </c>
      <c r="AH39" s="33">
        <v>0.16</v>
      </c>
    </row>
    <row r="40" spans="2:34" ht="12.75">
      <c r="B40" s="9" t="s">
        <v>95</v>
      </c>
      <c r="D40" s="9" t="s">
        <v>50</v>
      </c>
      <c r="E40" s="35" t="s">
        <v>29</v>
      </c>
      <c r="F40" s="34">
        <v>0.13</v>
      </c>
      <c r="G40" s="35" t="s">
        <v>29</v>
      </c>
      <c r="H40" s="34">
        <v>0.14</v>
      </c>
      <c r="I40" s="35" t="s">
        <v>29</v>
      </c>
      <c r="J40" s="34">
        <v>0.16</v>
      </c>
      <c r="K40" s="35"/>
      <c r="M40" s="33" t="s">
        <v>29</v>
      </c>
      <c r="N40" s="19">
        <v>0.24</v>
      </c>
      <c r="O40" s="33" t="s">
        <v>29</v>
      </c>
      <c r="P40" s="19">
        <v>0.24</v>
      </c>
      <c r="Q40" s="33" t="s">
        <v>29</v>
      </c>
      <c r="R40" s="33">
        <v>0.26</v>
      </c>
      <c r="U40" s="33" t="s">
        <v>29</v>
      </c>
      <c r="V40" s="33">
        <v>0.1</v>
      </c>
      <c r="W40" s="33" t="s">
        <v>29</v>
      </c>
      <c r="X40" s="33">
        <v>0.12</v>
      </c>
      <c r="Y40" s="33" t="s">
        <v>29</v>
      </c>
      <c r="Z40" s="33">
        <v>0.092</v>
      </c>
      <c r="AC40" s="33" t="s">
        <v>29</v>
      </c>
      <c r="AD40" s="33">
        <v>0.1</v>
      </c>
      <c r="AE40" s="33" t="s">
        <v>29</v>
      </c>
      <c r="AF40" s="33">
        <v>0.11</v>
      </c>
      <c r="AG40" s="33" t="s">
        <v>29</v>
      </c>
      <c r="AH40" s="33">
        <v>0.12</v>
      </c>
    </row>
    <row r="41" spans="2:34" ht="12.75">
      <c r="B41" s="9" t="s">
        <v>96</v>
      </c>
      <c r="D41" s="9" t="s">
        <v>50</v>
      </c>
      <c r="E41" s="35"/>
      <c r="F41" s="38">
        <v>0.0772</v>
      </c>
      <c r="H41" s="34">
        <v>0.0986</v>
      </c>
      <c r="I41" s="35"/>
      <c r="J41" s="34">
        <v>0.101</v>
      </c>
      <c r="K41" s="35"/>
      <c r="N41" s="19">
        <v>0.145</v>
      </c>
      <c r="P41" s="19">
        <v>0.141</v>
      </c>
      <c r="R41" s="33">
        <v>0.155</v>
      </c>
      <c r="V41" s="33">
        <v>0.0128</v>
      </c>
      <c r="X41" s="33">
        <v>0.00728</v>
      </c>
      <c r="Z41" s="33">
        <v>0.00479</v>
      </c>
      <c r="AC41" s="33" t="s">
        <v>29</v>
      </c>
      <c r="AD41" s="33">
        <v>0.004</v>
      </c>
      <c r="AE41" s="33" t="s">
        <v>29</v>
      </c>
      <c r="AF41" s="33">
        <v>0.0041</v>
      </c>
      <c r="AG41" s="33" t="s">
        <v>29</v>
      </c>
      <c r="AH41" s="33">
        <v>0.0168</v>
      </c>
    </row>
    <row r="42" spans="2:34" ht="12.75">
      <c r="B42" s="9" t="s">
        <v>97</v>
      </c>
      <c r="D42" s="9" t="s">
        <v>50</v>
      </c>
      <c r="E42" s="35"/>
      <c r="F42" s="34">
        <v>0.023</v>
      </c>
      <c r="H42" s="34">
        <v>0.0247</v>
      </c>
      <c r="I42" s="35"/>
      <c r="J42" s="34">
        <v>0.028</v>
      </c>
      <c r="K42" s="35"/>
      <c r="N42" s="19">
        <v>0.0416</v>
      </c>
      <c r="P42" s="19">
        <v>0.0394</v>
      </c>
      <c r="R42" s="33">
        <v>0.0444</v>
      </c>
      <c r="U42" s="33" t="s">
        <v>29</v>
      </c>
      <c r="V42" s="33">
        <v>0.00091</v>
      </c>
      <c r="W42" s="33" t="s">
        <v>29</v>
      </c>
      <c r="X42" s="33">
        <v>0.001</v>
      </c>
      <c r="Y42" s="33" t="s">
        <v>29</v>
      </c>
      <c r="Z42" s="33">
        <v>0.0008</v>
      </c>
      <c r="AC42" s="33" t="s">
        <v>29</v>
      </c>
      <c r="AD42" s="33">
        <v>0.00073</v>
      </c>
      <c r="AE42" s="33" t="s">
        <v>29</v>
      </c>
      <c r="AF42" s="33">
        <v>0.00074</v>
      </c>
      <c r="AG42" s="33" t="s">
        <v>29</v>
      </c>
      <c r="AH42" s="33">
        <v>0.00086</v>
      </c>
    </row>
    <row r="43" spans="2:34" ht="12.75">
      <c r="B43" s="9" t="s">
        <v>98</v>
      </c>
      <c r="D43" s="9" t="s">
        <v>50</v>
      </c>
      <c r="E43" s="35"/>
      <c r="F43" s="34">
        <v>0.0438</v>
      </c>
      <c r="H43" s="34">
        <v>0.0503</v>
      </c>
      <c r="I43" s="35"/>
      <c r="J43" s="34">
        <v>0.0454</v>
      </c>
      <c r="K43" s="35"/>
      <c r="N43" s="19">
        <v>0.0977</v>
      </c>
      <c r="P43" s="19">
        <v>0.102</v>
      </c>
      <c r="R43" s="33">
        <v>0.0933</v>
      </c>
      <c r="U43" s="33" t="s">
        <v>29</v>
      </c>
      <c r="V43" s="33">
        <v>0.027</v>
      </c>
      <c r="W43" s="33" t="s">
        <v>29</v>
      </c>
      <c r="X43" s="33">
        <v>0.031</v>
      </c>
      <c r="Y43" s="33" t="s">
        <v>29</v>
      </c>
      <c r="Z43" s="33">
        <v>0.024</v>
      </c>
      <c r="AC43" s="33" t="s">
        <v>29</v>
      </c>
      <c r="AD43" s="33">
        <v>0.027</v>
      </c>
      <c r="AE43" s="33" t="s">
        <v>29</v>
      </c>
      <c r="AF43" s="33">
        <v>0.028</v>
      </c>
      <c r="AG43" s="33" t="s">
        <v>29</v>
      </c>
      <c r="AH43" s="33">
        <v>0.032</v>
      </c>
    </row>
    <row r="44" spans="2:34" ht="12.75">
      <c r="B44" s="9" t="s">
        <v>113</v>
      </c>
      <c r="D44" s="9" t="s">
        <v>50</v>
      </c>
      <c r="E44" s="35"/>
      <c r="F44" s="34">
        <v>0.103</v>
      </c>
      <c r="H44" s="34">
        <v>0.0996</v>
      </c>
      <c r="I44" s="35"/>
      <c r="J44" s="34">
        <v>0.114</v>
      </c>
      <c r="K44" s="35"/>
      <c r="N44" s="19">
        <v>0.258</v>
      </c>
      <c r="P44" s="19">
        <v>0.174</v>
      </c>
      <c r="R44" s="33">
        <v>0.173</v>
      </c>
      <c r="U44" s="33" t="s">
        <v>29</v>
      </c>
      <c r="V44" s="33">
        <v>0.04</v>
      </c>
      <c r="X44" s="33">
        <v>0.0686</v>
      </c>
      <c r="Y44" s="33" t="s">
        <v>29</v>
      </c>
      <c r="Z44" s="33">
        <v>0.035</v>
      </c>
      <c r="AC44" s="33" t="s">
        <v>29</v>
      </c>
      <c r="AD44" s="33">
        <v>0.04</v>
      </c>
      <c r="AE44" s="33" t="s">
        <v>29</v>
      </c>
      <c r="AF44" s="33">
        <v>0.041</v>
      </c>
      <c r="AG44" s="33" t="s">
        <v>29</v>
      </c>
      <c r="AH44" s="33">
        <v>0.048</v>
      </c>
    </row>
    <row r="45" spans="2:34" ht="12.75">
      <c r="B45" s="9" t="s">
        <v>93</v>
      </c>
      <c r="D45" s="9" t="s">
        <v>50</v>
      </c>
      <c r="E45" s="35" t="s">
        <v>29</v>
      </c>
      <c r="F45" s="34">
        <v>0.59</v>
      </c>
      <c r="G45" s="35" t="s">
        <v>29</v>
      </c>
      <c r="H45" s="34">
        <v>0.63</v>
      </c>
      <c r="I45" s="35" t="s">
        <v>29</v>
      </c>
      <c r="J45" s="34">
        <v>0.73</v>
      </c>
      <c r="K45" s="35"/>
      <c r="M45" s="33" t="s">
        <v>29</v>
      </c>
      <c r="N45" s="19">
        <v>1.1</v>
      </c>
      <c r="O45" s="33" t="s">
        <v>29</v>
      </c>
      <c r="P45" s="19">
        <v>1.1</v>
      </c>
      <c r="Q45" s="33" t="s">
        <v>29</v>
      </c>
      <c r="R45" s="33">
        <v>1.2</v>
      </c>
      <c r="U45" s="33" t="s">
        <v>29</v>
      </c>
      <c r="V45" s="33">
        <v>0.47</v>
      </c>
      <c r="W45" s="33" t="s">
        <v>29</v>
      </c>
      <c r="X45" s="33">
        <v>0.54</v>
      </c>
      <c r="Y45" s="33" t="s">
        <v>29</v>
      </c>
      <c r="Z45" s="33">
        <v>0.041</v>
      </c>
      <c r="AC45" s="33" t="s">
        <v>29</v>
      </c>
      <c r="AD45" s="33">
        <v>0.47</v>
      </c>
      <c r="AE45" s="33" t="s">
        <v>29</v>
      </c>
      <c r="AF45" s="33">
        <v>0.48</v>
      </c>
      <c r="AG45" s="33" t="s">
        <v>29</v>
      </c>
      <c r="AH45" s="33">
        <v>0.56</v>
      </c>
    </row>
    <row r="46" spans="2:34" ht="12.75">
      <c r="B46" s="9" t="s">
        <v>99</v>
      </c>
      <c r="D46" s="9" t="s">
        <v>50</v>
      </c>
      <c r="E46" s="35" t="s">
        <v>29</v>
      </c>
      <c r="F46" s="34">
        <v>0.18</v>
      </c>
      <c r="G46" s="35" t="s">
        <v>29</v>
      </c>
      <c r="H46" s="34">
        <v>0.19</v>
      </c>
      <c r="I46" s="35" t="s">
        <v>29</v>
      </c>
      <c r="J46" s="34">
        <v>0.22</v>
      </c>
      <c r="K46" s="35"/>
      <c r="M46" s="33" t="s">
        <v>29</v>
      </c>
      <c r="N46" s="19">
        <v>0.42</v>
      </c>
      <c r="O46" s="33" t="s">
        <v>29</v>
      </c>
      <c r="P46" s="19">
        <v>0.42</v>
      </c>
      <c r="Q46" s="33" t="s">
        <v>29</v>
      </c>
      <c r="R46" s="33">
        <v>0.44</v>
      </c>
      <c r="U46" s="33" t="s">
        <v>29</v>
      </c>
      <c r="V46" s="33">
        <v>0.37</v>
      </c>
      <c r="W46" s="33" t="s">
        <v>29</v>
      </c>
      <c r="X46" s="33">
        <v>0.42</v>
      </c>
      <c r="Y46" s="33" t="s">
        <v>29</v>
      </c>
      <c r="Z46" s="33">
        <v>0.32</v>
      </c>
      <c r="AC46" s="33" t="s">
        <v>29</v>
      </c>
      <c r="AD46" s="33">
        <v>0.018</v>
      </c>
      <c r="AE46" s="33" t="s">
        <v>29</v>
      </c>
      <c r="AF46" s="33">
        <v>0.019</v>
      </c>
      <c r="AG46" s="33" t="s">
        <v>29</v>
      </c>
      <c r="AH46" s="33">
        <v>0.022</v>
      </c>
    </row>
    <row r="47" spans="2:34" ht="12.75">
      <c r="B47" s="9" t="s">
        <v>100</v>
      </c>
      <c r="D47" s="9" t="s">
        <v>50</v>
      </c>
      <c r="E47" s="35" t="s">
        <v>29</v>
      </c>
      <c r="F47" s="34">
        <v>0.39</v>
      </c>
      <c r="G47" s="35" t="s">
        <v>29</v>
      </c>
      <c r="H47" s="34">
        <v>0.41</v>
      </c>
      <c r="I47" s="35" t="s">
        <v>29</v>
      </c>
      <c r="J47" s="34">
        <v>0.48</v>
      </c>
      <c r="K47" s="35"/>
      <c r="M47" s="33" t="s">
        <v>29</v>
      </c>
      <c r="N47" s="19">
        <v>0.71</v>
      </c>
      <c r="O47" s="33" t="s">
        <v>29</v>
      </c>
      <c r="P47" s="19">
        <v>0.71</v>
      </c>
      <c r="Q47" s="33" t="s">
        <v>29</v>
      </c>
      <c r="R47" s="33">
        <v>0.76</v>
      </c>
      <c r="U47" s="33" t="s">
        <v>29</v>
      </c>
      <c r="V47" s="33">
        <v>0.31</v>
      </c>
      <c r="W47" s="33" t="s">
        <v>29</v>
      </c>
      <c r="X47" s="33">
        <v>0.36</v>
      </c>
      <c r="Y47" s="33" t="s">
        <v>29</v>
      </c>
      <c r="Z47" s="33">
        <v>0.27</v>
      </c>
      <c r="AC47" s="33" t="s">
        <v>29</v>
      </c>
      <c r="AD47" s="33">
        <v>0.31</v>
      </c>
      <c r="AE47" s="33" t="s">
        <v>29</v>
      </c>
      <c r="AF47" s="33">
        <v>0.32</v>
      </c>
      <c r="AG47" s="33" t="s">
        <v>29</v>
      </c>
      <c r="AH47" s="33">
        <v>0.37</v>
      </c>
    </row>
    <row r="48" spans="2:34" ht="12.75">
      <c r="B48" s="9" t="s">
        <v>101</v>
      </c>
      <c r="D48" s="9" t="s">
        <v>50</v>
      </c>
      <c r="E48" s="35" t="s">
        <v>29</v>
      </c>
      <c r="F48" s="34">
        <v>0.16</v>
      </c>
      <c r="G48" s="35" t="s">
        <v>29</v>
      </c>
      <c r="H48" s="34">
        <v>0.17</v>
      </c>
      <c r="I48" s="35" t="s">
        <v>29</v>
      </c>
      <c r="J48" s="34">
        <v>0.19</v>
      </c>
      <c r="K48" s="35"/>
      <c r="M48" s="19" t="s">
        <v>29</v>
      </c>
      <c r="N48" s="19">
        <v>0.29</v>
      </c>
      <c r="O48" s="19" t="s">
        <v>29</v>
      </c>
      <c r="P48" s="19">
        <v>0.29</v>
      </c>
      <c r="Q48" s="19" t="s">
        <v>29</v>
      </c>
      <c r="R48" s="33">
        <v>0.31</v>
      </c>
      <c r="U48" s="33" t="s">
        <v>29</v>
      </c>
      <c r="V48" s="33">
        <v>0.13</v>
      </c>
      <c r="W48" s="33" t="s">
        <v>29</v>
      </c>
      <c r="X48" s="33">
        <v>0.14</v>
      </c>
      <c r="Y48" s="33" t="s">
        <v>29</v>
      </c>
      <c r="Z48" s="33">
        <v>0.11</v>
      </c>
      <c r="AC48" s="33" t="s">
        <v>29</v>
      </c>
      <c r="AD48" s="33">
        <v>0.13</v>
      </c>
      <c r="AE48" s="33" t="s">
        <v>29</v>
      </c>
      <c r="AF48" s="33">
        <v>0.13</v>
      </c>
      <c r="AG48" s="33" t="s">
        <v>29</v>
      </c>
      <c r="AH48" s="33">
        <v>0.15</v>
      </c>
    </row>
    <row r="49" spans="2:34" ht="12.75">
      <c r="B49" s="9" t="s">
        <v>102</v>
      </c>
      <c r="D49" s="9" t="s">
        <v>50</v>
      </c>
      <c r="E49" s="35"/>
      <c r="F49" s="34">
        <v>0.137</v>
      </c>
      <c r="H49" s="34">
        <v>0.157</v>
      </c>
      <c r="I49" s="35"/>
      <c r="J49" s="34">
        <v>0.164</v>
      </c>
      <c r="K49" s="35"/>
      <c r="N49" s="19">
        <v>0.256</v>
      </c>
      <c r="P49" s="19">
        <v>0.251</v>
      </c>
      <c r="R49" s="33">
        <v>0.286</v>
      </c>
      <c r="U49" s="33" t="s">
        <v>29</v>
      </c>
      <c r="V49" s="33">
        <v>0.015</v>
      </c>
      <c r="W49" s="33" t="s">
        <v>29</v>
      </c>
      <c r="X49" s="33">
        <v>0.017</v>
      </c>
      <c r="Y49" s="33" t="s">
        <v>29</v>
      </c>
      <c r="Z49" s="33">
        <v>0.013</v>
      </c>
      <c r="AC49" s="33" t="s">
        <v>29</v>
      </c>
      <c r="AD49" s="33">
        <v>0.015</v>
      </c>
      <c r="AE49" s="33" t="s">
        <v>29</v>
      </c>
      <c r="AF49" s="33">
        <v>0.015</v>
      </c>
      <c r="AG49" s="33" t="s">
        <v>29</v>
      </c>
      <c r="AH49" s="33">
        <v>0.018</v>
      </c>
    </row>
    <row r="50" spans="2:34" ht="12.75">
      <c r="B50" s="9" t="s">
        <v>103</v>
      </c>
      <c r="D50" s="9" t="s">
        <v>50</v>
      </c>
      <c r="E50" s="35" t="s">
        <v>29</v>
      </c>
      <c r="F50" s="34">
        <v>0.44</v>
      </c>
      <c r="G50" s="35" t="s">
        <v>29</v>
      </c>
      <c r="H50" s="34">
        <v>0.47</v>
      </c>
      <c r="I50" s="35" t="s">
        <v>29</v>
      </c>
      <c r="J50" s="34">
        <v>0.54</v>
      </c>
      <c r="K50" s="35"/>
      <c r="M50" s="19" t="s">
        <v>29</v>
      </c>
      <c r="N50" s="19">
        <v>0.8</v>
      </c>
      <c r="O50" s="19" t="s">
        <v>29</v>
      </c>
      <c r="P50" s="19">
        <v>0.8</v>
      </c>
      <c r="Q50" s="19" t="s">
        <v>29</v>
      </c>
      <c r="R50" s="33">
        <v>0.86</v>
      </c>
      <c r="U50" s="33" t="s">
        <v>29</v>
      </c>
      <c r="V50" s="33">
        <v>0.35</v>
      </c>
      <c r="W50" s="33" t="s">
        <v>29</v>
      </c>
      <c r="X50" s="33">
        <v>0.4</v>
      </c>
      <c r="Y50" s="33" t="s">
        <v>29</v>
      </c>
      <c r="Z50" s="33">
        <v>0.31</v>
      </c>
      <c r="AC50" s="33" t="s">
        <v>29</v>
      </c>
      <c r="AD50" s="33">
        <v>0.35</v>
      </c>
      <c r="AE50" s="33" t="s">
        <v>29</v>
      </c>
      <c r="AF50" s="33">
        <v>0.36</v>
      </c>
      <c r="AG50" s="33" t="s">
        <v>29</v>
      </c>
      <c r="AH50" s="33">
        <v>0.42</v>
      </c>
    </row>
    <row r="51" spans="2:34" ht="12.75">
      <c r="B51" s="9" t="s">
        <v>115</v>
      </c>
      <c r="D51" s="9" t="s">
        <v>50</v>
      </c>
      <c r="E51" s="35"/>
      <c r="F51" s="33">
        <v>0.0686</v>
      </c>
      <c r="H51" s="34">
        <v>0.0919</v>
      </c>
      <c r="I51" s="34"/>
      <c r="J51" s="34">
        <v>0.129</v>
      </c>
      <c r="K51" s="35"/>
      <c r="N51" s="19">
        <v>0.108</v>
      </c>
      <c r="P51" s="19">
        <v>0.127</v>
      </c>
      <c r="R51" s="33">
        <v>0.109</v>
      </c>
      <c r="V51" s="33">
        <v>0.103</v>
      </c>
      <c r="X51" s="33">
        <v>0.167</v>
      </c>
      <c r="Z51" s="33">
        <v>0.105</v>
      </c>
      <c r="AD51" s="33">
        <v>0.121</v>
      </c>
      <c r="AF51" s="33">
        <v>0.554</v>
      </c>
      <c r="AH51" s="33">
        <v>0.35</v>
      </c>
    </row>
    <row r="52" spans="5:11" ht="12.75">
      <c r="E52" s="35"/>
      <c r="H52" s="34"/>
      <c r="I52" s="34"/>
      <c r="J52" s="35"/>
      <c r="K52" s="35"/>
    </row>
    <row r="53" spans="2:60" ht="12.75">
      <c r="B53" s="9" t="s">
        <v>72</v>
      </c>
      <c r="D53" s="9" t="s">
        <v>17</v>
      </c>
      <c r="E53" s="35"/>
      <c r="F53" s="8">
        <f>'emiss 1'!$G$67</f>
        <v>29058</v>
      </c>
      <c r="G53" s="13"/>
      <c r="H53" s="8">
        <f>'emiss 1'!$I$67</f>
        <v>30220</v>
      </c>
      <c r="I53" s="11"/>
      <c r="J53" s="8">
        <f>'emiss 1'!$K$67</f>
        <v>29771</v>
      </c>
      <c r="K53" s="13"/>
      <c r="L53" s="8">
        <f>'emiss 1'!$M$67</f>
        <v>29683</v>
      </c>
      <c r="N53" s="8">
        <f>'emiss 1'!$G$67</f>
        <v>29058</v>
      </c>
      <c r="O53" s="13"/>
      <c r="P53" s="8">
        <f>'emiss 1'!$I$67</f>
        <v>30220</v>
      </c>
      <c r="Q53" s="11"/>
      <c r="R53" s="8">
        <f>'emiss 1'!$K$67</f>
        <v>29771</v>
      </c>
      <c r="S53" s="13"/>
      <c r="T53" s="8">
        <f>'emiss 1'!$M$67</f>
        <v>29683</v>
      </c>
      <c r="V53" s="8">
        <f>'emiss 1'!$G$67</f>
        <v>29058</v>
      </c>
      <c r="W53" s="13"/>
      <c r="X53" s="8">
        <f>'emiss 1'!$I$67</f>
        <v>30220</v>
      </c>
      <c r="Y53" s="11"/>
      <c r="Z53" s="8">
        <f>'emiss 1'!$K$67</f>
        <v>29771</v>
      </c>
      <c r="AA53" s="13"/>
      <c r="AB53" s="8">
        <f>'emiss 1'!$M$67</f>
        <v>29683</v>
      </c>
      <c r="AD53" s="8">
        <f>'emiss 1'!$G$67</f>
        <v>29058</v>
      </c>
      <c r="AE53" s="13"/>
      <c r="AF53" s="8">
        <f>'emiss 1'!$I$67</f>
        <v>30220</v>
      </c>
      <c r="AG53" s="11"/>
      <c r="AH53" s="8">
        <f>'emiss 1'!$K$67</f>
        <v>29771</v>
      </c>
      <c r="AI53" s="13"/>
      <c r="AJ53" s="8">
        <f>'emiss 1'!$M$67</f>
        <v>29683</v>
      </c>
      <c r="AL53" s="8">
        <f>'emiss 1'!$G$67</f>
        <v>29058</v>
      </c>
      <c r="AM53" s="13"/>
      <c r="AN53" s="8">
        <f>'emiss 1'!$I$67</f>
        <v>30220</v>
      </c>
      <c r="AO53" s="11"/>
      <c r="AP53" s="8">
        <f>'emiss 1'!$K$67</f>
        <v>29771</v>
      </c>
      <c r="AQ53" s="13"/>
      <c r="AR53" s="8">
        <f>'emiss 1'!$M$67</f>
        <v>29683</v>
      </c>
      <c r="BB53" s="74"/>
      <c r="BD53" s="74"/>
      <c r="BF53" s="74"/>
      <c r="BH53" s="74"/>
    </row>
    <row r="54" spans="2:60" ht="12.75">
      <c r="B54" s="9" t="s">
        <v>73</v>
      </c>
      <c r="D54" s="9" t="s">
        <v>18</v>
      </c>
      <c r="E54" s="35"/>
      <c r="F54" s="7">
        <f>'emiss 1'!$G$68</f>
        <v>10.24</v>
      </c>
      <c r="H54" s="7">
        <f>'emiss 1'!$I$68</f>
        <v>10.29</v>
      </c>
      <c r="I54" s="34"/>
      <c r="J54" s="7">
        <f>'emiss 1'!$K$68</f>
        <v>10.81</v>
      </c>
      <c r="K54" s="35"/>
      <c r="L54" s="7">
        <f>'emiss 1'!$M$68</f>
        <v>10.446666666666667</v>
      </c>
      <c r="N54" s="7">
        <f>'emiss 1'!$G$68</f>
        <v>10.24</v>
      </c>
      <c r="O54" s="35"/>
      <c r="P54" s="7">
        <f>'emiss 1'!$I$68</f>
        <v>10.29</v>
      </c>
      <c r="Q54" s="34"/>
      <c r="R54" s="7">
        <f>'emiss 1'!$K$68</f>
        <v>10.81</v>
      </c>
      <c r="S54" s="35"/>
      <c r="T54" s="7">
        <f>'emiss 1'!$M$68</f>
        <v>10.446666666666667</v>
      </c>
      <c r="V54" s="7">
        <f>'emiss 1'!$G$68</f>
        <v>10.24</v>
      </c>
      <c r="W54" s="35"/>
      <c r="X54" s="7">
        <f>'emiss 1'!$I$68</f>
        <v>10.29</v>
      </c>
      <c r="Y54" s="34"/>
      <c r="Z54" s="7">
        <f>'emiss 1'!$K$68</f>
        <v>10.81</v>
      </c>
      <c r="AA54" s="35"/>
      <c r="AB54" s="7">
        <f>'emiss 1'!$M$68</f>
        <v>10.446666666666667</v>
      </c>
      <c r="AD54" s="7">
        <f>'emiss 1'!$G$68</f>
        <v>10.24</v>
      </c>
      <c r="AE54" s="35"/>
      <c r="AF54" s="7">
        <f>'emiss 1'!$I$68</f>
        <v>10.29</v>
      </c>
      <c r="AG54" s="34"/>
      <c r="AH54" s="7">
        <f>'emiss 1'!$K$68</f>
        <v>10.81</v>
      </c>
      <c r="AI54" s="35"/>
      <c r="AJ54" s="7">
        <f>'emiss 1'!$M$68</f>
        <v>10.446666666666667</v>
      </c>
      <c r="AL54" s="7">
        <f>'emiss 1'!$G$68</f>
        <v>10.24</v>
      </c>
      <c r="AM54" s="35"/>
      <c r="AN54" s="7">
        <f>'emiss 1'!$I$68</f>
        <v>10.29</v>
      </c>
      <c r="AO54" s="34"/>
      <c r="AP54" s="7">
        <f>'emiss 1'!$K$68</f>
        <v>10.81</v>
      </c>
      <c r="AQ54" s="35"/>
      <c r="AR54" s="7">
        <f>'emiss 1'!$M$68</f>
        <v>10.446666666666667</v>
      </c>
      <c r="BB54" s="41"/>
      <c r="BD54" s="41"/>
      <c r="BF54" s="41"/>
      <c r="BH54" s="41"/>
    </row>
    <row r="55" spans="5:11" ht="12.75">
      <c r="E55" s="35"/>
      <c r="H55" s="34"/>
      <c r="I55" s="34"/>
      <c r="J55" s="35"/>
      <c r="K55" s="35"/>
    </row>
    <row r="56" spans="2:60" ht="12.75">
      <c r="B56" s="9" t="s">
        <v>119</v>
      </c>
      <c r="D56" s="9" t="s">
        <v>65</v>
      </c>
      <c r="E56" s="35"/>
      <c r="F56" s="10">
        <f>F33*F34/1000000</f>
        <v>5.232122</v>
      </c>
      <c r="H56" s="10">
        <f>H33*H34/1000000</f>
        <v>5.5593</v>
      </c>
      <c r="I56" s="34"/>
      <c r="J56" s="10">
        <f>J33*J34/1000000</f>
        <v>6.4467</v>
      </c>
      <c r="K56" s="35"/>
      <c r="L56" s="10">
        <f>L33*L34/1000000</f>
        <v>5.747421111111111</v>
      </c>
      <c r="N56" s="10">
        <f>N33*N34/1000000</f>
        <v>34.38078</v>
      </c>
      <c r="O56" s="35"/>
      <c r="P56" s="10">
        <f>P33*P34/1000000</f>
        <v>33.78708</v>
      </c>
      <c r="Q56" s="34"/>
      <c r="R56" s="10">
        <f>R33*R34/1000000</f>
        <v>36.24231</v>
      </c>
      <c r="S56" s="35"/>
      <c r="T56" s="10">
        <f>T33*T34/1000000</f>
        <v>34.80607888888889</v>
      </c>
      <c r="V56" s="10">
        <f>V33*V34/1000000</f>
        <v>17.51581</v>
      </c>
      <c r="W56" s="35"/>
      <c r="X56" s="10">
        <f>X33*X34/1000000</f>
        <v>20.18371</v>
      </c>
      <c r="Y56" s="34"/>
      <c r="Z56" s="10">
        <f>Z33*Z34/1000000</f>
        <v>15.75288</v>
      </c>
      <c r="AA56" s="35"/>
      <c r="AB56" s="10">
        <f>AB33*AB34/1000000</f>
        <v>17.825566666666663</v>
      </c>
      <c r="AD56" s="10">
        <f>AD33*AD34/1000000</f>
        <v>14.76048</v>
      </c>
      <c r="AE56" s="35"/>
      <c r="AF56" s="10">
        <f>AF33*AF34/1000000</f>
        <v>15.00051</v>
      </c>
      <c r="AG56" s="34"/>
      <c r="AH56" s="10">
        <f>AH33*AH34/1000000</f>
        <v>17.5076</v>
      </c>
      <c r="AI56" s="35"/>
      <c r="AJ56" s="10">
        <f>AJ33*AJ34/1000000</f>
        <v>15.75492666666667</v>
      </c>
      <c r="AL56" s="10">
        <f>AL33*AL34/1000000</f>
        <v>15.1392</v>
      </c>
      <c r="AM56" s="35"/>
      <c r="AN56" s="10">
        <f>AN33*AN34/1000000</f>
        <v>13.8396</v>
      </c>
      <c r="AO56" s="34"/>
      <c r="AP56" s="10">
        <f>AP33*AP34/1000000</f>
        <v>3.4124</v>
      </c>
      <c r="AQ56" s="35"/>
      <c r="AR56" s="10">
        <f>AR33*AR34/1000000</f>
        <v>10.797066666666668</v>
      </c>
      <c r="AT56" s="36">
        <f>SUM(AL56,AD56,V56,P56,F56)</f>
        <v>86.43469200000001</v>
      </c>
      <c r="AV56" s="36">
        <f>SUM(AN56,AF56,X56,R56,H56)</f>
        <v>90.82543000000001</v>
      </c>
      <c r="AX56" s="36">
        <f>SUM(AP56,AH56,Z56,T56,J56)</f>
        <v>77.92565888888888</v>
      </c>
      <c r="AZ56" s="36">
        <f>SUM(AR56,AJ56,AB56,V56,L56)</f>
        <v>67.64079111111111</v>
      </c>
      <c r="BB56" s="36"/>
      <c r="BD56" s="36"/>
      <c r="BF56" s="36"/>
      <c r="BH56" s="36"/>
    </row>
    <row r="57" spans="2:60" ht="12.75">
      <c r="B57" s="9" t="s">
        <v>289</v>
      </c>
      <c r="D57" s="9" t="s">
        <v>65</v>
      </c>
      <c r="E57" s="35"/>
      <c r="F57" s="36">
        <f>F53/9000*(21-F54)/21*60</f>
        <v>99.25843809523809</v>
      </c>
      <c r="H57" s="36">
        <f>H53/9000*(21-H54)/21*60</f>
        <v>102.748</v>
      </c>
      <c r="I57" s="34"/>
      <c r="J57" s="36">
        <f>J53/9000*(21-J54)/21*60</f>
        <v>96.30682222222221</v>
      </c>
      <c r="K57" s="35"/>
      <c r="L57" s="36">
        <f>L53/9000*(21-L54)/21*60</f>
        <v>99.44590264550263</v>
      </c>
      <c r="AT57" s="36">
        <f>F57</f>
        <v>99.25843809523809</v>
      </c>
      <c r="AV57" s="36">
        <f>H57</f>
        <v>102.748</v>
      </c>
      <c r="AX57" s="36">
        <f>J57</f>
        <v>96.30682222222221</v>
      </c>
      <c r="AZ57" s="36">
        <f>L57</f>
        <v>99.44590264550263</v>
      </c>
      <c r="BB57" s="36"/>
      <c r="BD57" s="36"/>
      <c r="BF57" s="36"/>
      <c r="BH57" s="36"/>
    </row>
    <row r="58" spans="5:11" ht="12.75">
      <c r="E58" s="35"/>
      <c r="F58" s="33"/>
      <c r="H58" s="34"/>
      <c r="I58" s="34"/>
      <c r="J58" s="35"/>
      <c r="K58" s="35"/>
    </row>
    <row r="59" spans="2:11" ht="12.75">
      <c r="B59" s="54" t="s">
        <v>87</v>
      </c>
      <c r="C59" s="54"/>
      <c r="E59" s="35"/>
      <c r="F59" s="33"/>
      <c r="H59" s="34"/>
      <c r="I59" s="34"/>
      <c r="J59" s="35"/>
      <c r="K59" s="35"/>
    </row>
    <row r="60" spans="2:60" ht="12.75">
      <c r="B60" s="9" t="s">
        <v>53</v>
      </c>
      <c r="D60" s="9" t="s">
        <v>74</v>
      </c>
      <c r="E60" s="35"/>
      <c r="F60" s="10">
        <f>F37*454/F$53/60/0.0283*(21-7)/(21-F$54)*1000</f>
        <v>42.740187983123356</v>
      </c>
      <c r="H60" s="10">
        <f>H37*454/H$53/60/0.0283*(21-7)/(21-H$54)*1000</f>
        <v>30.070151748343175</v>
      </c>
      <c r="I60" s="35"/>
      <c r="J60" s="10">
        <f>J37*454/J$53/60/0.0283*(21-7)/(21-J$54)*1000</f>
        <v>136.9624684702479</v>
      </c>
      <c r="K60" s="35"/>
      <c r="L60" s="36">
        <f>AVERAGE(J60,H60,F60)</f>
        <v>69.92426940057148</v>
      </c>
      <c r="M60" s="35"/>
      <c r="N60" s="10">
        <f>N37*454/N$53/60/0.0283*(21-7)/(21-N$54)*1000</f>
        <v>19.394707152005555</v>
      </c>
      <c r="O60" s="35"/>
      <c r="P60" s="10">
        <f>P37*454/P$53/60/0.0283*(21-7)/(21-P$54)*1000</f>
        <v>22.899577100661336</v>
      </c>
      <c r="Q60" s="35"/>
      <c r="R60" s="10">
        <f>R37*454/R$53/60/0.0283*(21-7)/(21-R$54)*1000</f>
        <v>12.06750397872995</v>
      </c>
      <c r="S60" s="35"/>
      <c r="T60" s="36">
        <f aca="true" t="shared" si="0" ref="T60:T76">AVERAGE(R60,P60,N60)</f>
        <v>18.12059607713228</v>
      </c>
      <c r="U60" s="33" t="s">
        <v>29</v>
      </c>
      <c r="V60" s="10">
        <f>V37*454/V$53/60/0.0283*(21-7)/(21-V$54)*1000</f>
        <v>0.47888165807421124</v>
      </c>
      <c r="W60" s="33" t="s">
        <v>29</v>
      </c>
      <c r="X60" s="10">
        <f>X37*454/X$53/60/0.0283*(21-7)/(21-X$54)*1000</f>
        <v>0.5320103770860716</v>
      </c>
      <c r="Y60" s="33" t="s">
        <v>29</v>
      </c>
      <c r="Z60" s="10">
        <f>Z37*454/Z$53/60/0.0283*(21-7)/(21-Z$54)*1000</f>
        <v>0.4318636393206015</v>
      </c>
      <c r="AA60" s="35"/>
      <c r="AB60" s="36">
        <f>AVERAGE(Z60,X60,V60)/2</f>
        <v>0.2404592790801474</v>
      </c>
      <c r="AC60" s="33" t="s">
        <v>29</v>
      </c>
      <c r="AD60" s="10">
        <f>AD37*454/AD$53/60/0.0283*(21-7)/(21-AD$54)*1000</f>
        <v>0.19155266322968456</v>
      </c>
      <c r="AE60" s="33" t="s">
        <v>29</v>
      </c>
      <c r="AF60" s="10">
        <f>AF37*454/AF$53/60/0.0283*(21-7)/(21-AF$54)*1000</f>
        <v>0.18504708768211184</v>
      </c>
      <c r="AG60" s="33" t="s">
        <v>29</v>
      </c>
      <c r="AH60" s="10">
        <f>AH37*454/AH$53/60/0.0283*(21-7)/(21-AH$54)*1000</f>
        <v>0.23444026134546933</v>
      </c>
      <c r="AI60" s="35"/>
      <c r="AJ60" s="36">
        <f>AVERAGE(AH60,AF60,AD60)/2</f>
        <v>0.10184000204287762</v>
      </c>
      <c r="AS60" s="33">
        <f>(IF(E60="nd",F60,0)+IF(M60="nd",N60,0)+IF(U60="nd",V60,0)+IF(AC60="nd",AD60,0))/AT60*100</f>
        <v>1.067479984750286</v>
      </c>
      <c r="AT60" s="36">
        <f>AL60+AD60+V60+N60+F60</f>
        <v>62.80532945643281</v>
      </c>
      <c r="AU60" s="33">
        <f>(IF(G60="nd",H60,0)+IF(O60="nd",P60,0)+IF(W60="nd",X60,0)+IF(AE60="nd",AF60,0))/AV60*100</f>
        <v>1.335631193451099</v>
      </c>
      <c r="AV60" s="36">
        <f aca="true" t="shared" si="1" ref="AV60:AV76">AN60+AF60+X60+P60+H60</f>
        <v>53.68678631377269</v>
      </c>
      <c r="AW60" s="33">
        <f>(IF(I60="nd",J60,0)+IF(Q60="nd",R60,0)+IF(Y60="nd",Z60,0)+IF(AG60="nd",AH60,0))/AX60*100</f>
        <v>0.44510385756676557</v>
      </c>
      <c r="AX60" s="36">
        <f aca="true" t="shared" si="2" ref="AX60:AX76">AP60+AH60+Z60+R60+J60</f>
        <v>149.6962763496439</v>
      </c>
      <c r="AY60" s="33">
        <f>(AS60*AT60+AU60*AV60+AW60*AX60)/(AZ60*3)</f>
        <v>0.7715571931526763</v>
      </c>
      <c r="AZ60" s="36">
        <f>AVERAGE(AT60,AV60,AX60)</f>
        <v>88.7294640399498</v>
      </c>
      <c r="BA60" s="33">
        <v>1.067479984750286</v>
      </c>
      <c r="BB60" s="36">
        <f>F60+N60+V60+AD60+AL60</f>
        <v>62.80532945643281</v>
      </c>
      <c r="BC60" s="33">
        <v>1.335631193451099</v>
      </c>
      <c r="BD60" s="36">
        <f>H60+P60+X60+AF60+AN60</f>
        <v>53.6867863137727</v>
      </c>
      <c r="BE60" s="33">
        <v>0.44510385756676557</v>
      </c>
      <c r="BF60" s="36">
        <f>J60+R60+Z60+AH60+AP60</f>
        <v>149.6962763496439</v>
      </c>
      <c r="BG60" s="33">
        <v>0.7715571931526763</v>
      </c>
      <c r="BH60" s="36">
        <f>L60+T60+AB60+AJ60+AR60</f>
        <v>88.38716475882677</v>
      </c>
    </row>
    <row r="61" spans="2:60" ht="12.75">
      <c r="B61" s="33" t="s">
        <v>54</v>
      </c>
      <c r="D61" s="9" t="s">
        <v>66</v>
      </c>
      <c r="E61" s="35"/>
      <c r="F61" s="11">
        <f>F38*454/F$53/60/0.0283*(21-7)/(21-F$54)*1000000</f>
        <v>7350833.451439142</v>
      </c>
      <c r="G61" s="13"/>
      <c r="H61" s="11">
        <f>H38*454/H$53/60/0.0283*(21-7)/(21-H$54)*1000000</f>
        <v>6060292.121589163</v>
      </c>
      <c r="I61" s="13"/>
      <c r="J61" s="11">
        <f>J38*454/J$53/60/0.0283*(21-7)/(21-J$54)*1000000</f>
        <v>7835240.313388056</v>
      </c>
      <c r="K61" s="13"/>
      <c r="L61" s="74">
        <f aca="true" t="shared" si="3" ref="L61:L76">AVERAGE(J61,H61,F61)</f>
        <v>7082121.962138787</v>
      </c>
      <c r="M61" s="13"/>
      <c r="N61" s="11">
        <f>N38*454/N$53/60/0.0283*(21-7)/(21-N$54)*1000000</f>
        <v>31845630.261935048</v>
      </c>
      <c r="O61" s="13"/>
      <c r="P61" s="11">
        <f>P38*454/P$53/60/0.0283*(21-7)/(21-P$54)*1000000</f>
        <v>31111041.616555046</v>
      </c>
      <c r="Q61" s="13"/>
      <c r="R61" s="11">
        <f>R38*454/R$53/60/0.0283*(21-7)/(21-R$54)*1000000</f>
        <v>40965350.92983991</v>
      </c>
      <c r="S61" s="13"/>
      <c r="T61" s="74">
        <f t="shared" si="0"/>
        <v>34640674.26944333</v>
      </c>
      <c r="U61" s="74"/>
      <c r="V61" s="11">
        <f>V38*454/V$53/60/0.0283*(21-7)/(21-V$54)*1000000</f>
        <v>10212151.358432556</v>
      </c>
      <c r="W61" s="74"/>
      <c r="X61" s="11">
        <f>X38*454/X$53/60/0.0283*(21-7)/(21-X$54)*1000000</f>
        <v>11565442.98013199</v>
      </c>
      <c r="Y61" s="74"/>
      <c r="Z61" s="11">
        <f>Z38*454/Z$53/60/0.0283*(21-7)/(21-Z$54)*1000000</f>
        <v>9698423.443028364</v>
      </c>
      <c r="AA61" s="13"/>
      <c r="AB61" s="74">
        <f aca="true" t="shared" si="4" ref="AB61:AB76">AVERAGE(Z61,X61,V61)</f>
        <v>10492005.927197635</v>
      </c>
      <c r="AC61" s="74" t="s">
        <v>29</v>
      </c>
      <c r="AD61" s="11">
        <f>AD38*454/AD$53/60/0.0283*(21-7)/(21-AD$54)*1000000</f>
        <v>4788.816580742113</v>
      </c>
      <c r="AE61" s="74" t="s">
        <v>29</v>
      </c>
      <c r="AF61" s="11">
        <f>AF38*454/AF$53/60/0.0283*(21-7)/(21-AF$54)*1000000</f>
        <v>4741.831621854115</v>
      </c>
      <c r="AG61" s="74"/>
      <c r="AH61" s="11">
        <f>AH38*454/AH$53/60/0.0283*(21-7)/(21-AH$54)*1000000</f>
        <v>10191.981887966196</v>
      </c>
      <c r="AI61" s="13"/>
      <c r="AJ61" s="74">
        <f>AVERAGE(AH61,AF61/2,AD61/2)</f>
        <v>4985.7686630881035</v>
      </c>
      <c r="AK61" s="74"/>
      <c r="AL61" s="11">
        <f>AL38*454/AL$53/60/0.0283*(21-7)/(21-AL$54)*1000000</f>
        <v>978115.7866165765</v>
      </c>
      <c r="AM61" s="74"/>
      <c r="AN61" s="11">
        <f>AN38*454/AN$53/60/0.0283*(21-7)/(21-AN$54)*1000000</f>
        <v>863938.5906158596</v>
      </c>
      <c r="AO61" s="74"/>
      <c r="AP61" s="11">
        <f>AP38*454/AP$53/60/0.0283*(21-7)/(21-AP$54)*1000000</f>
        <v>227036.8846714019</v>
      </c>
      <c r="AQ61" s="13"/>
      <c r="AR61" s="74">
        <f>AVERAGE(AP61,AN61,AL61)</f>
        <v>689697.0873012793</v>
      </c>
      <c r="AS61" s="74">
        <f aca="true" t="shared" si="5" ref="AS61:AW74">(IF(E61="nd",F61,0)+IF(M61="nd",N61,0)+IF(U61="nd",V61,0)+IF(AC61="nd",AD61,0))/AT61*100</f>
        <v>0.009503219215509255</v>
      </c>
      <c r="AT61" s="74">
        <f>AL61+AD61+V61+N61+F61</f>
        <v>50391519.675004065</v>
      </c>
      <c r="AU61" s="74">
        <f t="shared" si="5"/>
        <v>0.00955909267890075</v>
      </c>
      <c r="AV61" s="74">
        <f t="shared" si="1"/>
        <v>49605457.14051391</v>
      </c>
      <c r="AW61" s="74">
        <f t="shared" si="5"/>
        <v>0</v>
      </c>
      <c r="AX61" s="74">
        <f t="shared" si="2"/>
        <v>58736243.5528157</v>
      </c>
      <c r="AY61" s="74">
        <f aca="true" t="shared" si="6" ref="AY61:AY76">(AS61*AT61+AU61*AV61+AW61*AX61)/(AZ61*3)</f>
        <v>0.006004192556845231</v>
      </c>
      <c r="AZ61" s="74">
        <f>AVERAGE(AT61,AV61,AX61)</f>
        <v>52911073.45611122</v>
      </c>
      <c r="BA61" s="74">
        <v>0.009503219215509255</v>
      </c>
      <c r="BB61" s="74">
        <f aca="true" t="shared" si="7" ref="BB61:BB76">F61+N61+V61+AD61+AL61</f>
        <v>50391519.675004065</v>
      </c>
      <c r="BC61" s="74">
        <v>0.00955909267890075</v>
      </c>
      <c r="BD61" s="74">
        <f aca="true" t="shared" si="8" ref="BD61:BD76">H61+P61+X61+AF61+AN61</f>
        <v>49605457.14051392</v>
      </c>
      <c r="BE61" s="74">
        <v>0</v>
      </c>
      <c r="BF61" s="74">
        <f aca="true" t="shared" si="9" ref="BF61:BF76">J61+R61+Z61+AH61+AP61</f>
        <v>58736243.552815706</v>
      </c>
      <c r="BG61" s="74">
        <v>0.006004192556845231</v>
      </c>
      <c r="BH61" s="74">
        <f aca="true" t="shared" si="10" ref="BH61:BH76">L61+T61+AB61+AJ61+AR61</f>
        <v>52909485.01474412</v>
      </c>
    </row>
    <row r="62" spans="2:60" ht="12.75">
      <c r="B62" s="9" t="s">
        <v>94</v>
      </c>
      <c r="D62" s="9" t="s">
        <v>66</v>
      </c>
      <c r="E62" s="35" t="s">
        <v>29</v>
      </c>
      <c r="F62" s="37">
        <f>F39/F$53/60/0.0283*(21-7)/(21-F$54)*1000000</f>
        <v>4.482923010606603</v>
      </c>
      <c r="G62" s="35" t="s">
        <v>29</v>
      </c>
      <c r="H62" s="37">
        <f>H39/H$53/60/0.0283*(21-7)/(21-H$54)*1000000</f>
        <v>4.585417921638234</v>
      </c>
      <c r="I62" s="35" t="s">
        <v>29</v>
      </c>
      <c r="J62" s="37">
        <f aca="true" t="shared" si="11" ref="J62:J74">J39/J$53/60/0.0283*(21-7)/(21-J$54)*1000000</f>
        <v>5.707448977805305</v>
      </c>
      <c r="K62" s="35"/>
      <c r="L62" s="36">
        <f>AVERAGE(J62,H62,F62)</f>
        <v>4.9252633033500475</v>
      </c>
      <c r="M62" s="35" t="s">
        <v>29</v>
      </c>
      <c r="N62" s="37">
        <f aca="true" t="shared" si="12" ref="N62:N74">N39/N$53/60/0.0283*(21-7)/(21-N$54)*1000000</f>
        <v>8.438443314083019</v>
      </c>
      <c r="O62" s="35" t="s">
        <v>29</v>
      </c>
      <c r="P62" s="37">
        <f aca="true" t="shared" si="13" ref="P62:P74">P39/P$53/60/0.0283*(21-7)/(21-P$54)*1000000</f>
        <v>8.151854082912417</v>
      </c>
      <c r="Q62" s="35" t="s">
        <v>29</v>
      </c>
      <c r="R62" s="37">
        <f>R39/R$53/60/0.0283*(21-7)/(21-R$54)*1000000</f>
        <v>9.240631678351448</v>
      </c>
      <c r="S62" s="35"/>
      <c r="T62" s="36">
        <f t="shared" si="0"/>
        <v>8.610309691782293</v>
      </c>
      <c r="U62" s="33" t="s">
        <v>29</v>
      </c>
      <c r="V62" s="37">
        <f>V39/V$53/60/0.0283*(21-7)/(21-V$54)*1000000</f>
        <v>3.6918189499113208</v>
      </c>
      <c r="W62" s="33" t="s">
        <v>29</v>
      </c>
      <c r="X62" s="37">
        <f>X39/X$53/60/0.0283*(21-7)/(21-X$54)*1000000</f>
        <v>4.075927041456208</v>
      </c>
      <c r="Y62" s="33" t="s">
        <v>29</v>
      </c>
      <c r="Z62" s="37">
        <f aca="true" t="shared" si="14" ref="Z62:Z74">Z39/Z$53/60/0.0283*(21-7)/(21-Z$54)*1000000</f>
        <v>3.261399415888746</v>
      </c>
      <c r="AA62" s="35"/>
      <c r="AB62" s="36">
        <f t="shared" si="4"/>
        <v>3.6763818024187582</v>
      </c>
      <c r="AC62" s="33" t="s">
        <v>29</v>
      </c>
      <c r="AD62" s="37">
        <f aca="true" t="shared" si="15" ref="AD62:AD74">AD39/AD$53/60/0.0283*(21-7)/(21-AD$54)*1000000</f>
        <v>3.6918189499113208</v>
      </c>
      <c r="AE62" s="33" t="s">
        <v>29</v>
      </c>
      <c r="AF62" s="37">
        <f aca="true" t="shared" si="16" ref="AF62:AF74">AF39/AF$53/60/0.0283*(21-7)/(21-AF$54)*1000000</f>
        <v>3.5664361612741815</v>
      </c>
      <c r="AG62" s="33" t="s">
        <v>29</v>
      </c>
      <c r="AH62" s="37">
        <f>AH39/AH$53/60/0.0283*(21-7)/(21-AH$54)*1000000</f>
        <v>4.3485325545183295</v>
      </c>
      <c r="AI62" s="35"/>
      <c r="AJ62" s="36">
        <f aca="true" t="shared" si="17" ref="AJ62:AJ76">AVERAGE(AH62,AF62,AD62)</f>
        <v>3.8689292219012774</v>
      </c>
      <c r="AS62" s="33">
        <f t="shared" si="5"/>
        <v>100.00000000000003</v>
      </c>
      <c r="AT62" s="36">
        <f aca="true" t="shared" si="18" ref="AT62:AT76">AL62+AD62+V62+N62+F62</f>
        <v>20.305004224512263</v>
      </c>
      <c r="AU62" s="33">
        <f t="shared" si="5"/>
        <v>100</v>
      </c>
      <c r="AV62" s="36">
        <f t="shared" si="1"/>
        <v>20.37963520728104</v>
      </c>
      <c r="AW62" s="33">
        <f t="shared" si="5"/>
        <v>99.99999999999999</v>
      </c>
      <c r="AX62" s="36">
        <f t="shared" si="2"/>
        <v>22.55801262656383</v>
      </c>
      <c r="AY62" s="33">
        <f t="shared" si="6"/>
        <v>100.00000000000001</v>
      </c>
      <c r="AZ62" s="36">
        <f aca="true" t="shared" si="19" ref="AZ62:AZ74">AVERAGE(AT62,AV62,AX62)</f>
        <v>21.080884019452377</v>
      </c>
      <c r="BA62" s="33">
        <v>100</v>
      </c>
      <c r="BB62" s="36">
        <f t="shared" si="7"/>
        <v>20.305004224512267</v>
      </c>
      <c r="BC62" s="33">
        <v>100</v>
      </c>
      <c r="BD62" s="36">
        <f t="shared" si="8"/>
        <v>20.37963520728104</v>
      </c>
      <c r="BE62" s="33">
        <v>100</v>
      </c>
      <c r="BF62" s="36">
        <f t="shared" si="9"/>
        <v>22.558012626563826</v>
      </c>
      <c r="BG62" s="33">
        <v>100</v>
      </c>
      <c r="BH62" s="36">
        <f t="shared" si="10"/>
        <v>21.080884019452377</v>
      </c>
    </row>
    <row r="63" spans="2:60" ht="12.75">
      <c r="B63" s="9" t="s">
        <v>95</v>
      </c>
      <c r="D63" s="9" t="s">
        <v>66</v>
      </c>
      <c r="E63" s="35" t="s">
        <v>29</v>
      </c>
      <c r="F63" s="37">
        <f aca="true" t="shared" si="20" ref="F63:H74">F40/F$53/60/0.0283*(21-7)/(21-F$54)*1000000</f>
        <v>3.428117596346226</v>
      </c>
      <c r="G63" s="35" t="s">
        <v>29</v>
      </c>
      <c r="H63" s="37">
        <f t="shared" si="20"/>
        <v>3.5664361612741815</v>
      </c>
      <c r="I63" s="35" t="s">
        <v>29</v>
      </c>
      <c r="J63" s="37">
        <f t="shared" si="11"/>
        <v>4.3485325545183295</v>
      </c>
      <c r="K63" s="35"/>
      <c r="L63" s="36">
        <f>AVERAGE(J63,H63,F63)</f>
        <v>3.7810287707129127</v>
      </c>
      <c r="M63" s="35" t="s">
        <v>29</v>
      </c>
      <c r="N63" s="37">
        <f t="shared" si="12"/>
        <v>6.3288324855622635</v>
      </c>
      <c r="O63" s="35" t="s">
        <v>29</v>
      </c>
      <c r="P63" s="37">
        <f t="shared" si="13"/>
        <v>6.113890562184311</v>
      </c>
      <c r="Q63" s="35" t="s">
        <v>29</v>
      </c>
      <c r="R63" s="37">
        <f aca="true" t="shared" si="21" ref="R63:R74">R40/R$53/60/0.0283*(21-7)/(21-R$54)*1000000</f>
        <v>7.066365401092284</v>
      </c>
      <c r="S63" s="35"/>
      <c r="T63" s="36">
        <f t="shared" si="0"/>
        <v>6.503029482946286</v>
      </c>
      <c r="U63" s="33" t="s">
        <v>29</v>
      </c>
      <c r="V63" s="37">
        <f aca="true" t="shared" si="22" ref="V63:X74">V40/V$53/60/0.0283*(21-7)/(21-V$54)*1000000</f>
        <v>2.637013535650943</v>
      </c>
      <c r="W63" s="33" t="s">
        <v>29</v>
      </c>
      <c r="X63" s="37">
        <f t="shared" si="22"/>
        <v>3.0569452810921556</v>
      </c>
      <c r="Y63" s="33" t="s">
        <v>29</v>
      </c>
      <c r="Z63" s="37">
        <f t="shared" si="14"/>
        <v>2.5004062188480387</v>
      </c>
      <c r="AB63" s="36">
        <f t="shared" si="4"/>
        <v>2.7314550118637126</v>
      </c>
      <c r="AC63" s="33" t="s">
        <v>29</v>
      </c>
      <c r="AD63" s="37">
        <f t="shared" si="15"/>
        <v>2.637013535650943</v>
      </c>
      <c r="AE63" s="33" t="s">
        <v>29</v>
      </c>
      <c r="AF63" s="37">
        <f t="shared" si="16"/>
        <v>2.8021998410011433</v>
      </c>
      <c r="AG63" s="33" t="s">
        <v>29</v>
      </c>
      <c r="AH63" s="37">
        <f aca="true" t="shared" si="23" ref="AH63:AH74">AH40/AH$53/60/0.0283*(21-7)/(21-AH$54)*1000000</f>
        <v>3.261399415888746</v>
      </c>
      <c r="AJ63" s="36">
        <f t="shared" si="17"/>
        <v>2.9002042641802777</v>
      </c>
      <c r="AS63" s="33">
        <f t="shared" si="5"/>
        <v>100</v>
      </c>
      <c r="AT63" s="36">
        <f t="shared" si="18"/>
        <v>15.030977153210376</v>
      </c>
      <c r="AU63" s="33">
        <f t="shared" si="5"/>
        <v>100</v>
      </c>
      <c r="AV63" s="36">
        <f t="shared" si="1"/>
        <v>15.539471845551791</v>
      </c>
      <c r="AW63" s="33">
        <f t="shared" si="5"/>
        <v>100</v>
      </c>
      <c r="AX63" s="36">
        <f t="shared" si="2"/>
        <v>17.176703590347397</v>
      </c>
      <c r="AY63" s="33">
        <f t="shared" si="6"/>
        <v>100.00000000000001</v>
      </c>
      <c r="AZ63" s="36">
        <f t="shared" si="19"/>
        <v>15.915717529703187</v>
      </c>
      <c r="BA63" s="33">
        <v>100</v>
      </c>
      <c r="BB63" s="36">
        <f t="shared" si="7"/>
        <v>15.030977153210376</v>
      </c>
      <c r="BC63" s="33">
        <v>100</v>
      </c>
      <c r="BD63" s="36">
        <f t="shared" si="8"/>
        <v>15.539471845551791</v>
      </c>
      <c r="BE63" s="33">
        <v>100</v>
      </c>
      <c r="BF63" s="36">
        <f t="shared" si="9"/>
        <v>17.176703590347397</v>
      </c>
      <c r="BG63" s="33">
        <v>100</v>
      </c>
      <c r="BH63" s="36">
        <f t="shared" si="10"/>
        <v>15.915717529703189</v>
      </c>
    </row>
    <row r="64" spans="2:60" ht="12.75">
      <c r="B64" s="9" t="s">
        <v>96</v>
      </c>
      <c r="D64" s="9" t="s">
        <v>66</v>
      </c>
      <c r="E64" s="35"/>
      <c r="F64" s="37">
        <f t="shared" si="20"/>
        <v>2.035774449522528</v>
      </c>
      <c r="H64" s="37">
        <f t="shared" si="20"/>
        <v>2.5117900392973884</v>
      </c>
      <c r="I64" s="35"/>
      <c r="J64" s="37">
        <f t="shared" si="11"/>
        <v>2.7450111750396955</v>
      </c>
      <c r="K64" s="35"/>
      <c r="L64" s="36">
        <f t="shared" si="3"/>
        <v>2.4308585546198707</v>
      </c>
      <c r="M64" s="35"/>
      <c r="N64" s="37">
        <f t="shared" si="12"/>
        <v>3.823669626693867</v>
      </c>
      <c r="O64" s="35"/>
      <c r="P64" s="37">
        <f t="shared" si="13"/>
        <v>3.591910705283283</v>
      </c>
      <c r="Q64" s="35"/>
      <c r="R64" s="37">
        <f t="shared" si="21"/>
        <v>4.212640912189631</v>
      </c>
      <c r="S64" s="35"/>
      <c r="T64" s="36">
        <f t="shared" si="0"/>
        <v>3.876073748055594</v>
      </c>
      <c r="V64" s="37">
        <f t="shared" si="22"/>
        <v>0.3375377325633207</v>
      </c>
      <c r="X64" s="37">
        <f t="shared" si="22"/>
        <v>0.18545468038625748</v>
      </c>
      <c r="Z64" s="37">
        <f t="shared" si="14"/>
        <v>0.13018419335089246</v>
      </c>
      <c r="AB64" s="36">
        <f t="shared" si="4"/>
        <v>0.21772553543349024</v>
      </c>
      <c r="AC64" s="33" t="s">
        <v>29</v>
      </c>
      <c r="AD64" s="37">
        <f t="shared" si="15"/>
        <v>0.10548054142603773</v>
      </c>
      <c r="AE64" s="33" t="s">
        <v>29</v>
      </c>
      <c r="AF64" s="37">
        <f t="shared" si="16"/>
        <v>0.10444563043731535</v>
      </c>
      <c r="AG64" s="33" t="s">
        <v>29</v>
      </c>
      <c r="AH64" s="37">
        <f t="shared" si="23"/>
        <v>0.45659591822442447</v>
      </c>
      <c r="AJ64" s="36">
        <f t="shared" si="17"/>
        <v>0.22217403002925917</v>
      </c>
      <c r="AS64" s="33">
        <f t="shared" si="5"/>
        <v>1.6736401673640173</v>
      </c>
      <c r="AT64" s="36">
        <f t="shared" si="18"/>
        <v>6.302462350205753</v>
      </c>
      <c r="AU64" s="33">
        <f t="shared" si="5"/>
        <v>1.633596302494223</v>
      </c>
      <c r="AV64" s="36">
        <f t="shared" si="1"/>
        <v>6.393601055404244</v>
      </c>
      <c r="AW64" s="33">
        <f t="shared" si="5"/>
        <v>6.052091213660433</v>
      </c>
      <c r="AX64" s="36">
        <f t="shared" si="2"/>
        <v>7.544432198804643</v>
      </c>
      <c r="AY64" s="33">
        <f t="shared" si="6"/>
        <v>3.2930126964994026</v>
      </c>
      <c r="AZ64" s="36">
        <f t="shared" si="19"/>
        <v>6.746831868138213</v>
      </c>
      <c r="BA64" s="33">
        <v>1.6736401673640173</v>
      </c>
      <c r="BB64" s="36">
        <f t="shared" si="7"/>
        <v>6.302462350205753</v>
      </c>
      <c r="BC64" s="33">
        <v>1.633596302494223</v>
      </c>
      <c r="BD64" s="36">
        <f t="shared" si="8"/>
        <v>6.393601055404243</v>
      </c>
      <c r="BE64" s="33">
        <v>6.052091213660433</v>
      </c>
      <c r="BF64" s="36">
        <f t="shared" si="9"/>
        <v>7.544432198804643</v>
      </c>
      <c r="BG64" s="33">
        <v>3.2930126964994026</v>
      </c>
      <c r="BH64" s="36">
        <f t="shared" si="10"/>
        <v>6.746831868138214</v>
      </c>
    </row>
    <row r="65" spans="2:60" ht="12.75">
      <c r="B65" s="9" t="s">
        <v>97</v>
      </c>
      <c r="D65" s="9" t="s">
        <v>66</v>
      </c>
      <c r="E65" s="35"/>
      <c r="F65" s="37">
        <f t="shared" si="20"/>
        <v>0.6065131131997169</v>
      </c>
      <c r="H65" s="37">
        <f t="shared" si="20"/>
        <v>0.6292212370248019</v>
      </c>
      <c r="I65" s="35"/>
      <c r="J65" s="37">
        <f t="shared" si="11"/>
        <v>0.7609931970407076</v>
      </c>
      <c r="K65" s="34"/>
      <c r="L65" s="36">
        <f t="shared" si="3"/>
        <v>0.6655758490884088</v>
      </c>
      <c r="M65" s="35"/>
      <c r="N65" s="37">
        <f t="shared" si="12"/>
        <v>1.0969976308307923</v>
      </c>
      <c r="O65" s="35"/>
      <c r="P65" s="37">
        <f t="shared" si="13"/>
        <v>1.0036970339585911</v>
      </c>
      <c r="Q65" s="35"/>
      <c r="R65" s="37">
        <f t="shared" si="21"/>
        <v>1.206717783878836</v>
      </c>
      <c r="S65" s="34"/>
      <c r="T65" s="36">
        <f t="shared" si="0"/>
        <v>1.1024708162227397</v>
      </c>
      <c r="U65" s="33" t="s">
        <v>29</v>
      </c>
      <c r="V65" s="37">
        <f t="shared" si="22"/>
        <v>0.023996823174423577</v>
      </c>
      <c r="W65" s="33" t="s">
        <v>29</v>
      </c>
      <c r="X65" s="37">
        <f t="shared" si="22"/>
        <v>0.0254745440091013</v>
      </c>
      <c r="Y65" s="33" t="s">
        <v>29</v>
      </c>
      <c r="Z65" s="37">
        <f t="shared" si="14"/>
        <v>0.021742662772591643</v>
      </c>
      <c r="AB65" s="36">
        <f t="shared" si="4"/>
        <v>0.023738009985372174</v>
      </c>
      <c r="AC65" s="33" t="s">
        <v>29</v>
      </c>
      <c r="AD65" s="37">
        <f t="shared" si="15"/>
        <v>0.019250198810251886</v>
      </c>
      <c r="AE65" s="33" t="s">
        <v>29</v>
      </c>
      <c r="AF65" s="37">
        <f t="shared" si="16"/>
        <v>0.018851162566734962</v>
      </c>
      <c r="AG65" s="33" t="s">
        <v>29</v>
      </c>
      <c r="AH65" s="37">
        <f t="shared" si="23"/>
        <v>0.023373362480536015</v>
      </c>
      <c r="AJ65" s="36">
        <f t="shared" si="17"/>
        <v>0.02049157461917429</v>
      </c>
      <c r="AS65" s="33">
        <f t="shared" si="5"/>
        <v>2.475845410628019</v>
      </c>
      <c r="AT65" s="36">
        <f t="shared" si="18"/>
        <v>1.7467577660151847</v>
      </c>
      <c r="AU65" s="33">
        <f t="shared" si="5"/>
        <v>2.6427703523693804</v>
      </c>
      <c r="AV65" s="36">
        <f t="shared" si="1"/>
        <v>1.6772439775592294</v>
      </c>
      <c r="AW65" s="33">
        <f t="shared" si="5"/>
        <v>2.241425870915474</v>
      </c>
      <c r="AX65" s="36">
        <f t="shared" si="2"/>
        <v>2.0128270061726714</v>
      </c>
      <c r="AY65" s="33">
        <f t="shared" si="6"/>
        <v>2.4405542260239836</v>
      </c>
      <c r="AZ65" s="36">
        <f t="shared" si="19"/>
        <v>1.8122762499156952</v>
      </c>
      <c r="BA65" s="33">
        <v>2.475845410628019</v>
      </c>
      <c r="BB65" s="36">
        <f t="shared" si="7"/>
        <v>1.7467577660151847</v>
      </c>
      <c r="BC65" s="33">
        <v>2.6427703523693804</v>
      </c>
      <c r="BD65" s="36">
        <f t="shared" si="8"/>
        <v>1.6772439775592294</v>
      </c>
      <c r="BE65" s="33">
        <v>2.241425870915474</v>
      </c>
      <c r="BF65" s="36">
        <f t="shared" si="9"/>
        <v>2.0128270061726714</v>
      </c>
      <c r="BG65" s="33">
        <v>2.4405542260239836</v>
      </c>
      <c r="BH65" s="36">
        <f t="shared" si="10"/>
        <v>1.8122762499156948</v>
      </c>
    </row>
    <row r="66" spans="2:60" ht="12.75">
      <c r="B66" s="9" t="s">
        <v>98</v>
      </c>
      <c r="D66" s="9" t="s">
        <v>66</v>
      </c>
      <c r="E66" s="35"/>
      <c r="F66" s="37">
        <f t="shared" si="20"/>
        <v>1.155011928615113</v>
      </c>
      <c r="H66" s="37">
        <f t="shared" si="20"/>
        <v>1.281369563657795</v>
      </c>
      <c r="I66" s="35"/>
      <c r="J66" s="37">
        <f t="shared" si="11"/>
        <v>1.2338961123445757</v>
      </c>
      <c r="L66" s="36">
        <f t="shared" si="3"/>
        <v>1.2234258682058279</v>
      </c>
      <c r="M66" s="35"/>
      <c r="N66" s="37">
        <f t="shared" si="12"/>
        <v>2.5763622243309716</v>
      </c>
      <c r="O66" s="35"/>
      <c r="P66" s="37">
        <f t="shared" si="13"/>
        <v>2.598403488928332</v>
      </c>
      <c r="Q66" s="35"/>
      <c r="R66" s="37">
        <f t="shared" si="21"/>
        <v>2.5357380458535</v>
      </c>
      <c r="T66" s="36">
        <f t="shared" si="0"/>
        <v>2.570167919704268</v>
      </c>
      <c r="U66" s="33" t="s">
        <v>29</v>
      </c>
      <c r="V66" s="37">
        <f t="shared" si="22"/>
        <v>0.7119936546257546</v>
      </c>
      <c r="W66" s="33" t="s">
        <v>29</v>
      </c>
      <c r="X66" s="37">
        <f t="shared" si="22"/>
        <v>0.7897108642821402</v>
      </c>
      <c r="Y66" s="33" t="s">
        <v>29</v>
      </c>
      <c r="Z66" s="37">
        <f t="shared" si="14"/>
        <v>0.6522798831777492</v>
      </c>
      <c r="AB66" s="36">
        <f t="shared" si="4"/>
        <v>0.7179948006952147</v>
      </c>
      <c r="AC66" s="33" t="s">
        <v>29</v>
      </c>
      <c r="AD66" s="37">
        <f t="shared" si="15"/>
        <v>0.7119936546257546</v>
      </c>
      <c r="AE66" s="33" t="s">
        <v>29</v>
      </c>
      <c r="AF66" s="37">
        <f t="shared" si="16"/>
        <v>0.7132872322548365</v>
      </c>
      <c r="AG66" s="33" t="s">
        <v>29</v>
      </c>
      <c r="AH66" s="37">
        <f t="shared" si="23"/>
        <v>0.8697065109036657</v>
      </c>
      <c r="AJ66" s="36">
        <f t="shared" si="17"/>
        <v>0.764995799261419</v>
      </c>
      <c r="AS66" s="33">
        <f t="shared" si="5"/>
        <v>27.621483375959077</v>
      </c>
      <c r="AT66" s="36">
        <f t="shared" si="18"/>
        <v>5.155361462197594</v>
      </c>
      <c r="AU66" s="33">
        <f t="shared" si="5"/>
        <v>27.922385234264084</v>
      </c>
      <c r="AV66" s="36">
        <f t="shared" si="1"/>
        <v>5.382771149123103</v>
      </c>
      <c r="AW66" s="33">
        <f t="shared" si="5"/>
        <v>28.76219825372368</v>
      </c>
      <c r="AX66" s="36">
        <f t="shared" si="2"/>
        <v>5.291620552279491</v>
      </c>
      <c r="AY66" s="33">
        <f t="shared" si="6"/>
        <v>28.10512428014426</v>
      </c>
      <c r="AZ66" s="36">
        <f t="shared" si="19"/>
        <v>5.27658438786673</v>
      </c>
      <c r="BA66" s="33">
        <v>27.621483375959077</v>
      </c>
      <c r="BB66" s="36">
        <f t="shared" si="7"/>
        <v>5.155361462197593</v>
      </c>
      <c r="BC66" s="33">
        <v>27.922385234264084</v>
      </c>
      <c r="BD66" s="36">
        <f t="shared" si="8"/>
        <v>5.382771149123103</v>
      </c>
      <c r="BE66" s="33">
        <v>28.76219825372368</v>
      </c>
      <c r="BF66" s="36">
        <f t="shared" si="9"/>
        <v>5.291620552279491</v>
      </c>
      <c r="BG66" s="33">
        <v>28.10512428014426</v>
      </c>
      <c r="BH66" s="36">
        <f t="shared" si="10"/>
        <v>5.27658438786673</v>
      </c>
    </row>
    <row r="67" spans="2:60" ht="12.75">
      <c r="B67" s="9" t="s">
        <v>113</v>
      </c>
      <c r="D67" s="9" t="s">
        <v>66</v>
      </c>
      <c r="E67" s="35"/>
      <c r="F67" s="37">
        <f t="shared" si="20"/>
        <v>2.716123941720471</v>
      </c>
      <c r="H67" s="37">
        <f t="shared" si="20"/>
        <v>2.537264583306489</v>
      </c>
      <c r="I67" s="35"/>
      <c r="J67" s="37">
        <f t="shared" si="11"/>
        <v>3.0983294450943095</v>
      </c>
      <c r="L67" s="36">
        <f t="shared" si="3"/>
        <v>2.7839059900404233</v>
      </c>
      <c r="M67" s="35"/>
      <c r="N67" s="37">
        <f t="shared" si="12"/>
        <v>6.803494921979434</v>
      </c>
      <c r="O67" s="35"/>
      <c r="P67" s="37">
        <f t="shared" si="13"/>
        <v>4.432570657583627</v>
      </c>
      <c r="Q67" s="35"/>
      <c r="R67" s="37">
        <f t="shared" si="21"/>
        <v>4.701850824572942</v>
      </c>
      <c r="T67" s="36">
        <f t="shared" si="0"/>
        <v>5.312638801378667</v>
      </c>
      <c r="U67" s="33" t="s">
        <v>29</v>
      </c>
      <c r="V67" s="37">
        <f t="shared" si="22"/>
        <v>1.0548054142603773</v>
      </c>
      <c r="X67" s="37">
        <f t="shared" si="22"/>
        <v>1.7475537190243486</v>
      </c>
      <c r="Y67" s="33" t="s">
        <v>29</v>
      </c>
      <c r="Z67" s="37">
        <f t="shared" si="14"/>
        <v>0.9512414963008844</v>
      </c>
      <c r="AB67" s="36">
        <f t="shared" si="4"/>
        <v>1.25120020986187</v>
      </c>
      <c r="AC67" s="33" t="s">
        <v>29</v>
      </c>
      <c r="AD67" s="37">
        <f t="shared" si="15"/>
        <v>1.0548054142603773</v>
      </c>
      <c r="AE67" s="33" t="s">
        <v>29</v>
      </c>
      <c r="AF67" s="37">
        <f t="shared" si="16"/>
        <v>1.0444563043731534</v>
      </c>
      <c r="AG67" s="33" t="s">
        <v>29</v>
      </c>
      <c r="AH67" s="37">
        <f t="shared" si="23"/>
        <v>1.3045597663554984</v>
      </c>
      <c r="AJ67" s="36">
        <f t="shared" si="17"/>
        <v>1.1346071616630098</v>
      </c>
      <c r="AS67" s="33">
        <f t="shared" si="5"/>
        <v>18.140589569161</v>
      </c>
      <c r="AT67" s="36">
        <f t="shared" si="18"/>
        <v>11.629229692220658</v>
      </c>
      <c r="AU67" s="33">
        <f t="shared" si="5"/>
        <v>10.69937369519833</v>
      </c>
      <c r="AV67" s="36">
        <f t="shared" si="1"/>
        <v>9.761845264287619</v>
      </c>
      <c r="AW67" s="33">
        <f t="shared" si="5"/>
        <v>22.43243243243243</v>
      </c>
      <c r="AX67" s="36">
        <f t="shared" si="2"/>
        <v>10.055981532323635</v>
      </c>
      <c r="AY67" s="33">
        <f t="shared" si="6"/>
        <v>17.2030994298991</v>
      </c>
      <c r="AZ67" s="36">
        <f t="shared" si="19"/>
        <v>10.48235216294397</v>
      </c>
      <c r="BA67" s="33">
        <v>18.140589569161</v>
      </c>
      <c r="BB67" s="36">
        <f t="shared" si="7"/>
        <v>11.629229692220658</v>
      </c>
      <c r="BC67" s="33">
        <v>10.69937369519833</v>
      </c>
      <c r="BD67" s="36">
        <f t="shared" si="8"/>
        <v>9.761845264287617</v>
      </c>
      <c r="BE67" s="33">
        <v>22.43243243243243</v>
      </c>
      <c r="BF67" s="36">
        <f t="shared" si="9"/>
        <v>10.055981532323635</v>
      </c>
      <c r="BG67" s="33">
        <v>17.2030994298991</v>
      </c>
      <c r="BH67" s="36">
        <f t="shared" si="10"/>
        <v>10.482352162943968</v>
      </c>
    </row>
    <row r="68" spans="2:60" ht="12.75">
      <c r="B68" s="9" t="s">
        <v>93</v>
      </c>
      <c r="D68" s="9" t="s">
        <v>66</v>
      </c>
      <c r="E68" s="35" t="s">
        <v>29</v>
      </c>
      <c r="F68" s="37">
        <f t="shared" si="20"/>
        <v>15.558379860340565</v>
      </c>
      <c r="G68" s="35" t="s">
        <v>29</v>
      </c>
      <c r="H68" s="37">
        <f t="shared" si="20"/>
        <v>16.048962725733823</v>
      </c>
      <c r="I68" s="35" t="s">
        <v>29</v>
      </c>
      <c r="J68" s="37">
        <f t="shared" si="11"/>
        <v>19.84017977998987</v>
      </c>
      <c r="L68" s="36">
        <f>AVERAGE(J68,H68,F68)</f>
        <v>17.14917412202142</v>
      </c>
      <c r="M68" s="35" t="s">
        <v>29</v>
      </c>
      <c r="N68" s="37">
        <f t="shared" si="12"/>
        <v>29.007148892160377</v>
      </c>
      <c r="O68" s="35" t="s">
        <v>29</v>
      </c>
      <c r="P68" s="37">
        <f t="shared" si="13"/>
        <v>28.02199841001143</v>
      </c>
      <c r="Q68" s="35" t="s">
        <v>29</v>
      </c>
      <c r="R68" s="37">
        <f t="shared" si="21"/>
        <v>32.613994158887465</v>
      </c>
      <c r="T68" s="36">
        <f t="shared" si="0"/>
        <v>29.881047153686424</v>
      </c>
      <c r="U68" s="33" t="s">
        <v>29</v>
      </c>
      <c r="V68" s="37">
        <f t="shared" si="22"/>
        <v>12.393963617559432</v>
      </c>
      <c r="W68" s="33" t="s">
        <v>29</v>
      </c>
      <c r="X68" s="37">
        <f t="shared" si="22"/>
        <v>13.756253764914703</v>
      </c>
      <c r="Y68" s="33" t="s">
        <v>29</v>
      </c>
      <c r="Z68" s="37">
        <f t="shared" si="14"/>
        <v>1.1143114670953218</v>
      </c>
      <c r="AB68" s="36">
        <f t="shared" si="4"/>
        <v>9.088176283189819</v>
      </c>
      <c r="AC68" s="33" t="s">
        <v>29</v>
      </c>
      <c r="AD68" s="37">
        <f t="shared" si="15"/>
        <v>12.393963617559432</v>
      </c>
      <c r="AE68" s="33" t="s">
        <v>29</v>
      </c>
      <c r="AF68" s="37">
        <f t="shared" si="16"/>
        <v>12.227781124368622</v>
      </c>
      <c r="AG68" s="33" t="s">
        <v>29</v>
      </c>
      <c r="AH68" s="37">
        <f t="shared" si="23"/>
        <v>15.21986394081415</v>
      </c>
      <c r="AJ68" s="36">
        <f t="shared" si="17"/>
        <v>13.280536227580734</v>
      </c>
      <c r="AS68" s="33">
        <f t="shared" si="5"/>
        <v>100</v>
      </c>
      <c r="AT68" s="36">
        <f t="shared" si="18"/>
        <v>69.35345598761981</v>
      </c>
      <c r="AU68" s="33">
        <f t="shared" si="5"/>
        <v>100</v>
      </c>
      <c r="AV68" s="36">
        <f t="shared" si="1"/>
        <v>70.05499602502857</v>
      </c>
      <c r="AW68" s="33">
        <f t="shared" si="5"/>
        <v>100</v>
      </c>
      <c r="AX68" s="36">
        <f t="shared" si="2"/>
        <v>68.7883493467868</v>
      </c>
      <c r="AY68" s="33">
        <f t="shared" si="6"/>
        <v>100</v>
      </c>
      <c r="AZ68" s="36">
        <f t="shared" si="19"/>
        <v>69.3989337864784</v>
      </c>
      <c r="BA68" s="33">
        <v>100</v>
      </c>
      <c r="BB68" s="36">
        <f t="shared" si="7"/>
        <v>69.35345598761981</v>
      </c>
      <c r="BC68" s="33">
        <v>100</v>
      </c>
      <c r="BD68" s="36">
        <f t="shared" si="8"/>
        <v>70.05499602502857</v>
      </c>
      <c r="BE68" s="33">
        <v>100</v>
      </c>
      <c r="BF68" s="36">
        <f t="shared" si="9"/>
        <v>68.7883493467868</v>
      </c>
      <c r="BG68" s="33">
        <v>100</v>
      </c>
      <c r="BH68" s="36">
        <f t="shared" si="10"/>
        <v>69.3989337864784</v>
      </c>
    </row>
    <row r="69" spans="2:60" ht="12.75">
      <c r="B69" s="9" t="s">
        <v>99</v>
      </c>
      <c r="D69" s="9" t="s">
        <v>66</v>
      </c>
      <c r="E69" s="35" t="s">
        <v>29</v>
      </c>
      <c r="F69" s="37">
        <f t="shared" si="20"/>
        <v>4.746624364171697</v>
      </c>
      <c r="G69" s="35" t="s">
        <v>29</v>
      </c>
      <c r="H69" s="37">
        <f t="shared" si="20"/>
        <v>4.840163361729246</v>
      </c>
      <c r="I69" s="35" t="s">
        <v>29</v>
      </c>
      <c r="J69" s="37">
        <f t="shared" si="11"/>
        <v>5.979232262462701</v>
      </c>
      <c r="L69" s="36">
        <f>AVERAGE(J69,H69,F69)</f>
        <v>5.188673329454549</v>
      </c>
      <c r="M69" s="35" t="s">
        <v>29</v>
      </c>
      <c r="N69" s="37">
        <f t="shared" si="12"/>
        <v>11.07545684973396</v>
      </c>
      <c r="O69" s="35" t="s">
        <v>29</v>
      </c>
      <c r="P69" s="37">
        <f t="shared" si="13"/>
        <v>10.699308483822545</v>
      </c>
      <c r="Q69" s="35" t="s">
        <v>29</v>
      </c>
      <c r="R69" s="37">
        <f t="shared" si="21"/>
        <v>11.958464524925402</v>
      </c>
      <c r="T69" s="36">
        <f t="shared" si="0"/>
        <v>11.244409952827302</v>
      </c>
      <c r="U69" s="33" t="s">
        <v>29</v>
      </c>
      <c r="V69" s="37">
        <f t="shared" si="22"/>
        <v>9.756950081908489</v>
      </c>
      <c r="W69" s="33" t="s">
        <v>29</v>
      </c>
      <c r="X69" s="37">
        <f t="shared" si="22"/>
        <v>10.699308483822545</v>
      </c>
      <c r="Y69" s="33" t="s">
        <v>29</v>
      </c>
      <c r="Z69" s="37">
        <f t="shared" si="14"/>
        <v>8.697065109036659</v>
      </c>
      <c r="AB69" s="36">
        <f t="shared" si="4"/>
        <v>9.717774558255899</v>
      </c>
      <c r="AC69" s="33" t="s">
        <v>29</v>
      </c>
      <c r="AD69" s="37">
        <f t="shared" si="15"/>
        <v>0.4746624364171697</v>
      </c>
      <c r="AE69" s="33" t="s">
        <v>29</v>
      </c>
      <c r="AF69" s="37">
        <f t="shared" si="16"/>
        <v>0.48401633617292467</v>
      </c>
      <c r="AG69" s="33" t="s">
        <v>29</v>
      </c>
      <c r="AH69" s="37">
        <f t="shared" si="23"/>
        <v>0.5979232262462701</v>
      </c>
      <c r="AJ69" s="36">
        <f t="shared" si="17"/>
        <v>0.5188673329454548</v>
      </c>
      <c r="AS69" s="33">
        <f t="shared" si="5"/>
        <v>100</v>
      </c>
      <c r="AT69" s="36">
        <f t="shared" si="18"/>
        <v>26.053693732231316</v>
      </c>
      <c r="AU69" s="33">
        <f t="shared" si="5"/>
        <v>100</v>
      </c>
      <c r="AV69" s="36">
        <f t="shared" si="1"/>
        <v>26.72279666554726</v>
      </c>
      <c r="AW69" s="33">
        <f t="shared" si="5"/>
        <v>100</v>
      </c>
      <c r="AX69" s="36">
        <f t="shared" si="2"/>
        <v>27.232685122671032</v>
      </c>
      <c r="AY69" s="33">
        <f t="shared" si="6"/>
        <v>100</v>
      </c>
      <c r="AZ69" s="36">
        <f t="shared" si="19"/>
        <v>26.6697251734832</v>
      </c>
      <c r="BA69" s="33">
        <v>100</v>
      </c>
      <c r="BB69" s="36">
        <f t="shared" si="7"/>
        <v>26.053693732231316</v>
      </c>
      <c r="BC69" s="33">
        <v>100</v>
      </c>
      <c r="BD69" s="36">
        <f t="shared" si="8"/>
        <v>26.72279666554726</v>
      </c>
      <c r="BE69" s="33">
        <v>100</v>
      </c>
      <c r="BF69" s="36">
        <f t="shared" si="9"/>
        <v>27.232685122671032</v>
      </c>
      <c r="BG69" s="33">
        <v>100</v>
      </c>
      <c r="BH69" s="36">
        <f t="shared" si="10"/>
        <v>26.6697251734832</v>
      </c>
    </row>
    <row r="70" spans="2:60" ht="12.75">
      <c r="B70" s="9" t="s">
        <v>100</v>
      </c>
      <c r="D70" s="9" t="s">
        <v>66</v>
      </c>
      <c r="E70" s="35" t="s">
        <v>29</v>
      </c>
      <c r="F70" s="37">
        <f t="shared" si="20"/>
        <v>10.28435278903868</v>
      </c>
      <c r="G70" s="35" t="s">
        <v>29</v>
      </c>
      <c r="H70" s="37">
        <f t="shared" si="20"/>
        <v>10.44456304373153</v>
      </c>
      <c r="I70" s="35" t="s">
        <v>29</v>
      </c>
      <c r="J70" s="37">
        <f t="shared" si="11"/>
        <v>13.045597663554984</v>
      </c>
      <c r="L70" s="36">
        <f>AVERAGE(J70,H70,F70)</f>
        <v>11.25817116544173</v>
      </c>
      <c r="M70" s="35" t="s">
        <v>29</v>
      </c>
      <c r="N70" s="37">
        <f t="shared" si="12"/>
        <v>18.72279610312169</v>
      </c>
      <c r="O70" s="35" t="s">
        <v>29</v>
      </c>
      <c r="P70" s="37">
        <f t="shared" si="13"/>
        <v>18.08692624646192</v>
      </c>
      <c r="Q70" s="35" t="s">
        <v>29</v>
      </c>
      <c r="R70" s="37">
        <f t="shared" si="21"/>
        <v>20.655529633962058</v>
      </c>
      <c r="T70" s="36">
        <f t="shared" si="0"/>
        <v>19.155083994515223</v>
      </c>
      <c r="U70" s="33" t="s">
        <v>29</v>
      </c>
      <c r="V70" s="37">
        <f t="shared" si="22"/>
        <v>8.174741960517924</v>
      </c>
      <c r="W70" s="33" t="s">
        <v>29</v>
      </c>
      <c r="X70" s="37">
        <f t="shared" si="22"/>
        <v>9.170835843276468</v>
      </c>
      <c r="Y70" s="33" t="s">
        <v>29</v>
      </c>
      <c r="Z70" s="37">
        <f t="shared" si="14"/>
        <v>7.33814868574968</v>
      </c>
      <c r="AB70" s="36">
        <f t="shared" si="4"/>
        <v>8.227908829848024</v>
      </c>
      <c r="AC70" s="33" t="s">
        <v>29</v>
      </c>
      <c r="AD70" s="37">
        <f t="shared" si="15"/>
        <v>8.174741960517924</v>
      </c>
      <c r="AE70" s="33" t="s">
        <v>29</v>
      </c>
      <c r="AF70" s="37">
        <f t="shared" si="16"/>
        <v>8.151854082912417</v>
      </c>
      <c r="AG70" s="33" t="s">
        <v>29</v>
      </c>
      <c r="AH70" s="37">
        <f t="shared" si="23"/>
        <v>10.055981532323635</v>
      </c>
      <c r="AJ70" s="36">
        <f t="shared" si="17"/>
        <v>8.794192525251324</v>
      </c>
      <c r="AS70" s="33">
        <f t="shared" si="5"/>
        <v>100</v>
      </c>
      <c r="AT70" s="36">
        <f t="shared" si="18"/>
        <v>45.356632813196214</v>
      </c>
      <c r="AU70" s="33">
        <f t="shared" si="5"/>
        <v>100</v>
      </c>
      <c r="AV70" s="36">
        <f t="shared" si="1"/>
        <v>45.854179216382335</v>
      </c>
      <c r="AW70" s="33">
        <f t="shared" si="5"/>
        <v>99.99999999999999</v>
      </c>
      <c r="AX70" s="36">
        <f t="shared" si="2"/>
        <v>51.09525751559036</v>
      </c>
      <c r="AY70" s="33">
        <f t="shared" si="6"/>
        <v>100</v>
      </c>
      <c r="AZ70" s="36">
        <f t="shared" si="19"/>
        <v>47.4353565150563</v>
      </c>
      <c r="BA70" s="33">
        <v>100</v>
      </c>
      <c r="BB70" s="36">
        <f t="shared" si="7"/>
        <v>45.356632813196214</v>
      </c>
      <c r="BC70" s="33">
        <v>100</v>
      </c>
      <c r="BD70" s="36">
        <f t="shared" si="8"/>
        <v>45.854179216382335</v>
      </c>
      <c r="BE70" s="33">
        <v>100</v>
      </c>
      <c r="BF70" s="36">
        <f t="shared" si="9"/>
        <v>51.095257515590355</v>
      </c>
      <c r="BG70" s="33">
        <v>100</v>
      </c>
      <c r="BH70" s="36">
        <f t="shared" si="10"/>
        <v>47.435356515056306</v>
      </c>
    </row>
    <row r="71" spans="2:60" ht="12.75">
      <c r="B71" s="9" t="s">
        <v>101</v>
      </c>
      <c r="D71" s="9" t="s">
        <v>66</v>
      </c>
      <c r="E71" s="35" t="s">
        <v>29</v>
      </c>
      <c r="F71" s="37">
        <f t="shared" si="20"/>
        <v>4.219221657041509</v>
      </c>
      <c r="G71" s="35" t="s">
        <v>29</v>
      </c>
      <c r="H71" s="37">
        <f t="shared" si="20"/>
        <v>4.330672481547221</v>
      </c>
      <c r="I71" s="35" t="s">
        <v>29</v>
      </c>
      <c r="J71" s="37">
        <f t="shared" si="11"/>
        <v>5.163882408490514</v>
      </c>
      <c r="K71" s="34"/>
      <c r="L71" s="36">
        <f>AVERAGE(J71,H71,F71)</f>
        <v>4.571258849026415</v>
      </c>
      <c r="M71" s="35" t="s">
        <v>29</v>
      </c>
      <c r="N71" s="37">
        <f t="shared" si="12"/>
        <v>7.647339253387734</v>
      </c>
      <c r="O71" s="35" t="s">
        <v>29</v>
      </c>
      <c r="P71" s="37">
        <f t="shared" si="13"/>
        <v>7.387617762639376</v>
      </c>
      <c r="Q71" s="35" t="s">
        <v>29</v>
      </c>
      <c r="R71" s="37">
        <f t="shared" si="21"/>
        <v>8.425281824379262</v>
      </c>
      <c r="S71" s="34"/>
      <c r="T71" s="36">
        <f t="shared" si="0"/>
        <v>7.820079613468791</v>
      </c>
      <c r="U71" s="33" t="s">
        <v>29</v>
      </c>
      <c r="V71" s="37">
        <f t="shared" si="22"/>
        <v>3.428117596346226</v>
      </c>
      <c r="W71" s="33" t="s">
        <v>29</v>
      </c>
      <c r="X71" s="37">
        <f t="shared" si="22"/>
        <v>3.5664361612741815</v>
      </c>
      <c r="Y71" s="33" t="s">
        <v>29</v>
      </c>
      <c r="Z71" s="37">
        <f t="shared" si="14"/>
        <v>2.9896161312313505</v>
      </c>
      <c r="AB71" s="36">
        <f t="shared" si="4"/>
        <v>3.3280566296172527</v>
      </c>
      <c r="AC71" s="33" t="s">
        <v>29</v>
      </c>
      <c r="AD71" s="37">
        <f t="shared" si="15"/>
        <v>3.428117596346226</v>
      </c>
      <c r="AE71" s="33" t="s">
        <v>29</v>
      </c>
      <c r="AF71" s="37">
        <f t="shared" si="16"/>
        <v>3.3116907211831688</v>
      </c>
      <c r="AG71" s="33" t="s">
        <v>29</v>
      </c>
      <c r="AH71" s="37">
        <f t="shared" si="23"/>
        <v>4.076749269860933</v>
      </c>
      <c r="AJ71" s="36">
        <f t="shared" si="17"/>
        <v>3.605519195796776</v>
      </c>
      <c r="AS71" s="33">
        <f t="shared" si="5"/>
        <v>100</v>
      </c>
      <c r="AT71" s="36">
        <f t="shared" si="18"/>
        <v>18.722796103121695</v>
      </c>
      <c r="AU71" s="33">
        <f t="shared" si="5"/>
        <v>100.00000000000003</v>
      </c>
      <c r="AV71" s="36">
        <f t="shared" si="1"/>
        <v>18.596417126643946</v>
      </c>
      <c r="AW71" s="33">
        <f t="shared" si="5"/>
        <v>100</v>
      </c>
      <c r="AX71" s="36">
        <f t="shared" si="2"/>
        <v>20.65552963396206</v>
      </c>
      <c r="AY71" s="33">
        <f t="shared" si="6"/>
        <v>100.00000000000001</v>
      </c>
      <c r="AZ71" s="36">
        <f t="shared" si="19"/>
        <v>19.324914287909234</v>
      </c>
      <c r="BA71" s="33">
        <v>100</v>
      </c>
      <c r="BB71" s="36">
        <f t="shared" si="7"/>
        <v>18.722796103121695</v>
      </c>
      <c r="BC71" s="33">
        <v>100</v>
      </c>
      <c r="BD71" s="36">
        <f t="shared" si="8"/>
        <v>18.59641712664395</v>
      </c>
      <c r="BE71" s="33">
        <v>100</v>
      </c>
      <c r="BF71" s="36">
        <f t="shared" si="9"/>
        <v>20.65552963396206</v>
      </c>
      <c r="BG71" s="33">
        <v>100</v>
      </c>
      <c r="BH71" s="36">
        <f t="shared" si="10"/>
        <v>19.324914287909234</v>
      </c>
    </row>
    <row r="72" spans="2:60" ht="12.75">
      <c r="B72" s="9" t="s">
        <v>102</v>
      </c>
      <c r="D72" s="9" t="s">
        <v>66</v>
      </c>
      <c r="E72" s="35"/>
      <c r="F72" s="37">
        <f t="shared" si="20"/>
        <v>3.6127085438417916</v>
      </c>
      <c r="H72" s="37">
        <f t="shared" si="20"/>
        <v>3.999503409428904</v>
      </c>
      <c r="I72" s="35"/>
      <c r="J72" s="37">
        <f t="shared" si="11"/>
        <v>4.457245868381287</v>
      </c>
      <c r="L72" s="36">
        <f t="shared" si="3"/>
        <v>4.023152607217328</v>
      </c>
      <c r="M72" s="35"/>
      <c r="N72" s="37">
        <f t="shared" si="12"/>
        <v>6.750754651266415</v>
      </c>
      <c r="O72" s="35"/>
      <c r="P72" s="37">
        <f t="shared" si="13"/>
        <v>6.394110546284426</v>
      </c>
      <c r="Q72" s="35"/>
      <c r="R72" s="37">
        <f t="shared" si="21"/>
        <v>7.773001941201511</v>
      </c>
      <c r="T72" s="36">
        <f t="shared" si="0"/>
        <v>6.972622379584117</v>
      </c>
      <c r="U72" s="33" t="s">
        <v>29</v>
      </c>
      <c r="V72" s="37">
        <f t="shared" si="22"/>
        <v>0.39555203034764147</v>
      </c>
      <c r="W72" s="33" t="s">
        <v>29</v>
      </c>
      <c r="X72" s="37">
        <f t="shared" si="22"/>
        <v>0.43306724815472214</v>
      </c>
      <c r="Y72" s="33" t="s">
        <v>29</v>
      </c>
      <c r="Z72" s="37">
        <f t="shared" si="14"/>
        <v>0.3533182700546142</v>
      </c>
      <c r="AB72" s="36">
        <f t="shared" si="4"/>
        <v>0.39397918285232597</v>
      </c>
      <c r="AC72" s="33" t="s">
        <v>29</v>
      </c>
      <c r="AD72" s="37">
        <f t="shared" si="15"/>
        <v>0.39555203034764147</v>
      </c>
      <c r="AE72" s="33" t="s">
        <v>29</v>
      </c>
      <c r="AF72" s="37">
        <f t="shared" si="16"/>
        <v>0.38211816013651945</v>
      </c>
      <c r="AG72" s="33" t="s">
        <v>29</v>
      </c>
      <c r="AH72" s="37">
        <f t="shared" si="23"/>
        <v>0.4892099123833118</v>
      </c>
      <c r="AJ72" s="36">
        <f t="shared" si="17"/>
        <v>0.4222933676224909</v>
      </c>
      <c r="AS72" s="33">
        <f t="shared" si="5"/>
        <v>7.092198581560284</v>
      </c>
      <c r="AT72" s="36">
        <f t="shared" si="18"/>
        <v>11.154567255803489</v>
      </c>
      <c r="AU72" s="33">
        <f t="shared" si="5"/>
        <v>7.2727272727272725</v>
      </c>
      <c r="AV72" s="36">
        <f t="shared" si="1"/>
        <v>11.208799364004571</v>
      </c>
      <c r="AW72" s="33">
        <f t="shared" si="5"/>
        <v>6.444906444906444</v>
      </c>
      <c r="AX72" s="36">
        <f t="shared" si="2"/>
        <v>13.072775992020725</v>
      </c>
      <c r="AY72" s="33">
        <f t="shared" si="6"/>
        <v>6.910508511744789</v>
      </c>
      <c r="AZ72" s="36">
        <f t="shared" si="19"/>
        <v>11.812047537276262</v>
      </c>
      <c r="BA72" s="33">
        <v>7.092198581560284</v>
      </c>
      <c r="BB72" s="36">
        <f t="shared" si="7"/>
        <v>11.154567255803489</v>
      </c>
      <c r="BC72" s="33">
        <v>7.2727272727272725</v>
      </c>
      <c r="BD72" s="36">
        <f t="shared" si="8"/>
        <v>11.208799364004573</v>
      </c>
      <c r="BE72" s="33">
        <v>6.444906444906444</v>
      </c>
      <c r="BF72" s="36">
        <f t="shared" si="9"/>
        <v>13.072775992020727</v>
      </c>
      <c r="BG72" s="33">
        <v>6.910508511744789</v>
      </c>
      <c r="BH72" s="36">
        <f t="shared" si="10"/>
        <v>11.81204753727626</v>
      </c>
    </row>
    <row r="73" spans="2:60" ht="12.75">
      <c r="B73" s="9" t="s">
        <v>103</v>
      </c>
      <c r="D73" s="9" t="s">
        <v>66</v>
      </c>
      <c r="E73" s="35" t="s">
        <v>29</v>
      </c>
      <c r="F73" s="37">
        <f t="shared" si="20"/>
        <v>11.602859556864146</v>
      </c>
      <c r="G73" s="35" t="s">
        <v>29</v>
      </c>
      <c r="H73" s="37">
        <f t="shared" si="20"/>
        <v>11.97303568427761</v>
      </c>
      <c r="I73" s="35" t="s">
        <v>29</v>
      </c>
      <c r="J73" s="37">
        <f t="shared" si="11"/>
        <v>14.67629737149936</v>
      </c>
      <c r="L73" s="36">
        <f>AVERAGE(J73,H73,F73)</f>
        <v>12.750730870880373</v>
      </c>
      <c r="M73" s="35" t="s">
        <v>29</v>
      </c>
      <c r="N73" s="37">
        <f t="shared" si="12"/>
        <v>21.096108285207546</v>
      </c>
      <c r="O73" s="35" t="s">
        <v>29</v>
      </c>
      <c r="P73" s="37">
        <f t="shared" si="13"/>
        <v>20.37963520728104</v>
      </c>
      <c r="Q73" s="35" t="s">
        <v>29</v>
      </c>
      <c r="R73" s="37">
        <f t="shared" si="21"/>
        <v>23.373362480536013</v>
      </c>
      <c r="T73" s="36">
        <f t="shared" si="0"/>
        <v>21.61636865767487</v>
      </c>
      <c r="U73" s="33" t="s">
        <v>29</v>
      </c>
      <c r="V73" s="37">
        <f t="shared" si="22"/>
        <v>9.2295473747783</v>
      </c>
      <c r="W73" s="33" t="s">
        <v>29</v>
      </c>
      <c r="X73" s="37">
        <f t="shared" si="22"/>
        <v>10.18981760364052</v>
      </c>
      <c r="Y73" s="33" t="s">
        <v>29</v>
      </c>
      <c r="Z73" s="37">
        <f t="shared" si="14"/>
        <v>8.425281824379262</v>
      </c>
      <c r="AB73" s="36">
        <f t="shared" si="4"/>
        <v>9.281548934266027</v>
      </c>
      <c r="AC73" s="33" t="s">
        <v>29</v>
      </c>
      <c r="AD73" s="37">
        <f t="shared" si="15"/>
        <v>9.2295473747783</v>
      </c>
      <c r="AE73" s="33" t="s">
        <v>29</v>
      </c>
      <c r="AF73" s="37">
        <f t="shared" si="16"/>
        <v>9.170835843276468</v>
      </c>
      <c r="AG73" s="33" t="s">
        <v>29</v>
      </c>
      <c r="AH73" s="37">
        <f t="shared" si="23"/>
        <v>11.41489795561061</v>
      </c>
      <c r="AJ73" s="36">
        <f t="shared" si="17"/>
        <v>9.93842705788846</v>
      </c>
      <c r="AS73" s="33">
        <f t="shared" si="5"/>
        <v>100</v>
      </c>
      <c r="AT73" s="36">
        <f t="shared" si="18"/>
        <v>51.158062591628294</v>
      </c>
      <c r="AU73" s="33">
        <f t="shared" si="5"/>
        <v>100.00000000000003</v>
      </c>
      <c r="AV73" s="36">
        <f t="shared" si="1"/>
        <v>51.71332433847564</v>
      </c>
      <c r="AW73" s="33">
        <f t="shared" si="5"/>
        <v>100</v>
      </c>
      <c r="AX73" s="36">
        <f t="shared" si="2"/>
        <v>57.88983963202524</v>
      </c>
      <c r="AY73" s="33">
        <f t="shared" si="6"/>
        <v>100</v>
      </c>
      <c r="AZ73" s="36">
        <f t="shared" si="19"/>
        <v>53.58707552070973</v>
      </c>
      <c r="BA73" s="33">
        <v>100</v>
      </c>
      <c r="BB73" s="36">
        <f t="shared" si="7"/>
        <v>51.158062591628294</v>
      </c>
      <c r="BC73" s="33">
        <v>100</v>
      </c>
      <c r="BD73" s="36">
        <f t="shared" si="8"/>
        <v>51.713324338475644</v>
      </c>
      <c r="BE73" s="33">
        <v>100</v>
      </c>
      <c r="BF73" s="36">
        <f t="shared" si="9"/>
        <v>57.88983963202524</v>
      </c>
      <c r="BG73" s="33">
        <v>100</v>
      </c>
      <c r="BH73" s="36">
        <f t="shared" si="10"/>
        <v>53.58707552070973</v>
      </c>
    </row>
    <row r="74" spans="2:60" ht="12.75">
      <c r="B74" s="9" t="s">
        <v>115</v>
      </c>
      <c r="D74" s="9" t="s">
        <v>66</v>
      </c>
      <c r="F74" s="37">
        <f t="shared" si="20"/>
        <v>1.8089912854565464</v>
      </c>
      <c r="G74" s="33"/>
      <c r="H74" s="37">
        <f t="shared" si="20"/>
        <v>2.3411105944364095</v>
      </c>
      <c r="J74" s="37">
        <f t="shared" si="11"/>
        <v>3.506004372080403</v>
      </c>
      <c r="L74" s="36">
        <f t="shared" si="3"/>
        <v>2.552035417324453</v>
      </c>
      <c r="N74" s="37">
        <f t="shared" si="12"/>
        <v>2.8479746185030184</v>
      </c>
      <c r="P74" s="37">
        <f t="shared" si="13"/>
        <v>3.235267089155865</v>
      </c>
      <c r="R74" s="37">
        <f t="shared" si="21"/>
        <v>2.9624378027656113</v>
      </c>
      <c r="T74" s="36">
        <f t="shared" si="0"/>
        <v>3.015226503474832</v>
      </c>
      <c r="V74" s="37">
        <f t="shared" si="22"/>
        <v>2.716123941720471</v>
      </c>
      <c r="X74" s="37">
        <f t="shared" si="22"/>
        <v>4.254248849519917</v>
      </c>
      <c r="Z74" s="37">
        <f t="shared" si="14"/>
        <v>2.8537244889026523</v>
      </c>
      <c r="AB74" s="36">
        <f t="shared" si="4"/>
        <v>3.274699093381013</v>
      </c>
      <c r="AD74" s="37">
        <f t="shared" si="15"/>
        <v>3.190786378137641</v>
      </c>
      <c r="AF74" s="37">
        <f t="shared" si="16"/>
        <v>14.112897381042126</v>
      </c>
      <c r="AH74" s="37">
        <f t="shared" si="23"/>
        <v>9.512414963008842</v>
      </c>
      <c r="AJ74" s="36">
        <f t="shared" si="17"/>
        <v>8.93869957406287</v>
      </c>
      <c r="AS74" s="33">
        <f t="shared" si="5"/>
        <v>0</v>
      </c>
      <c r="AT74" s="36">
        <f t="shared" si="18"/>
        <v>10.563876223817676</v>
      </c>
      <c r="AU74" s="33">
        <f t="shared" si="5"/>
        <v>0</v>
      </c>
      <c r="AV74" s="36">
        <f t="shared" si="1"/>
        <v>23.943523914154316</v>
      </c>
      <c r="AW74" s="33">
        <f t="shared" si="5"/>
        <v>0</v>
      </c>
      <c r="AX74" s="36">
        <f t="shared" si="2"/>
        <v>18.834581626757508</v>
      </c>
      <c r="AY74" s="33">
        <f t="shared" si="6"/>
        <v>0</v>
      </c>
      <c r="AZ74" s="36">
        <f t="shared" si="19"/>
        <v>17.780660588243165</v>
      </c>
      <c r="BA74" s="33">
        <v>0</v>
      </c>
      <c r="BB74" s="36">
        <f t="shared" si="7"/>
        <v>10.563876223817676</v>
      </c>
      <c r="BC74" s="33">
        <v>0</v>
      </c>
      <c r="BD74" s="36">
        <f t="shared" si="8"/>
        <v>23.94352391415432</v>
      </c>
      <c r="BE74" s="33">
        <v>0</v>
      </c>
      <c r="BF74" s="36">
        <f t="shared" si="9"/>
        <v>18.83458162675751</v>
      </c>
      <c r="BG74" s="33">
        <v>0</v>
      </c>
      <c r="BH74" s="36">
        <f t="shared" si="10"/>
        <v>17.780660588243165</v>
      </c>
    </row>
    <row r="75" spans="2:60" ht="12.75">
      <c r="B75" s="9" t="s">
        <v>67</v>
      </c>
      <c r="D75" s="9" t="s">
        <v>66</v>
      </c>
      <c r="E75" s="35"/>
      <c r="F75" s="36">
        <f>F68+F66</f>
        <v>16.71339178895568</v>
      </c>
      <c r="H75" s="36">
        <f>H68+H66</f>
        <v>17.330332289391617</v>
      </c>
      <c r="I75" s="35"/>
      <c r="J75" s="36">
        <f>J68+J66</f>
        <v>21.074075892334445</v>
      </c>
      <c r="L75" s="36">
        <f t="shared" si="3"/>
        <v>18.372599990227247</v>
      </c>
      <c r="M75" s="35"/>
      <c r="N75" s="36">
        <f>N68+N66</f>
        <v>31.583511116491348</v>
      </c>
      <c r="O75" s="35"/>
      <c r="P75" s="36">
        <f>P68+P66</f>
        <v>30.62040189893976</v>
      </c>
      <c r="Q75" s="35"/>
      <c r="R75" s="36">
        <f>R68+R66</f>
        <v>35.149732204740964</v>
      </c>
      <c r="T75" s="36">
        <f t="shared" si="0"/>
        <v>32.45121507339069</v>
      </c>
      <c r="V75" s="41">
        <f>SUM(V68,V66)</f>
        <v>13.105957272185186</v>
      </c>
      <c r="X75" s="41">
        <f>SUM(X68,X66)</f>
        <v>14.545964629196844</v>
      </c>
      <c r="Z75" s="41">
        <f>SUM(Z68,Z66)</f>
        <v>1.766591350273071</v>
      </c>
      <c r="AB75" s="36">
        <f t="shared" si="4"/>
        <v>9.806171083885033</v>
      </c>
      <c r="AD75" s="41">
        <f>SUM(AD68,AD66)</f>
        <v>13.105957272185186</v>
      </c>
      <c r="AF75" s="41">
        <f>SUM(AF68,AF66)</f>
        <v>12.94106835662346</v>
      </c>
      <c r="AH75" s="41">
        <f>SUM(AH68,AH66)</f>
        <v>16.089570451717815</v>
      </c>
      <c r="AJ75" s="36">
        <f t="shared" si="17"/>
        <v>14.045532026842153</v>
      </c>
      <c r="AS75" s="33">
        <f>(AS66*AT66+AS68*AT68)/100/AT75*100</f>
        <v>94.99203680764467</v>
      </c>
      <c r="AT75" s="36">
        <f t="shared" si="18"/>
        <v>74.5088174498174</v>
      </c>
      <c r="AU75" s="33">
        <f>(AU66*AV66+AU68*AV68)/100/AV75*100</f>
        <v>94.85698848478708</v>
      </c>
      <c r="AV75" s="36">
        <f t="shared" si="1"/>
        <v>75.43776717415169</v>
      </c>
      <c r="AW75" s="33">
        <f>(AW66*AX66+AW68*AX68)/100/AX75*100</f>
        <v>94.91139890670284</v>
      </c>
      <c r="AX75" s="36">
        <f t="shared" si="2"/>
        <v>74.0799698990663</v>
      </c>
      <c r="AY75" s="33">
        <f t="shared" si="6"/>
        <v>94.91989626499385</v>
      </c>
      <c r="AZ75" s="36">
        <f>AVERAGE(AT75,AV75,AX75)</f>
        <v>74.67551817434513</v>
      </c>
      <c r="BA75" s="33">
        <v>94.99203680764467</v>
      </c>
      <c r="BB75" s="36">
        <f t="shared" si="7"/>
        <v>74.5088174498174</v>
      </c>
      <c r="BC75" s="33">
        <v>94.85698848478708</v>
      </c>
      <c r="BD75" s="36">
        <f t="shared" si="8"/>
        <v>75.43776717415169</v>
      </c>
      <c r="BE75" s="33">
        <v>94.91139890670284</v>
      </c>
      <c r="BF75" s="36">
        <f t="shared" si="9"/>
        <v>74.0799698990663</v>
      </c>
      <c r="BG75" s="33">
        <v>94.91989626499385</v>
      </c>
      <c r="BH75" s="36">
        <f t="shared" si="10"/>
        <v>74.67551817434513</v>
      </c>
    </row>
    <row r="76" spans="2:60" ht="12.75">
      <c r="B76" s="9" t="s">
        <v>68</v>
      </c>
      <c r="D76" s="9" t="s">
        <v>66</v>
      </c>
      <c r="E76" s="35"/>
      <c r="F76" s="36">
        <f>F63+F65+F67</f>
        <v>6.750754651266414</v>
      </c>
      <c r="H76" s="36">
        <f>H63+H65+H67</f>
        <v>6.732921981605473</v>
      </c>
      <c r="I76" s="35"/>
      <c r="J76" s="36">
        <f>J63+J65+J67</f>
        <v>8.207855196653346</v>
      </c>
      <c r="L76" s="36">
        <f t="shared" si="3"/>
        <v>7.230510609841744</v>
      </c>
      <c r="M76" s="35"/>
      <c r="N76" s="36">
        <f>N63+N65+N67</f>
        <v>14.22932503837249</v>
      </c>
      <c r="O76" s="35"/>
      <c r="P76" s="36">
        <f>P63+P65+P67</f>
        <v>11.55015825372653</v>
      </c>
      <c r="Q76" s="35"/>
      <c r="R76" s="36">
        <f>R63+R65+R67</f>
        <v>12.974934009544063</v>
      </c>
      <c r="T76" s="36">
        <f t="shared" si="0"/>
        <v>12.918139100547696</v>
      </c>
      <c r="V76" s="41">
        <f>SUM(V67,V65,V63)</f>
        <v>3.715815773085744</v>
      </c>
      <c r="X76" s="41">
        <f>SUM(X67,X65,X63)</f>
        <v>4.829973544125606</v>
      </c>
      <c r="Z76" s="41">
        <f>SUM(Z67,Z65,Z63)</f>
        <v>3.4733903779215147</v>
      </c>
      <c r="AB76" s="36">
        <f t="shared" si="4"/>
        <v>4.0063932317109545</v>
      </c>
      <c r="AD76" s="41">
        <f>SUM(AD67,AD65,AD63)</f>
        <v>3.711069148721572</v>
      </c>
      <c r="AF76" s="41">
        <f>SUM(AF67,AF65,AF63)</f>
        <v>3.865507307941032</v>
      </c>
      <c r="AH76" s="41">
        <f>SUM(AH67,AH65,AH63)</f>
        <v>4.589332544724781</v>
      </c>
      <c r="AJ76" s="36">
        <f t="shared" si="17"/>
        <v>4.0553030004624615</v>
      </c>
      <c r="AS76" s="33">
        <f>(AS63*AT63+AS65*AT65+AS67*AT67)/AT76</f>
        <v>60.49162674984219</v>
      </c>
      <c r="AT76" s="36">
        <f t="shared" si="18"/>
        <v>28.40696461144622</v>
      </c>
      <c r="AU76" s="33">
        <f>(AU63*AV63+AU65*AV65+AU67*AV67)/AV76</f>
        <v>61.63506571989727</v>
      </c>
      <c r="AV76" s="36">
        <f t="shared" si="1"/>
        <v>26.97856108739864</v>
      </c>
      <c r="AW76" s="33">
        <f>(AW63*AX63+AW65*AX65+AW67*AX67)/AX76</f>
        <v>66.60037544374848</v>
      </c>
      <c r="AX76" s="36">
        <f t="shared" si="2"/>
        <v>29.245512128843707</v>
      </c>
      <c r="AY76" s="33">
        <f t="shared" si="6"/>
        <v>62.96709943103027</v>
      </c>
      <c r="AZ76" s="36">
        <f>AVERAGE(AT76,AV76,AX76)</f>
        <v>28.210345942562856</v>
      </c>
      <c r="BA76" s="33">
        <v>60.49162674984219</v>
      </c>
      <c r="BB76" s="36">
        <f t="shared" si="7"/>
        <v>28.40696461144622</v>
      </c>
      <c r="BC76" s="33">
        <v>61.63506571989727</v>
      </c>
      <c r="BD76" s="36">
        <f t="shared" si="8"/>
        <v>26.97856108739864</v>
      </c>
      <c r="BE76" s="33">
        <v>66.60037544374848</v>
      </c>
      <c r="BF76" s="36">
        <f t="shared" si="9"/>
        <v>29.245512128843703</v>
      </c>
      <c r="BG76" s="33">
        <v>62.96709943103027</v>
      </c>
      <c r="BH76" s="36">
        <f t="shared" si="10"/>
        <v>28.21034594256286</v>
      </c>
    </row>
    <row r="77" spans="5:9" ht="12.75">
      <c r="E77" s="35"/>
      <c r="F77" s="39"/>
      <c r="H77" s="34"/>
      <c r="I77" s="34"/>
    </row>
    <row r="78" spans="5:11" ht="12.75">
      <c r="E78" s="35"/>
      <c r="F78" s="38"/>
      <c r="H78" s="38"/>
      <c r="I78" s="38"/>
      <c r="J78" s="34"/>
      <c r="K78" s="34"/>
    </row>
    <row r="79" spans="8:9" ht="12.75">
      <c r="H79" s="38"/>
      <c r="I79" s="38"/>
    </row>
    <row r="80" spans="8:9" ht="12.75">
      <c r="H80" s="34"/>
      <c r="I80" s="34"/>
    </row>
    <row r="82" spans="6:9" ht="12.75">
      <c r="F82" s="37"/>
      <c r="H82" s="40"/>
      <c r="I82" s="40"/>
    </row>
    <row r="83" spans="6:9" ht="12.75">
      <c r="F83" s="38"/>
      <c r="H83" s="41"/>
      <c r="I83" s="41"/>
    </row>
    <row r="84" ht="12.75">
      <c r="F84" s="39"/>
    </row>
    <row r="85" ht="12.75">
      <c r="F85" s="38"/>
    </row>
    <row r="86" spans="6:11" ht="12.75">
      <c r="F86" s="37"/>
      <c r="H86" s="37"/>
      <c r="I86" s="37"/>
      <c r="J86" s="34"/>
      <c r="K86" s="34"/>
    </row>
    <row r="87" spans="6:11" ht="12.75">
      <c r="F87" s="37"/>
      <c r="H87" s="37"/>
      <c r="I87" s="37"/>
      <c r="J87" s="34"/>
      <c r="K87" s="34"/>
    </row>
    <row r="88" spans="6:11" ht="12.75">
      <c r="F88" s="10"/>
      <c r="H88" s="37"/>
      <c r="I88" s="37"/>
      <c r="J88" s="34"/>
      <c r="K88" s="34"/>
    </row>
    <row r="89" spans="6:11" ht="12.75">
      <c r="F89" s="10"/>
      <c r="H89" s="37"/>
      <c r="I89" s="37"/>
      <c r="J89" s="34"/>
      <c r="K89" s="34"/>
    </row>
    <row r="90" spans="8:9" ht="12.75">
      <c r="H90" s="34"/>
      <c r="I90" s="34"/>
    </row>
    <row r="91" spans="6:15" ht="12.75">
      <c r="F91" s="10"/>
      <c r="G91" s="12"/>
      <c r="H91" s="10"/>
      <c r="I91" s="10"/>
      <c r="L91" s="36"/>
      <c r="M91" s="36"/>
      <c r="N91" s="36"/>
      <c r="O91" s="36"/>
    </row>
    <row r="92" spans="6:15" ht="12.75">
      <c r="F92" s="10"/>
      <c r="G92" s="12"/>
      <c r="N92" s="10"/>
      <c r="O92" s="10"/>
    </row>
    <row r="93" spans="6:15" ht="12.75">
      <c r="F93" s="10"/>
      <c r="G93" s="12"/>
      <c r="N93" s="10"/>
      <c r="O93" s="10"/>
    </row>
    <row r="94" spans="2:15" ht="12.75">
      <c r="B94" s="54"/>
      <c r="C94" s="54"/>
      <c r="F94" s="10"/>
      <c r="G94" s="12"/>
      <c r="N94" s="10"/>
      <c r="O94" s="10"/>
    </row>
    <row r="95" spans="6:9" ht="12.75">
      <c r="F95" s="10"/>
      <c r="G95" s="12"/>
      <c r="H95" s="10"/>
      <c r="I95" s="10"/>
    </row>
    <row r="96" spans="6:11" ht="12.75">
      <c r="F96" s="11"/>
      <c r="G96" s="13"/>
      <c r="H96" s="11"/>
      <c r="I96" s="11"/>
      <c r="J96" s="11"/>
      <c r="K96" s="11"/>
    </row>
    <row r="97" spans="6:9" ht="12.75">
      <c r="F97" s="10"/>
      <c r="H97" s="10"/>
      <c r="I97" s="10"/>
    </row>
    <row r="98" spans="6:9" ht="12.75">
      <c r="F98" s="10"/>
      <c r="H98" s="10"/>
      <c r="I98" s="10"/>
    </row>
    <row r="99" spans="5:9" ht="12.75">
      <c r="E99" s="35"/>
      <c r="F99" s="10"/>
      <c r="H99" s="10"/>
      <c r="I99" s="10"/>
    </row>
    <row r="100" spans="5:9" ht="12.75">
      <c r="E100" s="35"/>
      <c r="F100" s="10"/>
      <c r="H100" s="10"/>
      <c r="I100" s="10"/>
    </row>
    <row r="101" spans="5:9" ht="12.75">
      <c r="E101" s="35"/>
      <c r="F101" s="10"/>
      <c r="H101" s="10"/>
      <c r="I101" s="10"/>
    </row>
    <row r="102" spans="6:9" ht="12.75">
      <c r="F102" s="10"/>
      <c r="H102" s="10"/>
      <c r="I102" s="10"/>
    </row>
    <row r="103" spans="6:9" ht="12.75">
      <c r="F103" s="10"/>
      <c r="H103" s="10"/>
      <c r="I103" s="10"/>
    </row>
    <row r="104" spans="6:9" ht="12.75">
      <c r="F104" s="10"/>
      <c r="H104" s="10"/>
      <c r="I104" s="10"/>
    </row>
    <row r="105" spans="6:9" ht="12.75">
      <c r="F105" s="10"/>
      <c r="H105" s="10"/>
      <c r="I105" s="10"/>
    </row>
    <row r="106" spans="6:9" ht="12.75">
      <c r="F106" s="10"/>
      <c r="H106" s="10"/>
      <c r="I106" s="10"/>
    </row>
    <row r="107" spans="6:9" ht="12.75">
      <c r="F107" s="10"/>
      <c r="H107" s="10"/>
      <c r="I107" s="10"/>
    </row>
    <row r="108" spans="6:9" ht="12.75">
      <c r="F108" s="10"/>
      <c r="H108" s="10"/>
      <c r="I108" s="10"/>
    </row>
    <row r="109" spans="6:9" ht="12.75">
      <c r="F109" s="10"/>
      <c r="H109" s="10"/>
      <c r="I109" s="10"/>
    </row>
    <row r="110" spans="6:9" ht="12.75">
      <c r="F110" s="10"/>
      <c r="G110" s="10"/>
      <c r="H110" s="10"/>
      <c r="I110" s="10"/>
    </row>
    <row r="111" spans="6:9" ht="12.75">
      <c r="F111" s="10"/>
      <c r="G111" s="10"/>
      <c r="H111" s="10"/>
      <c r="I111" s="10"/>
    </row>
    <row r="113" spans="2:3" ht="12.75">
      <c r="B113" s="32"/>
      <c r="C113" s="32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H53"/>
  <sheetViews>
    <sheetView tabSelected="1" workbookViewId="0" topLeftCell="B25">
      <selection activeCell="K50" sqref="K50"/>
    </sheetView>
  </sheetViews>
  <sheetFormatPr defaultColWidth="9.140625" defaultRowHeight="12.75"/>
  <cols>
    <col min="1" max="1" width="7.00390625" style="65" hidden="1" customWidth="1"/>
    <col min="2" max="2" width="20.57421875" style="65" customWidth="1"/>
    <col min="3" max="3" width="2.7109375" style="65" customWidth="1"/>
    <col min="4" max="4" width="8.57421875" style="65" customWidth="1"/>
    <col min="5" max="5" width="2.00390625" style="65" customWidth="1"/>
    <col min="6" max="6" width="9.421875" style="65" customWidth="1"/>
    <col min="7" max="7" width="1.8515625" style="65" customWidth="1"/>
    <col min="8" max="8" width="10.421875" style="65" customWidth="1"/>
    <col min="9" max="9" width="2.28125" style="65" customWidth="1"/>
    <col min="10" max="10" width="9.421875" style="65" customWidth="1"/>
    <col min="11" max="11" width="1.8515625" style="65" customWidth="1"/>
    <col min="12" max="12" width="9.140625" style="65" customWidth="1"/>
    <col min="13" max="13" width="2.28125" style="65" customWidth="1"/>
    <col min="14" max="14" width="9.28125" style="65" customWidth="1"/>
    <col min="15" max="15" width="2.421875" style="65" customWidth="1"/>
    <col min="16" max="16" width="9.28125" style="65" customWidth="1"/>
    <col min="17" max="17" width="1.7109375" style="65" customWidth="1"/>
    <col min="18" max="18" width="12.140625" style="65" customWidth="1"/>
    <col min="19" max="19" width="1.7109375" style="65" customWidth="1"/>
    <col min="20" max="20" width="9.421875" style="65" customWidth="1"/>
    <col min="21" max="21" width="1.421875" style="65" customWidth="1"/>
    <col min="22" max="22" width="11.421875" style="65" customWidth="1"/>
    <col min="23" max="23" width="2.00390625" style="65" customWidth="1"/>
    <col min="24" max="24" width="7.8515625" style="65" customWidth="1"/>
    <col min="25" max="25" width="1.8515625" style="65" customWidth="1"/>
    <col min="26" max="26" width="9.00390625" style="65" customWidth="1"/>
    <col min="27" max="27" width="1.8515625" style="65" customWidth="1"/>
    <col min="28" max="28" width="9.57421875" style="65" customWidth="1"/>
    <col min="29" max="29" width="2.00390625" style="65" customWidth="1"/>
    <col min="30" max="30" width="9.00390625" style="65" customWidth="1"/>
    <col min="31" max="31" width="2.00390625" style="65" customWidth="1"/>
    <col min="32" max="32" width="9.28125" style="65" customWidth="1"/>
    <col min="33" max="33" width="2.00390625" style="65" customWidth="1"/>
    <col min="34" max="34" width="9.28125" style="65" customWidth="1"/>
    <col min="35" max="35" width="1.7109375" style="65" customWidth="1"/>
    <col min="36" max="36" width="9.57421875" style="65" customWidth="1"/>
    <col min="37" max="37" width="1.8515625" style="65" customWidth="1"/>
    <col min="38" max="38" width="9.8515625" style="65" customWidth="1"/>
    <col min="39" max="39" width="1.8515625" style="65" customWidth="1"/>
    <col min="40" max="40" width="9.28125" style="65" customWidth="1"/>
    <col min="41" max="41" width="2.28125" style="65" customWidth="1"/>
    <col min="42" max="42" width="9.421875" style="65" customWidth="1"/>
    <col min="43" max="43" width="1.8515625" style="65" customWidth="1"/>
    <col min="44" max="44" width="10.140625" style="65" customWidth="1"/>
    <col min="45" max="45" width="1.7109375" style="65" customWidth="1"/>
    <col min="46" max="46" width="6.00390625" style="65" bestFit="1" customWidth="1"/>
    <col min="47" max="47" width="2.00390625" style="65" customWidth="1"/>
    <col min="48" max="48" width="9.140625" style="65" customWidth="1"/>
    <col min="49" max="49" width="2.8515625" style="65" customWidth="1"/>
    <col min="50" max="50" width="9.140625" style="65" customWidth="1"/>
    <col min="51" max="51" width="2.7109375" style="65" customWidth="1"/>
    <col min="52" max="52" width="9.140625" style="65" customWidth="1"/>
    <col min="53" max="53" width="2.7109375" style="65" customWidth="1"/>
    <col min="54" max="54" width="9.140625" style="65" customWidth="1"/>
    <col min="55" max="55" width="2.421875" style="65" customWidth="1"/>
    <col min="56" max="56" width="9.140625" style="65" customWidth="1"/>
    <col min="57" max="57" width="2.421875" style="65" customWidth="1"/>
    <col min="58" max="58" width="9.140625" style="65" customWidth="1"/>
    <col min="59" max="59" width="2.421875" style="65" customWidth="1"/>
    <col min="60" max="16384" width="9.140625" style="65" customWidth="1"/>
  </cols>
  <sheetData>
    <row r="1" spans="2:3" ht="12.75">
      <c r="B1" s="18" t="s">
        <v>241</v>
      </c>
      <c r="C1" s="18"/>
    </row>
    <row r="4" spans="2:60" ht="12.75">
      <c r="B4" s="18" t="s">
        <v>135</v>
      </c>
      <c r="C4" s="18"/>
      <c r="D4" s="18"/>
      <c r="F4" s="70" t="s">
        <v>210</v>
      </c>
      <c r="G4" s="70"/>
      <c r="H4" s="70" t="s">
        <v>211</v>
      </c>
      <c r="I4" s="70"/>
      <c r="J4" s="70" t="s">
        <v>212</v>
      </c>
      <c r="K4" s="70"/>
      <c r="L4" s="70" t="s">
        <v>210</v>
      </c>
      <c r="M4" s="70"/>
      <c r="N4" s="70" t="s">
        <v>211</v>
      </c>
      <c r="O4" s="70"/>
      <c r="P4" s="70" t="s">
        <v>212</v>
      </c>
      <c r="Q4" s="70"/>
      <c r="R4" s="70" t="s">
        <v>210</v>
      </c>
      <c r="S4" s="70"/>
      <c r="T4" s="70" t="s">
        <v>211</v>
      </c>
      <c r="U4" s="70"/>
      <c r="V4" s="70" t="s">
        <v>212</v>
      </c>
      <c r="W4" s="70"/>
      <c r="X4" s="70" t="s">
        <v>210</v>
      </c>
      <c r="Y4" s="70"/>
      <c r="Z4" s="70" t="s">
        <v>211</v>
      </c>
      <c r="AA4" s="70"/>
      <c r="AB4" s="70" t="s">
        <v>212</v>
      </c>
      <c r="AC4" s="70"/>
      <c r="AD4" s="70" t="s">
        <v>210</v>
      </c>
      <c r="AE4" s="70"/>
      <c r="AF4" s="70" t="s">
        <v>211</v>
      </c>
      <c r="AG4" s="70"/>
      <c r="AH4" s="70" t="s">
        <v>212</v>
      </c>
      <c r="AI4" s="70"/>
      <c r="AJ4" s="70" t="s">
        <v>210</v>
      </c>
      <c r="AK4" s="70"/>
      <c r="AL4" s="70" t="s">
        <v>211</v>
      </c>
      <c r="AM4" s="70"/>
      <c r="AN4" s="70" t="s">
        <v>212</v>
      </c>
      <c r="AO4" s="70"/>
      <c r="AP4" s="70" t="s">
        <v>210</v>
      </c>
      <c r="AQ4" s="70"/>
      <c r="AR4" s="70" t="s">
        <v>211</v>
      </c>
      <c r="AS4" s="70"/>
      <c r="AT4" s="70" t="s">
        <v>212</v>
      </c>
      <c r="AU4" s="70"/>
      <c r="AV4" s="70" t="s">
        <v>210</v>
      </c>
      <c r="AW4" s="70"/>
      <c r="AX4" s="70" t="s">
        <v>211</v>
      </c>
      <c r="AY4" s="70"/>
      <c r="AZ4" s="70" t="s">
        <v>212</v>
      </c>
      <c r="BA4" s="70"/>
      <c r="BB4" s="70" t="s">
        <v>48</v>
      </c>
      <c r="BD4" s="65" t="s">
        <v>210</v>
      </c>
      <c r="BF4" s="65" t="s">
        <v>211</v>
      </c>
      <c r="BH4" s="65" t="s">
        <v>212</v>
      </c>
    </row>
    <row r="6" spans="2:54" ht="12.75">
      <c r="B6" s="65" t="s">
        <v>276</v>
      </c>
      <c r="F6" s="65" t="s">
        <v>278</v>
      </c>
      <c r="H6" s="65" t="s">
        <v>278</v>
      </c>
      <c r="J6" s="65" t="s">
        <v>278</v>
      </c>
      <c r="L6" s="65" t="s">
        <v>280</v>
      </c>
      <c r="N6" s="65" t="s">
        <v>280</v>
      </c>
      <c r="P6" s="65" t="s">
        <v>280</v>
      </c>
      <c r="X6" s="65" t="s">
        <v>283</v>
      </c>
      <c r="Z6" s="65" t="s">
        <v>283</v>
      </c>
      <c r="AB6" s="65" t="s">
        <v>283</v>
      </c>
      <c r="AD6" s="65" t="s">
        <v>284</v>
      </c>
      <c r="AF6" s="65" t="s">
        <v>284</v>
      </c>
      <c r="AH6" s="65" t="s">
        <v>284</v>
      </c>
      <c r="AV6" s="65" t="s">
        <v>285</v>
      </c>
      <c r="AX6" s="65" t="s">
        <v>285</v>
      </c>
      <c r="AZ6" s="65" t="s">
        <v>285</v>
      </c>
      <c r="BB6" s="65" t="s">
        <v>285</v>
      </c>
    </row>
    <row r="7" spans="2:54" ht="12.75">
      <c r="B7" s="65" t="s">
        <v>277</v>
      </c>
      <c r="F7" s="65" t="s">
        <v>279</v>
      </c>
      <c r="H7" s="65" t="s">
        <v>279</v>
      </c>
      <c r="J7" s="65" t="s">
        <v>279</v>
      </c>
      <c r="L7" s="65" t="s">
        <v>281</v>
      </c>
      <c r="N7" s="65" t="s">
        <v>281</v>
      </c>
      <c r="P7" s="65" t="s">
        <v>281</v>
      </c>
      <c r="X7" s="65" t="s">
        <v>281</v>
      </c>
      <c r="Z7" s="65" t="s">
        <v>281</v>
      </c>
      <c r="AB7" s="65" t="s">
        <v>281</v>
      </c>
      <c r="AD7" s="65" t="s">
        <v>279</v>
      </c>
      <c r="AF7" s="65" t="s">
        <v>279</v>
      </c>
      <c r="AH7" s="65" t="s">
        <v>279</v>
      </c>
      <c r="AV7" s="65" t="s">
        <v>25</v>
      </c>
      <c r="AX7" s="65" t="s">
        <v>25</v>
      </c>
      <c r="AZ7" s="65" t="s">
        <v>25</v>
      </c>
      <c r="BB7" s="65" t="s">
        <v>25</v>
      </c>
    </row>
    <row r="8" spans="2:60" ht="12.75">
      <c r="B8" s="5" t="s">
        <v>287</v>
      </c>
      <c r="C8" s="5"/>
      <c r="AV8" s="65" t="s">
        <v>25</v>
      </c>
      <c r="AX8" s="65" t="s">
        <v>25</v>
      </c>
      <c r="AZ8" s="65" t="s">
        <v>25</v>
      </c>
      <c r="BB8" s="65" t="s">
        <v>25</v>
      </c>
      <c r="BD8" s="65" t="s">
        <v>75</v>
      </c>
      <c r="BF8" s="65" t="s">
        <v>75</v>
      </c>
      <c r="BH8" s="65" t="s">
        <v>75</v>
      </c>
    </row>
    <row r="9" spans="2:54" ht="12.75">
      <c r="B9" s="65" t="s">
        <v>49</v>
      </c>
      <c r="F9" s="65" t="s">
        <v>221</v>
      </c>
      <c r="H9" s="65" t="s">
        <v>221</v>
      </c>
      <c r="J9" s="65" t="s">
        <v>221</v>
      </c>
      <c r="L9" s="65" t="s">
        <v>222</v>
      </c>
      <c r="N9" s="65" t="s">
        <v>222</v>
      </c>
      <c r="P9" s="65" t="s">
        <v>222</v>
      </c>
      <c r="R9" s="65" t="s">
        <v>223</v>
      </c>
      <c r="X9" s="65" t="s">
        <v>224</v>
      </c>
      <c r="Z9" s="65" t="s">
        <v>224</v>
      </c>
      <c r="AB9" s="65" t="s">
        <v>224</v>
      </c>
      <c r="AD9" s="65" t="s">
        <v>225</v>
      </c>
      <c r="AF9" s="65" t="s">
        <v>225</v>
      </c>
      <c r="AH9" s="65" t="s">
        <v>225</v>
      </c>
      <c r="AJ9" s="65" t="s">
        <v>226</v>
      </c>
      <c r="AP9" s="65" t="s">
        <v>227</v>
      </c>
      <c r="AV9" s="65" t="s">
        <v>25</v>
      </c>
      <c r="AX9" s="65" t="s">
        <v>25</v>
      </c>
      <c r="AZ9" s="65" t="s">
        <v>25</v>
      </c>
      <c r="BB9" s="65" t="s">
        <v>25</v>
      </c>
    </row>
    <row r="10" spans="1:46" ht="12.75">
      <c r="A10" s="65" t="s">
        <v>135</v>
      </c>
      <c r="B10" s="65" t="s">
        <v>228</v>
      </c>
      <c r="D10" s="65" t="s">
        <v>57</v>
      </c>
      <c r="F10" s="66">
        <v>2596</v>
      </c>
      <c r="G10" s="66"/>
      <c r="H10" s="66">
        <v>2727</v>
      </c>
      <c r="I10" s="66"/>
      <c r="J10" s="66">
        <v>2592</v>
      </c>
      <c r="K10" s="66"/>
      <c r="L10" s="66">
        <v>2000</v>
      </c>
      <c r="M10" s="66"/>
      <c r="N10" s="66">
        <v>2000</v>
      </c>
      <c r="O10" s="66"/>
      <c r="P10" s="66">
        <v>2000</v>
      </c>
      <c r="Q10" s="66"/>
      <c r="R10" s="66"/>
      <c r="S10" s="66"/>
      <c r="T10" s="66"/>
      <c r="U10" s="66"/>
      <c r="V10" s="66"/>
      <c r="W10" s="66"/>
      <c r="X10" s="66">
        <v>1347</v>
      </c>
      <c r="Y10" s="66"/>
      <c r="Z10" s="66">
        <v>1440</v>
      </c>
      <c r="AA10" s="66"/>
      <c r="AB10" s="66">
        <v>1336</v>
      </c>
      <c r="AC10" s="66"/>
      <c r="AD10" s="66">
        <v>998</v>
      </c>
      <c r="AE10" s="66"/>
      <c r="AF10" s="66">
        <v>994</v>
      </c>
      <c r="AG10" s="66"/>
      <c r="AH10" s="66">
        <v>1001</v>
      </c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</row>
    <row r="11" spans="1:46" ht="12.75">
      <c r="A11" s="65" t="s">
        <v>135</v>
      </c>
      <c r="B11" s="65" t="s">
        <v>229</v>
      </c>
      <c r="D11" s="65" t="s">
        <v>52</v>
      </c>
      <c r="F11" s="66">
        <v>9205</v>
      </c>
      <c r="G11" s="66"/>
      <c r="H11" s="66">
        <v>8890</v>
      </c>
      <c r="I11" s="66"/>
      <c r="J11" s="66">
        <v>9340</v>
      </c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</row>
    <row r="12" spans="1:46" ht="12.75">
      <c r="A12" s="65" t="s">
        <v>135</v>
      </c>
      <c r="B12" s="65" t="s">
        <v>53</v>
      </c>
      <c r="D12" s="65" t="s">
        <v>230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</row>
    <row r="13" spans="1:46" ht="12.75">
      <c r="A13" s="65" t="s">
        <v>135</v>
      </c>
      <c r="B13" s="65" t="s">
        <v>54</v>
      </c>
      <c r="D13" s="65" t="s">
        <v>231</v>
      </c>
      <c r="F13" s="67">
        <v>493066.25577812</v>
      </c>
      <c r="G13" s="67"/>
      <c r="H13" s="67">
        <v>498716.5383204987</v>
      </c>
      <c r="I13" s="67"/>
      <c r="J13" s="67">
        <v>474537.037037037</v>
      </c>
      <c r="K13" s="66"/>
      <c r="L13" s="66">
        <v>62000</v>
      </c>
      <c r="M13" s="66"/>
      <c r="N13" s="66">
        <v>62000</v>
      </c>
      <c r="O13" s="66"/>
      <c r="P13" s="66">
        <v>62000</v>
      </c>
      <c r="Q13" s="66"/>
      <c r="R13" s="66"/>
      <c r="S13" s="66"/>
      <c r="T13" s="66"/>
      <c r="U13" s="66"/>
      <c r="V13" s="66"/>
      <c r="W13" s="66"/>
      <c r="X13" s="66">
        <v>166295.47141796586</v>
      </c>
      <c r="Y13" s="66"/>
      <c r="Z13" s="66">
        <v>170833.33333333334</v>
      </c>
      <c r="AA13" s="66"/>
      <c r="AB13" s="66">
        <v>142215.56886227545</v>
      </c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</row>
    <row r="14" spans="6:46" ht="12.75"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</row>
    <row r="15" spans="2:54" ht="12.75">
      <c r="B15" s="65" t="s">
        <v>232</v>
      </c>
      <c r="F15" s="66">
        <f>'emiss 2'!$G$10</f>
        <v>28887.3974</v>
      </c>
      <c r="G15" s="66"/>
      <c r="H15" s="68">
        <f>'emiss 2'!$I$10</f>
        <v>28357.6774</v>
      </c>
      <c r="I15" s="68"/>
      <c r="J15" s="68">
        <f>'emiss 2'!$K$10</f>
        <v>29063.9707</v>
      </c>
      <c r="K15" s="68"/>
      <c r="L15" s="68">
        <f>'emiss 2'!$G$10</f>
        <v>28887.3974</v>
      </c>
      <c r="M15" s="68"/>
      <c r="N15" s="68">
        <f>'emiss 2'!$I$10</f>
        <v>28357.6774</v>
      </c>
      <c r="O15" s="68"/>
      <c r="P15" s="68">
        <f>'emiss 2'!$K$10</f>
        <v>29063.9707</v>
      </c>
      <c r="Q15" s="66"/>
      <c r="R15" s="66"/>
      <c r="S15" s="66"/>
      <c r="T15" s="66"/>
      <c r="U15" s="66"/>
      <c r="V15" s="66"/>
      <c r="W15" s="66"/>
      <c r="X15" s="66">
        <f>'emiss 2'!$G$10</f>
        <v>28887.3974</v>
      </c>
      <c r="Y15" s="66"/>
      <c r="Z15" s="66">
        <f>'emiss 2'!$I$10</f>
        <v>28357.6774</v>
      </c>
      <c r="AA15" s="66"/>
      <c r="AB15" s="66">
        <f>'emiss 2'!$K$10</f>
        <v>29063.9707</v>
      </c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V15" s="65">
        <f>F15</f>
        <v>28887.3974</v>
      </c>
      <c r="AX15" s="65">
        <f>H15</f>
        <v>28357.6774</v>
      </c>
      <c r="AZ15" s="65">
        <f>J15</f>
        <v>29063.9707</v>
      </c>
      <c r="BB15" s="65">
        <f>AVERAGE(AV15,AX15,AZ15)</f>
        <v>28769.681833333336</v>
      </c>
    </row>
    <row r="16" spans="2:54" ht="12.75">
      <c r="B16" s="65" t="s">
        <v>73</v>
      </c>
      <c r="F16" s="66">
        <f>'emiss 2'!$G$11</f>
        <v>14.4</v>
      </c>
      <c r="G16" s="66"/>
      <c r="H16" s="66">
        <f>'emiss 2'!$I$11</f>
        <v>13.6</v>
      </c>
      <c r="I16" s="66"/>
      <c r="J16" s="66">
        <f>'emiss 2'!$K$11</f>
        <v>14.1</v>
      </c>
      <c r="K16" s="66"/>
      <c r="L16" s="66">
        <f>'emiss 2'!$G$11</f>
        <v>14.4</v>
      </c>
      <c r="M16" s="66"/>
      <c r="N16" s="66">
        <f>'emiss 2'!$I$11</f>
        <v>13.6</v>
      </c>
      <c r="O16" s="66"/>
      <c r="P16" s="66">
        <f>'emiss 2'!$K$11</f>
        <v>14.1</v>
      </c>
      <c r="Q16" s="66"/>
      <c r="R16" s="66"/>
      <c r="S16" s="66"/>
      <c r="T16" s="66"/>
      <c r="U16" s="66"/>
      <c r="V16" s="66"/>
      <c r="W16" s="66"/>
      <c r="X16" s="66">
        <f>'emiss 2'!$G$11</f>
        <v>14.4</v>
      </c>
      <c r="Y16" s="66"/>
      <c r="Z16" s="66">
        <f>'emiss 2'!$I$11</f>
        <v>13.6</v>
      </c>
      <c r="AA16" s="66"/>
      <c r="AB16" s="66">
        <f>'emiss 2'!$K$11</f>
        <v>14.1</v>
      </c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V16" s="65">
        <f>F16</f>
        <v>14.4</v>
      </c>
      <c r="AX16" s="65">
        <f>H16</f>
        <v>13.6</v>
      </c>
      <c r="AZ16" s="65">
        <f>J16</f>
        <v>14.1</v>
      </c>
      <c r="BB16" s="68">
        <f>AVERAGE(AV16,AX16,AZ16)</f>
        <v>14.033333333333333</v>
      </c>
    </row>
    <row r="17" spans="6:46" ht="12.75"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</row>
    <row r="18" spans="2:54" ht="12.75">
      <c r="B18" s="9" t="s">
        <v>119</v>
      </c>
      <c r="C18" s="9"/>
      <c r="D18" s="9" t="s">
        <v>65</v>
      </c>
      <c r="F18" s="68">
        <f>F10*F11/1000000</f>
        <v>23.89618</v>
      </c>
      <c r="G18" s="68"/>
      <c r="H18" s="68">
        <f>H10*H11/1000000</f>
        <v>24.24303</v>
      </c>
      <c r="I18" s="68"/>
      <c r="J18" s="68">
        <f>J10*J11/1000000</f>
        <v>24.20928</v>
      </c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V18" s="68">
        <f>F18+L18+R18+X18+AD18+AJ18+AP18</f>
        <v>23.89618</v>
      </c>
      <c r="AW18" s="68"/>
      <c r="AX18" s="68">
        <f>H18+N18+T18+Z18+AF18+AL18+AR18</f>
        <v>24.24303</v>
      </c>
      <c r="AY18" s="68"/>
      <c r="AZ18" s="68">
        <f>J18+P18+V18+AB18+AH18+AN18+AT18</f>
        <v>24.20928</v>
      </c>
      <c r="BA18" s="68"/>
      <c r="BB18" s="68">
        <f>AVERAGE(AV18,AX18,AZ18)</f>
        <v>24.116163333333333</v>
      </c>
    </row>
    <row r="19" spans="2:54" ht="12.75">
      <c r="B19" s="9" t="s">
        <v>289</v>
      </c>
      <c r="C19" s="9"/>
      <c r="D19" s="9" t="s">
        <v>65</v>
      </c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V19" s="2">
        <f>AV15/9000*(21-AV16)/21*60</f>
        <v>60.5259755047619</v>
      </c>
      <c r="AX19" s="2">
        <f>AX15/9000*(21-AX16)/21*60</f>
        <v>66.61803579682541</v>
      </c>
      <c r="AZ19" s="2">
        <f>AZ15/9000*(21-AZ16)/21*60</f>
        <v>63.66393581904763</v>
      </c>
      <c r="BB19" s="2">
        <f>BB15/9000*(21-BB16)/21*60</f>
        <v>63.62818521869489</v>
      </c>
    </row>
    <row r="20" spans="6:46" ht="12.75"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</row>
    <row r="21" spans="2:46" ht="12.75">
      <c r="B21" s="65" t="s">
        <v>233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</row>
    <row r="22" spans="2:60" ht="12.75">
      <c r="B22" s="65" t="s">
        <v>54</v>
      </c>
      <c r="D22" s="65" t="s">
        <v>66</v>
      </c>
      <c r="F22" s="66">
        <f>F10*F13/0.0283/60/F15*14/(21-F16)*454</f>
        <v>25130655.73132745</v>
      </c>
      <c r="G22" s="66"/>
      <c r="H22" s="66">
        <f>H10*H13/0.0283/60/H15*14/(21-H16)*454</f>
        <v>24259549.60557022</v>
      </c>
      <c r="I22" s="66"/>
      <c r="J22" s="66">
        <f>J10*J13/0.0283/60/J15*14/(21-J16)*454</f>
        <v>22958699.10715592</v>
      </c>
      <c r="K22" s="66"/>
      <c r="L22" s="66">
        <f>L10*L13/0.0283/60/L15*14/(21-L16)*454</f>
        <v>2434532.2739723483</v>
      </c>
      <c r="M22" s="66"/>
      <c r="N22" s="66">
        <f>N10*N13/0.0283/60/N15*14/(21-N16)*454</f>
        <v>2211900.1110961083</v>
      </c>
      <c r="O22" s="66"/>
      <c r="P22" s="66">
        <f>P10*P13/0.0283/60/P15*14/(21-P16)*454</f>
        <v>2314535.5197458</v>
      </c>
      <c r="Q22" s="66"/>
      <c r="R22" s="66"/>
      <c r="S22" s="66"/>
      <c r="T22" s="66"/>
      <c r="U22" s="66"/>
      <c r="V22" s="66"/>
      <c r="W22" s="66"/>
      <c r="X22" s="66">
        <f>X10*X13/0.0283/60/X15*14/(21-X16)*454</f>
        <v>4397864.752982306</v>
      </c>
      <c r="Y22" s="66"/>
      <c r="Z22" s="66">
        <f>Z10*Z13/0.0283/60/Z15*14/(21-Z16)*454</f>
        <v>4388124.4139487315</v>
      </c>
      <c r="AA22" s="66"/>
      <c r="AB22" s="66">
        <f>AB10*AB13/0.0283/60/AB15*14/(21-AB16)*454</f>
        <v>3546465.715739532</v>
      </c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V22" s="65">
        <f>F22+L22+R22+X22+AD22+AJ22+AP22</f>
        <v>31963052.758282106</v>
      </c>
      <c r="AX22" s="65">
        <f>H22+N22+T22+Z22+AF22+AL22+AR22</f>
        <v>30859574.130615056</v>
      </c>
      <c r="AZ22" s="65">
        <f>J22+P22+V22+AB22+AH22+AN22+AT22</f>
        <v>28819700.342641253</v>
      </c>
      <c r="BB22" s="65">
        <f>AVERAGE(AV22,AX22,AZ22)</f>
        <v>30547442.410512805</v>
      </c>
      <c r="BD22" s="65">
        <f>F22+L22+X22+AD22</f>
        <v>31963052.758282106</v>
      </c>
      <c r="BF22" s="65">
        <f>H22+N22+Z22+AF22</f>
        <v>30859574.130615056</v>
      </c>
      <c r="BH22" s="65">
        <f>J22+P22+AB22+AH22</f>
        <v>28819700.342641253</v>
      </c>
    </row>
    <row r="23" spans="6:46" ht="12.75"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  <c r="AE23" s="66"/>
      <c r="AF23" s="66"/>
      <c r="AG23" s="66"/>
      <c r="AH23" s="66"/>
      <c r="AI23" s="66"/>
      <c r="AJ23" s="66"/>
      <c r="AK23" s="66"/>
      <c r="AL23" s="66"/>
      <c r="AM23" s="66"/>
      <c r="AN23" s="66"/>
      <c r="AO23" s="66"/>
      <c r="AP23" s="66"/>
      <c r="AQ23" s="66"/>
      <c r="AR23" s="66"/>
      <c r="AS23" s="66"/>
      <c r="AT23" s="66"/>
    </row>
    <row r="24" spans="6:46" ht="12.75">
      <c r="F24" s="68"/>
      <c r="G24" s="66"/>
      <c r="H24" s="68"/>
      <c r="I24" s="66"/>
      <c r="J24" s="68"/>
      <c r="K24" s="66"/>
      <c r="L24" s="68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</row>
    <row r="25" spans="6:46" ht="12.75"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</row>
    <row r="26" spans="2:60" ht="12.75">
      <c r="B26" s="18" t="s">
        <v>169</v>
      </c>
      <c r="C26" s="18"/>
      <c r="D26" s="18"/>
      <c r="F26" s="70" t="s">
        <v>210</v>
      </c>
      <c r="G26" s="70"/>
      <c r="H26" s="70" t="s">
        <v>211</v>
      </c>
      <c r="I26" s="70"/>
      <c r="J26" s="70" t="s">
        <v>212</v>
      </c>
      <c r="K26" s="70"/>
      <c r="L26" s="70" t="s">
        <v>210</v>
      </c>
      <c r="M26" s="70"/>
      <c r="N26" s="70" t="s">
        <v>211</v>
      </c>
      <c r="O26" s="70"/>
      <c r="P26" s="70" t="s">
        <v>212</v>
      </c>
      <c r="Q26" s="70"/>
      <c r="R26" s="70" t="s">
        <v>210</v>
      </c>
      <c r="S26" s="70"/>
      <c r="T26" s="70" t="s">
        <v>211</v>
      </c>
      <c r="U26" s="70"/>
      <c r="V26" s="70" t="s">
        <v>212</v>
      </c>
      <c r="W26" s="70"/>
      <c r="X26" s="70" t="s">
        <v>210</v>
      </c>
      <c r="Y26" s="70"/>
      <c r="Z26" s="70" t="s">
        <v>211</v>
      </c>
      <c r="AA26" s="70"/>
      <c r="AB26" s="70" t="s">
        <v>212</v>
      </c>
      <c r="AC26" s="70"/>
      <c r="AD26" s="70" t="s">
        <v>210</v>
      </c>
      <c r="AE26" s="70"/>
      <c r="AF26" s="70" t="s">
        <v>211</v>
      </c>
      <c r="AG26" s="70"/>
      <c r="AH26" s="70" t="s">
        <v>212</v>
      </c>
      <c r="AI26" s="70"/>
      <c r="AJ26" s="70" t="s">
        <v>210</v>
      </c>
      <c r="AK26" s="70"/>
      <c r="AL26" s="70" t="s">
        <v>211</v>
      </c>
      <c r="AM26" s="70"/>
      <c r="AN26" s="70" t="s">
        <v>212</v>
      </c>
      <c r="AO26" s="70"/>
      <c r="AP26" s="70" t="s">
        <v>210</v>
      </c>
      <c r="AQ26" s="70"/>
      <c r="AR26" s="70" t="s">
        <v>211</v>
      </c>
      <c r="AS26" s="70"/>
      <c r="AT26" s="70" t="s">
        <v>212</v>
      </c>
      <c r="AU26" s="70"/>
      <c r="AV26" s="70" t="s">
        <v>210</v>
      </c>
      <c r="AW26" s="70"/>
      <c r="AX26" s="70" t="s">
        <v>211</v>
      </c>
      <c r="AY26" s="70"/>
      <c r="AZ26" s="70" t="s">
        <v>212</v>
      </c>
      <c r="BA26" s="70"/>
      <c r="BB26" s="70" t="s">
        <v>48</v>
      </c>
      <c r="BD26" s="65" t="s">
        <v>210</v>
      </c>
      <c r="BF26" s="65" t="s">
        <v>211</v>
      </c>
      <c r="BH26" s="65" t="s">
        <v>212</v>
      </c>
    </row>
    <row r="27" spans="2:54" ht="12.75">
      <c r="B27" s="18"/>
      <c r="C27" s="18"/>
      <c r="D27" s="18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</row>
    <row r="28" spans="2:54" ht="12.75">
      <c r="B28" s="19" t="s">
        <v>276</v>
      </c>
      <c r="C28" s="19"/>
      <c r="D28" s="18"/>
      <c r="F28" s="70" t="s">
        <v>278</v>
      </c>
      <c r="G28" s="70"/>
      <c r="H28" s="70" t="s">
        <v>278</v>
      </c>
      <c r="I28" s="70"/>
      <c r="J28" s="70" t="s">
        <v>278</v>
      </c>
      <c r="K28" s="70"/>
      <c r="L28" s="70" t="s">
        <v>280</v>
      </c>
      <c r="M28" s="70"/>
      <c r="N28" s="70" t="s">
        <v>280</v>
      </c>
      <c r="O28" s="70"/>
      <c r="P28" s="70" t="s">
        <v>280</v>
      </c>
      <c r="Q28" s="70"/>
      <c r="R28" s="70" t="s">
        <v>283</v>
      </c>
      <c r="S28" s="70"/>
      <c r="T28" s="70" t="s">
        <v>283</v>
      </c>
      <c r="U28" s="70"/>
      <c r="V28" s="70" t="s">
        <v>283</v>
      </c>
      <c r="W28" s="70"/>
      <c r="X28" s="70"/>
      <c r="Y28" s="70"/>
      <c r="Z28" s="70"/>
      <c r="AA28" s="70"/>
      <c r="AB28" s="70"/>
      <c r="AC28" s="70"/>
      <c r="AD28" s="70" t="s">
        <v>284</v>
      </c>
      <c r="AE28" s="70"/>
      <c r="AF28" s="70" t="s">
        <v>284</v>
      </c>
      <c r="AG28" s="70"/>
      <c r="AH28" s="70" t="s">
        <v>284</v>
      </c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 t="s">
        <v>285</v>
      </c>
      <c r="AW28" s="70"/>
      <c r="AX28" s="70" t="s">
        <v>285</v>
      </c>
      <c r="AY28" s="70"/>
      <c r="AZ28" s="70" t="s">
        <v>285</v>
      </c>
      <c r="BA28" s="70"/>
      <c r="BB28" s="70" t="s">
        <v>285</v>
      </c>
    </row>
    <row r="29" spans="2:54" ht="12.75">
      <c r="B29" s="65" t="s">
        <v>277</v>
      </c>
      <c r="F29" s="66" t="s">
        <v>279</v>
      </c>
      <c r="G29" s="66"/>
      <c r="H29" s="66" t="s">
        <v>279</v>
      </c>
      <c r="I29" s="66"/>
      <c r="J29" s="66" t="s">
        <v>279</v>
      </c>
      <c r="K29" s="66"/>
      <c r="L29" s="66" t="s">
        <v>281</v>
      </c>
      <c r="M29" s="66"/>
      <c r="N29" s="66" t="s">
        <v>281</v>
      </c>
      <c r="O29" s="66"/>
      <c r="P29" s="66" t="s">
        <v>281</v>
      </c>
      <c r="Q29" s="66"/>
      <c r="R29" s="66" t="s">
        <v>282</v>
      </c>
      <c r="S29" s="66"/>
      <c r="T29" s="66" t="s">
        <v>282</v>
      </c>
      <c r="U29" s="66"/>
      <c r="V29" s="66" t="s">
        <v>282</v>
      </c>
      <c r="W29" s="66"/>
      <c r="X29" s="66"/>
      <c r="Y29" s="66"/>
      <c r="Z29" s="66"/>
      <c r="AA29" s="66"/>
      <c r="AB29" s="66"/>
      <c r="AC29" s="66"/>
      <c r="AD29" s="66" t="s">
        <v>279</v>
      </c>
      <c r="AE29" s="66"/>
      <c r="AF29" s="66" t="s">
        <v>279</v>
      </c>
      <c r="AG29" s="66"/>
      <c r="AH29" s="66" t="s">
        <v>279</v>
      </c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V29" s="65" t="s">
        <v>25</v>
      </c>
      <c r="AX29" s="65" t="s">
        <v>25</v>
      </c>
      <c r="AZ29" s="65" t="s">
        <v>25</v>
      </c>
      <c r="BB29" s="65" t="s">
        <v>25</v>
      </c>
    </row>
    <row r="30" spans="2:60" ht="12.75">
      <c r="B30" s="5" t="s">
        <v>287</v>
      </c>
      <c r="C30" s="5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V30" s="65" t="s">
        <v>25</v>
      </c>
      <c r="AX30" s="65" t="s">
        <v>25</v>
      </c>
      <c r="AZ30" s="65" t="s">
        <v>25</v>
      </c>
      <c r="BB30" s="65" t="s">
        <v>25</v>
      </c>
      <c r="BD30" s="65" t="s">
        <v>75</v>
      </c>
      <c r="BF30" s="65" t="s">
        <v>75</v>
      </c>
      <c r="BH30" s="65" t="s">
        <v>75</v>
      </c>
    </row>
    <row r="31" spans="2:48" ht="12.75">
      <c r="B31" s="65" t="s">
        <v>49</v>
      </c>
      <c r="F31" s="65" t="s">
        <v>221</v>
      </c>
      <c r="L31" s="65" t="s">
        <v>222</v>
      </c>
      <c r="R31" s="65" t="s">
        <v>223</v>
      </c>
      <c r="X31" s="65" t="s">
        <v>224</v>
      </c>
      <c r="AD31" s="65" t="s">
        <v>225</v>
      </c>
      <c r="AJ31" s="65" t="s">
        <v>226</v>
      </c>
      <c r="AP31" s="65" t="s">
        <v>227</v>
      </c>
      <c r="AV31" s="65" t="s">
        <v>25</v>
      </c>
    </row>
    <row r="32" spans="1:46" ht="12.75">
      <c r="A32" s="65" t="s">
        <v>169</v>
      </c>
      <c r="B32" s="65" t="s">
        <v>228</v>
      </c>
      <c r="D32" s="65" t="s">
        <v>57</v>
      </c>
      <c r="F32" s="66">
        <v>6522</v>
      </c>
      <c r="G32" s="66"/>
      <c r="H32" s="66">
        <v>6484</v>
      </c>
      <c r="I32" s="66"/>
      <c r="J32" s="66">
        <v>6456</v>
      </c>
      <c r="K32" s="66"/>
      <c r="L32" s="66">
        <v>4000</v>
      </c>
      <c r="M32" s="66"/>
      <c r="N32" s="66">
        <v>4000</v>
      </c>
      <c r="O32" s="66"/>
      <c r="P32" s="66">
        <v>4000</v>
      </c>
      <c r="Q32" s="66"/>
      <c r="R32" s="66">
        <v>1940</v>
      </c>
      <c r="S32" s="66"/>
      <c r="T32" s="66">
        <v>1381</v>
      </c>
      <c r="U32" s="66"/>
      <c r="V32" s="66">
        <v>1793</v>
      </c>
      <c r="W32" s="66"/>
      <c r="X32" s="66"/>
      <c r="Y32" s="66"/>
      <c r="Z32" s="66"/>
      <c r="AA32" s="66"/>
      <c r="AB32" s="66"/>
      <c r="AC32" s="66"/>
      <c r="AD32" s="66">
        <v>1000</v>
      </c>
      <c r="AE32" s="66"/>
      <c r="AF32" s="66">
        <v>1003</v>
      </c>
      <c r="AG32" s="66"/>
      <c r="AH32" s="66">
        <v>998</v>
      </c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</row>
    <row r="33" spans="1:46" ht="12.75">
      <c r="A33" s="65" t="s">
        <v>169</v>
      </c>
      <c r="B33" s="65" t="s">
        <v>229</v>
      </c>
      <c r="D33" s="65" t="s">
        <v>52</v>
      </c>
      <c r="F33" s="66">
        <v>9196</v>
      </c>
      <c r="G33" s="66"/>
      <c r="H33" s="66">
        <v>9069</v>
      </c>
      <c r="I33" s="66"/>
      <c r="J33" s="66">
        <v>9496</v>
      </c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</row>
    <row r="34" spans="1:46" ht="12.75">
      <c r="A34" s="65" t="s">
        <v>169</v>
      </c>
      <c r="B34" s="65" t="s">
        <v>53</v>
      </c>
      <c r="D34" s="65" t="s">
        <v>230</v>
      </c>
      <c r="F34" s="66">
        <v>0.02</v>
      </c>
      <c r="G34" s="66"/>
      <c r="H34" s="66">
        <v>0.08</v>
      </c>
      <c r="I34" s="66"/>
      <c r="J34" s="66">
        <v>0.06</v>
      </c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</row>
    <row r="35" spans="1:46" ht="12.75">
      <c r="A35" s="65" t="s">
        <v>169</v>
      </c>
      <c r="B35" s="65" t="s">
        <v>54</v>
      </c>
      <c r="D35" s="65" t="s">
        <v>231</v>
      </c>
      <c r="F35" s="66">
        <v>516712.66482674</v>
      </c>
      <c r="G35" s="66"/>
      <c r="H35" s="66">
        <v>513571.869216533</v>
      </c>
      <c r="I35" s="66"/>
      <c r="J35" s="66">
        <v>500309.7893432466</v>
      </c>
      <c r="K35" s="66"/>
      <c r="L35" s="66">
        <v>62000</v>
      </c>
      <c r="M35" s="66"/>
      <c r="N35" s="66">
        <v>62000</v>
      </c>
      <c r="O35" s="66"/>
      <c r="P35" s="66">
        <v>62000</v>
      </c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</row>
    <row r="36" spans="6:46" ht="12.75"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</row>
    <row r="37" spans="2:54" ht="12.75">
      <c r="B37" s="65" t="s">
        <v>232</v>
      </c>
      <c r="F37" s="68">
        <f>'emiss 2'!$G$25</f>
        <v>35597.1841</v>
      </c>
      <c r="G37" s="68"/>
      <c r="H37" s="68">
        <f>'emiss 2'!$I$25</f>
        <v>36126.9041</v>
      </c>
      <c r="I37" s="68"/>
      <c r="J37" s="68">
        <f>'emiss 2'!$K$25</f>
        <v>36621.3094</v>
      </c>
      <c r="K37" s="68"/>
      <c r="L37" s="68">
        <f>'emiss 2'!$G$25</f>
        <v>35597.1841</v>
      </c>
      <c r="M37" s="68"/>
      <c r="N37" s="68">
        <f>'emiss 2'!$I$25</f>
        <v>36126.9041</v>
      </c>
      <c r="O37" s="68"/>
      <c r="P37" s="68">
        <f>'emiss 2'!$K$25</f>
        <v>36621.3094</v>
      </c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V37" s="68">
        <f>F37</f>
        <v>35597.1841</v>
      </c>
      <c r="AW37" s="68"/>
      <c r="AX37" s="68">
        <f>H37</f>
        <v>36126.9041</v>
      </c>
      <c r="AY37" s="68"/>
      <c r="AZ37" s="68">
        <f>J37</f>
        <v>36621.3094</v>
      </c>
      <c r="BA37" s="68"/>
      <c r="BB37" s="68">
        <f>AVERAGE(AV37,AX37,AZ37)</f>
        <v>36115.13253333333</v>
      </c>
    </row>
    <row r="38" spans="2:54" ht="12.75">
      <c r="B38" s="65" t="s">
        <v>73</v>
      </c>
      <c r="F38" s="66">
        <f>'emiss 2'!$G$26</f>
        <v>13.3</v>
      </c>
      <c r="G38" s="66"/>
      <c r="H38" s="66">
        <f>'emiss 2'!$I$26</f>
        <v>13.8</v>
      </c>
      <c r="I38" s="66"/>
      <c r="J38" s="66">
        <f>'emiss 2'!$K$26</f>
        <v>13.3</v>
      </c>
      <c r="K38" s="66"/>
      <c r="L38" s="66">
        <f>'emiss 2'!$G$26</f>
        <v>13.3</v>
      </c>
      <c r="M38" s="66"/>
      <c r="N38" s="66">
        <f>'emiss 2'!$I$26</f>
        <v>13.8</v>
      </c>
      <c r="O38" s="66"/>
      <c r="P38" s="66">
        <f>'emiss 2'!$K$26</f>
        <v>13.3</v>
      </c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V38" s="65">
        <f>F38</f>
        <v>13.3</v>
      </c>
      <c r="AX38" s="65">
        <f>H38</f>
        <v>13.8</v>
      </c>
      <c r="AZ38" s="65">
        <f>J38</f>
        <v>13.3</v>
      </c>
      <c r="BB38" s="68">
        <f>AVERAGE(AV38,AX38,AZ38)</f>
        <v>13.466666666666669</v>
      </c>
    </row>
    <row r="39" spans="6:46" ht="12.75"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</row>
    <row r="40" spans="2:46" ht="12.75">
      <c r="B40" s="65" t="s">
        <v>233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</row>
    <row r="41" spans="2:60" ht="12.75">
      <c r="B41" s="65" t="s">
        <v>54</v>
      </c>
      <c r="D41" s="65" t="s">
        <v>66</v>
      </c>
      <c r="F41" s="66">
        <f>F32*F35/0.0283/60/F37*14/(21-F38)*454</f>
        <v>46022449.905390255</v>
      </c>
      <c r="G41" s="66"/>
      <c r="H41" s="66">
        <f>H32*H35/0.0283/60/H37*14/(21-H38)*454</f>
        <v>47921145.79223287</v>
      </c>
      <c r="I41" s="66"/>
      <c r="J41" s="66">
        <f>J32*J35/0.0283/60/J37*14/(21-J38)*454</f>
        <v>42876974.33767401</v>
      </c>
      <c r="K41" s="66"/>
      <c r="L41" s="66">
        <f>L32*L35/0.0283/60/L37*14/(21-L38)*454</f>
        <v>3386815.3046103236</v>
      </c>
      <c r="M41" s="66"/>
      <c r="N41" s="66">
        <f>N32*N35/0.0283/60/N37*14/(21-N38)*454</f>
        <v>3568902.1490912177</v>
      </c>
      <c r="O41" s="66"/>
      <c r="P41" s="66">
        <f>P32*P35/0.0283/60/P37*14/(21-P38)*454</f>
        <v>3292102.054409646</v>
      </c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V41" s="65">
        <f>F41+L41+R41+X41+AD41+AJ41+AP41</f>
        <v>49409265.21000058</v>
      </c>
      <c r="AX41" s="65">
        <f>H41+N41+T41+Z41+AF41+AL41+AR41</f>
        <v>51490047.941324085</v>
      </c>
      <c r="AZ41" s="65">
        <f>J41+P41+V41+AB41+AH41+AN41+AT41</f>
        <v>46169076.39208365</v>
      </c>
      <c r="BB41" s="65">
        <f>AVERAGE(AV41,AX41,AZ41)</f>
        <v>49022796.51446944</v>
      </c>
      <c r="BD41" s="65">
        <f>F41+L41+X41+AD41</f>
        <v>49409265.21000058</v>
      </c>
      <c r="BF41" s="65">
        <f>H41+N41+Z41+AF41</f>
        <v>51490047.941324085</v>
      </c>
      <c r="BH41" s="65">
        <f>J41+P41+AB41+AH41</f>
        <v>46169076.39208365</v>
      </c>
    </row>
    <row r="42" spans="6:46" ht="12.75"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</row>
    <row r="43" spans="2:54" ht="12.75">
      <c r="B43" s="65" t="s">
        <v>119</v>
      </c>
      <c r="D43" s="65" t="s">
        <v>65</v>
      </c>
      <c r="F43" s="68">
        <f>F32*F33/1000000</f>
        <v>59.976312</v>
      </c>
      <c r="G43" s="66"/>
      <c r="H43" s="68">
        <f>H32*H33/1000000</f>
        <v>58.803396</v>
      </c>
      <c r="I43" s="66"/>
      <c r="J43" s="68">
        <f>J32*J33/1000000</f>
        <v>61.306176</v>
      </c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V43" s="68">
        <f>F43+L43+R43+X43+AD43+AJ43+AP43</f>
        <v>59.976312</v>
      </c>
      <c r="AW43" s="68"/>
      <c r="AX43" s="68">
        <f>H43+N43+T43+Z43+AF43+AL43+AR43</f>
        <v>58.803396</v>
      </c>
      <c r="AY43" s="68"/>
      <c r="AZ43" s="68">
        <f>J43+P43+V43+AB43+AH43+AN43+AT43</f>
        <v>61.306176</v>
      </c>
      <c r="BA43" s="68"/>
      <c r="BB43" s="68">
        <f>AVERAGE(AV43,AX43,AZ43)</f>
        <v>60.028628</v>
      </c>
    </row>
    <row r="44" spans="2:54" ht="12.75">
      <c r="B44" s="9" t="s">
        <v>289</v>
      </c>
      <c r="C44" s="9"/>
      <c r="D44" s="9" t="s">
        <v>65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V44" s="2">
        <f>AV37/9000*(21-AV38)/21*60</f>
        <v>87.0153389111111</v>
      </c>
      <c r="AX44" s="2">
        <f>AX37/9000*(21-AX38)/21*60</f>
        <v>82.5757808</v>
      </c>
      <c r="AZ44" s="2">
        <f>AZ37/9000*(21-AZ38)/21*60</f>
        <v>89.5187563111111</v>
      </c>
      <c r="BB44" s="2">
        <f>BB37/9000*(21-BB38)/21*60</f>
        <v>86.3705815082892</v>
      </c>
    </row>
    <row r="45" spans="6:46" ht="12.75"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</row>
    <row r="46" spans="2:52" ht="12.75">
      <c r="B46" s="18" t="s">
        <v>208</v>
      </c>
      <c r="C46" s="18"/>
      <c r="D46" s="18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 t="s">
        <v>210</v>
      </c>
      <c r="AK46" s="66"/>
      <c r="AL46" s="66" t="s">
        <v>211</v>
      </c>
      <c r="AM46" s="66"/>
      <c r="AN46" s="66" t="s">
        <v>212</v>
      </c>
      <c r="AO46" s="66"/>
      <c r="AP46" s="66" t="s">
        <v>210</v>
      </c>
      <c r="AQ46" s="66"/>
      <c r="AR46" s="66" t="s">
        <v>211</v>
      </c>
      <c r="AS46" s="66"/>
      <c r="AT46" s="66" t="s">
        <v>212</v>
      </c>
      <c r="AV46" s="66" t="s">
        <v>210</v>
      </c>
      <c r="AW46" s="66"/>
      <c r="AX46" s="66" t="s">
        <v>211</v>
      </c>
      <c r="AY46" s="66"/>
      <c r="AZ46" s="66" t="s">
        <v>212</v>
      </c>
    </row>
    <row r="47" spans="2:46" ht="12.75">
      <c r="B47" s="19" t="s">
        <v>276</v>
      </c>
      <c r="C47" s="19"/>
      <c r="D47" s="18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 t="s">
        <v>278</v>
      </c>
      <c r="AK47" s="66"/>
      <c r="AL47" s="66" t="s">
        <v>280</v>
      </c>
      <c r="AM47" s="66"/>
      <c r="AN47" s="66" t="s">
        <v>280</v>
      </c>
      <c r="AO47" s="66"/>
      <c r="AP47" s="66" t="s">
        <v>280</v>
      </c>
      <c r="AQ47" s="66"/>
      <c r="AR47" s="66" t="s">
        <v>280</v>
      </c>
      <c r="AS47" s="66"/>
      <c r="AT47" s="66" t="s">
        <v>280</v>
      </c>
    </row>
    <row r="48" spans="2:46" ht="12.75">
      <c r="B48" s="65" t="s">
        <v>277</v>
      </c>
      <c r="D48" s="18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 t="s">
        <v>282</v>
      </c>
      <c r="AK48" s="66"/>
      <c r="AL48" s="66" t="s">
        <v>282</v>
      </c>
      <c r="AM48" s="66"/>
      <c r="AN48" s="66" t="s">
        <v>282</v>
      </c>
      <c r="AO48" s="66"/>
      <c r="AP48" s="66" t="s">
        <v>282</v>
      </c>
      <c r="AQ48" s="66"/>
      <c r="AR48" s="66" t="s">
        <v>282</v>
      </c>
      <c r="AS48" s="66"/>
      <c r="AT48" s="66" t="s">
        <v>282</v>
      </c>
    </row>
    <row r="49" spans="2:48" ht="12.75">
      <c r="B49" s="65" t="s">
        <v>287</v>
      </c>
      <c r="D49" s="18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V49" s="65" t="s">
        <v>288</v>
      </c>
    </row>
    <row r="50" spans="2:46" ht="12.75">
      <c r="B50" s="65" t="s">
        <v>49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5" t="s">
        <v>226</v>
      </c>
      <c r="AP50" s="65" t="s">
        <v>227</v>
      </c>
      <c r="AQ50" s="66"/>
      <c r="AR50" s="66"/>
      <c r="AS50" s="66"/>
      <c r="AT50" s="66"/>
    </row>
    <row r="51" spans="1:46" ht="12.75">
      <c r="A51" s="65" t="s">
        <v>208</v>
      </c>
      <c r="B51" s="65" t="s">
        <v>228</v>
      </c>
      <c r="D51" s="65" t="s">
        <v>57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>
        <v>8580</v>
      </c>
      <c r="AK51" s="66"/>
      <c r="AL51" s="66">
        <v>8580</v>
      </c>
      <c r="AM51" s="66"/>
      <c r="AN51" s="66">
        <v>8580</v>
      </c>
      <c r="AO51" s="66"/>
      <c r="AP51" s="66">
        <v>6067</v>
      </c>
      <c r="AQ51" s="66"/>
      <c r="AR51" s="66">
        <v>6187</v>
      </c>
      <c r="AS51" s="66"/>
      <c r="AT51" s="66">
        <v>8027</v>
      </c>
    </row>
    <row r="52" spans="1:46" ht="12.75">
      <c r="A52" s="65" t="s">
        <v>208</v>
      </c>
      <c r="B52" s="65" t="s">
        <v>229</v>
      </c>
      <c r="D52" s="65" t="s">
        <v>52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</row>
    <row r="53" spans="1:46" ht="12.75">
      <c r="A53" s="65" t="s">
        <v>208</v>
      </c>
      <c r="B53" s="65" t="s">
        <v>53</v>
      </c>
      <c r="D53" s="65" t="s">
        <v>230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B7">
      <selection activeCell="B2" sqref="B2"/>
    </sheetView>
  </sheetViews>
  <sheetFormatPr defaultColWidth="9.140625" defaultRowHeight="12.75"/>
  <cols>
    <col min="1" max="1" width="3.8515625" style="0" hidden="1" customWidth="1"/>
    <col min="2" max="2" width="29.8515625" style="0" customWidth="1"/>
    <col min="4" max="4" width="3.140625" style="0" customWidth="1"/>
    <col min="5" max="5" width="12.28125" style="0" customWidth="1"/>
    <col min="6" max="6" width="12.421875" style="0" customWidth="1"/>
    <col min="7" max="7" width="11.00390625" style="0" customWidth="1"/>
  </cols>
  <sheetData>
    <row r="1" spans="2:6" ht="12.75">
      <c r="B1" s="3" t="s">
        <v>78</v>
      </c>
      <c r="C1" s="14"/>
      <c r="D1" s="14"/>
      <c r="E1" s="14"/>
      <c r="F1" s="14"/>
    </row>
    <row r="2" spans="2:6" ht="12.75">
      <c r="B2" s="14"/>
      <c r="C2" s="14"/>
      <c r="D2" s="14"/>
      <c r="E2" s="14"/>
      <c r="F2" s="14"/>
    </row>
    <row r="3" spans="1:7" ht="12.75">
      <c r="A3" t="s">
        <v>118</v>
      </c>
      <c r="B3" s="3" t="s">
        <v>204</v>
      </c>
      <c r="C3" s="14"/>
      <c r="D3" s="14"/>
      <c r="E3" s="75" t="s">
        <v>210</v>
      </c>
      <c r="F3" s="75" t="s">
        <v>211</v>
      </c>
      <c r="G3" s="75" t="s">
        <v>212</v>
      </c>
    </row>
    <row r="4" spans="2:6" ht="12.75">
      <c r="B4" s="14"/>
      <c r="C4" s="14"/>
      <c r="D4" s="14"/>
      <c r="E4" s="14"/>
      <c r="F4" s="14"/>
    </row>
    <row r="5" spans="2:7" ht="14.25">
      <c r="B5" s="14" t="s">
        <v>123</v>
      </c>
      <c r="C5" s="4" t="s">
        <v>62</v>
      </c>
      <c r="D5" s="4"/>
      <c r="E5" s="14">
        <v>1443.32</v>
      </c>
      <c r="F5" s="14">
        <v>1458.31</v>
      </c>
      <c r="G5">
        <v>1467.4</v>
      </c>
    </row>
    <row r="6" spans="2:7" ht="14.25">
      <c r="B6" s="14" t="s">
        <v>294</v>
      </c>
      <c r="C6" s="4" t="s">
        <v>62</v>
      </c>
      <c r="D6" s="14"/>
      <c r="E6" s="14">
        <v>1641.72</v>
      </c>
      <c r="F6" s="14">
        <v>1638.35</v>
      </c>
      <c r="G6">
        <v>1634.49</v>
      </c>
    </row>
    <row r="7" spans="2:7" ht="14.25">
      <c r="B7" s="14" t="s">
        <v>149</v>
      </c>
      <c r="C7" s="4" t="s">
        <v>62</v>
      </c>
      <c r="D7" s="14"/>
      <c r="E7" s="42">
        <v>128.28</v>
      </c>
      <c r="F7" s="14">
        <v>128.6</v>
      </c>
      <c r="G7">
        <v>129.32</v>
      </c>
    </row>
    <row r="8" spans="2:7" ht="12.75">
      <c r="B8" s="14" t="s">
        <v>150</v>
      </c>
      <c r="C8" s="14" t="s">
        <v>151</v>
      </c>
      <c r="D8" s="14"/>
      <c r="E8" s="43">
        <v>654.24</v>
      </c>
      <c r="F8" s="14">
        <v>654.1</v>
      </c>
      <c r="G8">
        <v>654.22</v>
      </c>
    </row>
    <row r="9" spans="2:6" ht="12.75">
      <c r="B9" s="14"/>
      <c r="C9" s="14"/>
      <c r="D9" s="14"/>
      <c r="E9" s="14"/>
      <c r="F9" s="14"/>
    </row>
    <row r="10" spans="1:7" ht="12.75">
      <c r="A10" t="s">
        <v>118</v>
      </c>
      <c r="B10" s="3" t="s">
        <v>205</v>
      </c>
      <c r="C10" s="14"/>
      <c r="D10" s="14"/>
      <c r="E10" s="75" t="s">
        <v>210</v>
      </c>
      <c r="F10" s="75" t="s">
        <v>211</v>
      </c>
      <c r="G10" s="75" t="s">
        <v>212</v>
      </c>
    </row>
    <row r="11" spans="2:6" ht="12.75">
      <c r="B11" s="14"/>
      <c r="C11" s="14"/>
      <c r="D11" s="14"/>
      <c r="E11" s="14"/>
      <c r="F11" s="14"/>
    </row>
    <row r="12" spans="2:7" ht="14.25">
      <c r="B12" s="14" t="s">
        <v>123</v>
      </c>
      <c r="C12" s="4" t="s">
        <v>62</v>
      </c>
      <c r="D12" s="4"/>
      <c r="E12" s="42">
        <v>1914</v>
      </c>
      <c r="F12" s="14">
        <v>1923</v>
      </c>
      <c r="G12">
        <v>1902</v>
      </c>
    </row>
    <row r="13" spans="2:7" ht="14.25">
      <c r="B13" s="14" t="s">
        <v>294</v>
      </c>
      <c r="C13" s="4" t="s">
        <v>62</v>
      </c>
      <c r="D13" s="14"/>
      <c r="E13" s="43">
        <v>2142</v>
      </c>
      <c r="F13" s="14">
        <v>2174</v>
      </c>
      <c r="G13">
        <v>2101</v>
      </c>
    </row>
    <row r="14" spans="2:7" ht="12.75">
      <c r="B14" s="14" t="s">
        <v>172</v>
      </c>
      <c r="C14" s="14" t="s">
        <v>64</v>
      </c>
      <c r="E14">
        <v>68.27</v>
      </c>
      <c r="F14" s="14">
        <v>68.52</v>
      </c>
      <c r="G14">
        <v>67.97</v>
      </c>
    </row>
    <row r="15" spans="2:7" ht="12.75">
      <c r="B15" s="14" t="s">
        <v>173</v>
      </c>
      <c r="C15" s="14" t="s">
        <v>64</v>
      </c>
      <c r="E15">
        <v>400.8</v>
      </c>
      <c r="F15" s="14">
        <v>400.3</v>
      </c>
      <c r="G15">
        <v>400.2</v>
      </c>
    </row>
    <row r="16" spans="2:7" ht="12.75">
      <c r="B16" s="14" t="s">
        <v>174</v>
      </c>
      <c r="C16" s="14" t="s">
        <v>64</v>
      </c>
      <c r="D16" s="14"/>
      <c r="E16" s="42">
        <v>666</v>
      </c>
      <c r="F16" s="14">
        <v>662.3</v>
      </c>
      <c r="G16">
        <v>662.1</v>
      </c>
    </row>
    <row r="17" spans="2:7" ht="12.75">
      <c r="B17" s="14" t="s">
        <v>175</v>
      </c>
      <c r="C17" s="14" t="s">
        <v>64</v>
      </c>
      <c r="D17" s="14"/>
      <c r="E17" s="14">
        <v>70.45</v>
      </c>
      <c r="F17" s="14">
        <v>68.3</v>
      </c>
      <c r="G17">
        <v>67.13</v>
      </c>
    </row>
    <row r="18" spans="2:7" ht="14.25">
      <c r="B18" s="14" t="s">
        <v>149</v>
      </c>
      <c r="C18" s="4" t="s">
        <v>62</v>
      </c>
      <c r="D18" s="14"/>
      <c r="E18" s="14">
        <v>134.6</v>
      </c>
      <c r="F18" s="14">
        <v>134.3</v>
      </c>
      <c r="G18">
        <v>133.4</v>
      </c>
    </row>
    <row r="19" spans="2:7" ht="12.75">
      <c r="B19" s="14" t="s">
        <v>176</v>
      </c>
      <c r="C19" s="14" t="s">
        <v>64</v>
      </c>
      <c r="D19" s="14"/>
      <c r="E19" s="14">
        <v>394.7</v>
      </c>
      <c r="F19" s="14">
        <v>391.4</v>
      </c>
      <c r="G19">
        <v>391.5</v>
      </c>
    </row>
    <row r="20" spans="1:7" ht="12.75">
      <c r="A20" t="s">
        <v>118</v>
      </c>
      <c r="B20" s="14" t="s">
        <v>177</v>
      </c>
      <c r="C20" s="14" t="s">
        <v>63</v>
      </c>
      <c r="D20" s="14"/>
      <c r="E20" s="14">
        <v>9</v>
      </c>
      <c r="F20" s="14">
        <v>9.03</v>
      </c>
      <c r="G20">
        <v>9.01</v>
      </c>
    </row>
    <row r="21" spans="2:7" ht="12.75">
      <c r="B21" s="14" t="s">
        <v>178</v>
      </c>
      <c r="C21" s="14" t="s">
        <v>64</v>
      </c>
      <c r="D21" s="14"/>
      <c r="E21" s="14">
        <v>547.5</v>
      </c>
      <c r="F21" s="14">
        <v>546.9</v>
      </c>
      <c r="G21">
        <v>547</v>
      </c>
    </row>
    <row r="22" spans="2:7" ht="14.25">
      <c r="B22" s="14" t="s">
        <v>179</v>
      </c>
      <c r="C22" s="14" t="s">
        <v>64</v>
      </c>
      <c r="D22" s="4"/>
      <c r="E22" s="42">
        <v>541.4</v>
      </c>
      <c r="F22" s="14">
        <v>556.2</v>
      </c>
      <c r="G22">
        <v>551.9</v>
      </c>
    </row>
    <row r="23" spans="2:7" ht="12.75">
      <c r="B23" s="14" t="s">
        <v>180</v>
      </c>
      <c r="C23" s="14" t="s">
        <v>64</v>
      </c>
      <c r="D23" s="14"/>
      <c r="E23" s="43">
        <v>445.9</v>
      </c>
      <c r="F23" s="14">
        <v>444.4</v>
      </c>
      <c r="G23">
        <v>443.6</v>
      </c>
    </row>
    <row r="24" spans="2:7" ht="12.75">
      <c r="B24" s="14" t="s">
        <v>181</v>
      </c>
      <c r="C24" s="14" t="s">
        <v>64</v>
      </c>
      <c r="D24" s="14"/>
      <c r="E24" s="42">
        <v>484.6</v>
      </c>
      <c r="F24" s="14">
        <v>484.9</v>
      </c>
      <c r="G24">
        <v>485.8</v>
      </c>
    </row>
    <row r="25" spans="2:7" ht="12.75">
      <c r="B25" s="14" t="s">
        <v>182</v>
      </c>
      <c r="C25" s="14" t="s">
        <v>63</v>
      </c>
      <c r="D25" s="14"/>
      <c r="E25" s="14">
        <v>7.97</v>
      </c>
      <c r="F25" s="14">
        <v>7.93</v>
      </c>
      <c r="G25">
        <v>7.95</v>
      </c>
    </row>
    <row r="26" spans="2:7" ht="12.75">
      <c r="B26" s="14" t="s">
        <v>183</v>
      </c>
      <c r="C26" s="14" t="s">
        <v>63</v>
      </c>
      <c r="D26" s="14"/>
      <c r="E26" s="14">
        <v>8.34</v>
      </c>
      <c r="F26" s="14">
        <v>8.15</v>
      </c>
      <c r="G26">
        <v>8.16</v>
      </c>
    </row>
    <row r="27" spans="2:7" ht="12.75">
      <c r="B27" s="14" t="s">
        <v>184</v>
      </c>
      <c r="C27" s="14" t="s">
        <v>63</v>
      </c>
      <c r="D27" s="14"/>
      <c r="E27" s="14">
        <v>5.5</v>
      </c>
      <c r="F27" s="14">
        <v>6.44</v>
      </c>
      <c r="G27">
        <v>6.4</v>
      </c>
    </row>
    <row r="28" spans="2:7" ht="14.25">
      <c r="B28" s="14" t="s">
        <v>185</v>
      </c>
      <c r="C28" s="4" t="s">
        <v>62</v>
      </c>
      <c r="E28" s="14">
        <v>178.4</v>
      </c>
      <c r="F28" s="14">
        <v>180.1</v>
      </c>
      <c r="G28">
        <v>178.5</v>
      </c>
    </row>
    <row r="29" spans="2:7" ht="14.25">
      <c r="B29" s="14" t="s">
        <v>186</v>
      </c>
      <c r="C29" s="4" t="s">
        <v>62</v>
      </c>
      <c r="E29" s="14">
        <v>175.9</v>
      </c>
      <c r="F29" s="14">
        <v>177.4</v>
      </c>
      <c r="G29">
        <v>175.8</v>
      </c>
    </row>
    <row r="30" spans="2:7" ht="12.75">
      <c r="B30" s="14" t="s">
        <v>192</v>
      </c>
      <c r="C30" s="14" t="s">
        <v>191</v>
      </c>
      <c r="E30" s="14">
        <v>0.2</v>
      </c>
      <c r="F30" s="14">
        <v>0.79</v>
      </c>
      <c r="G30">
        <v>0.73</v>
      </c>
    </row>
    <row r="31" spans="2:7" ht="12.75">
      <c r="B31" s="14" t="s">
        <v>187</v>
      </c>
      <c r="C31" s="14" t="s">
        <v>191</v>
      </c>
      <c r="E31" s="14">
        <v>-0.06</v>
      </c>
      <c r="F31" s="14">
        <v>-0.06</v>
      </c>
      <c r="G31">
        <v>-0.06</v>
      </c>
    </row>
    <row r="32" spans="2:7" ht="14.25">
      <c r="B32" s="14" t="s">
        <v>188</v>
      </c>
      <c r="C32" s="4" t="s">
        <v>62</v>
      </c>
      <c r="E32" s="14">
        <v>175.2</v>
      </c>
      <c r="F32" s="14">
        <v>176.6</v>
      </c>
      <c r="G32">
        <v>174.9</v>
      </c>
    </row>
    <row r="33" spans="2:7" ht="12.75">
      <c r="B33" s="14" t="s">
        <v>189</v>
      </c>
      <c r="C33" s="14" t="s">
        <v>191</v>
      </c>
      <c r="E33" s="14">
        <v>18.39</v>
      </c>
      <c r="F33" s="14">
        <v>16.17</v>
      </c>
      <c r="G33">
        <v>16.13</v>
      </c>
    </row>
    <row r="34" spans="2:7" ht="12.75">
      <c r="B34" s="14" t="s">
        <v>190</v>
      </c>
      <c r="C34" s="14" t="s">
        <v>191</v>
      </c>
      <c r="E34" s="14">
        <v>20.15</v>
      </c>
      <c r="F34" s="14">
        <v>18.1</v>
      </c>
      <c r="G34">
        <v>18.08</v>
      </c>
    </row>
    <row r="35" spans="2:7" ht="12.75">
      <c r="B35" s="14" t="s">
        <v>150</v>
      </c>
      <c r="C35" s="14" t="s">
        <v>151</v>
      </c>
      <c r="E35" s="14">
        <v>570.7</v>
      </c>
      <c r="F35" s="14">
        <v>567.4</v>
      </c>
      <c r="G35">
        <v>566.2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E13"/>
  <sheetViews>
    <sheetView workbookViewId="0" topLeftCell="C1">
      <selection activeCell="B2" sqref="B2"/>
    </sheetView>
  </sheetViews>
  <sheetFormatPr defaultColWidth="9.140625" defaultRowHeight="12.75"/>
  <cols>
    <col min="1" max="1" width="9.140625" style="0" hidden="1" customWidth="1"/>
    <col min="2" max="2" width="11.00390625" style="0" hidden="1" customWidth="1"/>
    <col min="3" max="3" width="26.7109375" style="0" customWidth="1"/>
  </cols>
  <sheetData>
    <row r="1" ht="12.75">
      <c r="C1" s="3" t="s">
        <v>251</v>
      </c>
    </row>
    <row r="3" spans="3:7" ht="12.75">
      <c r="C3" s="18" t="s">
        <v>135</v>
      </c>
      <c r="E3" s="69" t="s">
        <v>210</v>
      </c>
      <c r="F3" s="69" t="s">
        <v>211</v>
      </c>
      <c r="G3" s="69" t="s">
        <v>212</v>
      </c>
    </row>
    <row r="5" spans="1:31" s="65" customFormat="1" ht="12.75">
      <c r="A5" s="65" t="s">
        <v>135</v>
      </c>
      <c r="B5" s="65" t="s">
        <v>243</v>
      </c>
      <c r="C5" s="65" t="s">
        <v>249</v>
      </c>
      <c r="D5" s="65" t="s">
        <v>245</v>
      </c>
      <c r="E5" s="66">
        <v>1412</v>
      </c>
      <c r="F5" s="66">
        <v>1461</v>
      </c>
      <c r="G5" s="66">
        <v>1432</v>
      </c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</row>
    <row r="6" spans="1:31" s="65" customFormat="1" ht="12.75">
      <c r="A6" s="65" t="s">
        <v>135</v>
      </c>
      <c r="B6" s="65" t="s">
        <v>246</v>
      </c>
      <c r="C6" s="65" t="s">
        <v>250</v>
      </c>
      <c r="D6" s="65" t="s">
        <v>245</v>
      </c>
      <c r="E6" s="66">
        <v>1604</v>
      </c>
      <c r="F6" s="66">
        <v>1613</v>
      </c>
      <c r="G6" s="66">
        <v>1612</v>
      </c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</row>
    <row r="7" spans="1:22" s="65" customFormat="1" ht="12.75">
      <c r="A7" s="65" t="s">
        <v>135</v>
      </c>
      <c r="B7" s="65" t="s">
        <v>248</v>
      </c>
      <c r="C7" s="65" t="s">
        <v>247</v>
      </c>
      <c r="E7" s="66">
        <v>7.6</v>
      </c>
      <c r="F7" s="66">
        <v>7.8</v>
      </c>
      <c r="G7" s="66">
        <v>7.8</v>
      </c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</row>
    <row r="8" spans="5:22" s="65" customFormat="1" ht="12.75"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</row>
    <row r="9" spans="3:22" s="65" customFormat="1" ht="12.75">
      <c r="C9" s="18" t="s">
        <v>169</v>
      </c>
      <c r="E9" s="69" t="s">
        <v>210</v>
      </c>
      <c r="F9" s="69" t="s">
        <v>211</v>
      </c>
      <c r="G9" s="69" t="s">
        <v>212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</row>
    <row r="10" spans="5:22" s="65" customFormat="1" ht="12.75"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</row>
    <row r="11" spans="1:31" s="65" customFormat="1" ht="12.75">
      <c r="A11" s="65" t="s">
        <v>169</v>
      </c>
      <c r="B11" s="65" t="s">
        <v>243</v>
      </c>
      <c r="C11" s="65" t="s">
        <v>244</v>
      </c>
      <c r="D11" s="65" t="s">
        <v>245</v>
      </c>
      <c r="E11" s="66">
        <v>1671</v>
      </c>
      <c r="F11" s="66">
        <v>1679</v>
      </c>
      <c r="G11" s="66">
        <v>1668</v>
      </c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65" customFormat="1" ht="12.75">
      <c r="A12" s="65" t="s">
        <v>169</v>
      </c>
      <c r="B12" s="65" t="s">
        <v>246</v>
      </c>
      <c r="C12" s="65" t="s">
        <v>244</v>
      </c>
      <c r="D12" s="65" t="s">
        <v>245</v>
      </c>
      <c r="E12" s="66">
        <v>1703</v>
      </c>
      <c r="F12" s="66">
        <v>1704</v>
      </c>
      <c r="G12" s="66">
        <v>1702</v>
      </c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</row>
    <row r="13" spans="1:22" s="65" customFormat="1" ht="12.75">
      <c r="A13" s="65" t="s">
        <v>169</v>
      </c>
      <c r="B13" s="65" t="s">
        <v>248</v>
      </c>
      <c r="C13" s="65" t="s">
        <v>247</v>
      </c>
      <c r="E13" s="66">
        <v>6.8</v>
      </c>
      <c r="F13" s="66">
        <v>7.7</v>
      </c>
      <c r="G13" s="66">
        <v>7.6</v>
      </c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</row>
  </sheetData>
  <printOptions headings="1" horizontalCentered="1"/>
  <pageMargins left="0.25" right="0.25" top="0.5" bottom="0.5" header="0.25" footer="0.25"/>
  <pageSetup horizontalDpi="300" verticalDpi="3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Alan Nguyen</cp:lastModifiedBy>
  <cp:lastPrinted>2004-02-25T22:10:43Z</cp:lastPrinted>
  <dcterms:created xsi:type="dcterms:W3CDTF">2000-01-10T00:44:42Z</dcterms:created>
  <dcterms:modified xsi:type="dcterms:W3CDTF">2004-02-25T22:22:44Z</dcterms:modified>
  <cp:category/>
  <cp:version/>
  <cp:contentType/>
  <cp:contentStatus/>
</cp:coreProperties>
</file>