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MPPI" sheetId="1" r:id="rId1"/>
    <sheet name="BPI" sheetId="2" r:id="rId2"/>
    <sheet name="Sheet3" sheetId="3" r:id="rId3"/>
  </sheets>
  <definedNames>
    <definedName name="_xlnm.Print_Titles" localSheetId="0">'MPPI'!$1:$3</definedName>
  </definedNames>
  <calcPr fullCalcOnLoad="1"/>
</workbook>
</file>

<file path=xl/sharedStrings.xml><?xml version="1.0" encoding="utf-8"?>
<sst xmlns="http://schemas.openxmlformats.org/spreadsheetml/2006/main" count="85" uniqueCount="8">
  <si>
    <t>Week Ending</t>
  </si>
  <si>
    <t>HI A-AD/STP 6(3) &amp; HI 200(1) [HI 200(7)] STATE ROUTE 200                                                             SADDLE ROAD PTA-1 SECTION PHASE 3 &amp; EAST ALIGNMENT - PHASE 1</t>
  </si>
  <si>
    <t>Monthly Performance Price Index (MPPI)</t>
  </si>
  <si>
    <t>BPI =</t>
  </si>
  <si>
    <t>Base Price Index (BPI)</t>
  </si>
  <si>
    <t>Average Selling Prices Asphalt Cement US$/ST</t>
  </si>
  <si>
    <r>
      <t xml:space="preserve">Monthly MPPI/BPI Ratio </t>
    </r>
    <r>
      <rPr>
        <b/>
        <sz val="8"/>
        <rFont val="Arial"/>
        <family val="2"/>
      </rPr>
      <t>(Min = 0.4, Max = 1.6)</t>
    </r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</si>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</sst>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  <numFmt numFmtId="165" formatCode="mmmm\ d\,\ yyyy"/>
    <numFmt numFmtId="166" formatCode="0.000%"/>
    <numFmt numFmtId="167" formatCode="0.000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165" fontId="0" fillId="0" borderId="3" xfId="0" applyNumberFormat="1" applyBorder="1" applyAlignment="1">
      <alignment/>
    </xf>
    <xf numFmtId="0" fontId="0" fillId="2" borderId="3" xfId="0" applyFill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1" fillId="0" borderId="0" xfId="0" applyFont="1" applyAlignment="1">
      <alignment horizontal="centerContinuous" wrapText="1"/>
    </xf>
    <xf numFmtId="0" fontId="0" fillId="0" borderId="0" xfId="0" applyAlignment="1">
      <alignment horizontal="centerContinuous" wrapText="1"/>
    </xf>
    <xf numFmtId="0" fontId="1" fillId="0" borderId="6" xfId="0" applyFont="1" applyBorder="1" applyAlignment="1">
      <alignment horizontal="right" wrapText="1"/>
    </xf>
    <xf numFmtId="2" fontId="1" fillId="0" borderId="3" xfId="0" applyNumberFormat="1" applyFont="1" applyBorder="1" applyAlignment="1">
      <alignment/>
    </xf>
    <xf numFmtId="0" fontId="1" fillId="2" borderId="3" xfId="0" applyFont="1" applyFill="1" applyBorder="1" applyAlignment="1">
      <alignment/>
    </xf>
    <xf numFmtId="2" fontId="1" fillId="0" borderId="4" xfId="0" applyNumberFormat="1" applyFont="1" applyBorder="1" applyAlignment="1">
      <alignment/>
    </xf>
    <xf numFmtId="0" fontId="1" fillId="2" borderId="4" xfId="0" applyFont="1" applyFill="1" applyBorder="1" applyAlignment="1">
      <alignment/>
    </xf>
    <xf numFmtId="2" fontId="1" fillId="0" borderId="7" xfId="0" applyNumberFormat="1" applyFont="1" applyFill="1" applyBorder="1" applyAlignment="1">
      <alignment/>
    </xf>
    <xf numFmtId="2" fontId="1" fillId="0" borderId="5" xfId="0" applyNumberFormat="1" applyFont="1" applyBorder="1" applyAlignment="1">
      <alignment/>
    </xf>
    <xf numFmtId="2" fontId="0" fillId="0" borderId="8" xfId="0" applyNumberFormat="1" applyFont="1" applyBorder="1" applyAlignment="1">
      <alignment/>
    </xf>
    <xf numFmtId="2" fontId="0" fillId="0" borderId="3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9" xfId="0" applyNumberFormat="1" applyFont="1" applyBorder="1" applyAlignment="1">
      <alignment/>
    </xf>
    <xf numFmtId="167" fontId="1" fillId="0" borderId="10" xfId="0" applyNumberFormat="1" applyFont="1" applyBorder="1" applyAlignment="1">
      <alignment horizontal="left" wrapText="1"/>
    </xf>
    <xf numFmtId="165" fontId="0" fillId="0" borderId="9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2" borderId="8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165" fontId="0" fillId="0" borderId="8" xfId="0" applyNumberForma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2" borderId="15" xfId="0" applyFill="1" applyBorder="1" applyAlignment="1">
      <alignment/>
    </xf>
    <xf numFmtId="2" fontId="0" fillId="0" borderId="5" xfId="0" applyNumberFormat="1" applyFont="1" applyBorder="1" applyAlignment="1">
      <alignment/>
    </xf>
    <xf numFmtId="2" fontId="0" fillId="0" borderId="5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6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1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1" fillId="0" borderId="8" xfId="0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2" borderId="11" xfId="0" applyFill="1" applyBorder="1" applyAlignment="1">
      <alignment/>
    </xf>
    <xf numFmtId="0" fontId="0" fillId="0" borderId="12" xfId="0" applyBorder="1" applyAlignment="1">
      <alignment/>
    </xf>
    <xf numFmtId="167" fontId="0" fillId="0" borderId="16" xfId="0" applyNumberFormat="1" applyBorder="1" applyAlignment="1">
      <alignment/>
    </xf>
    <xf numFmtId="167" fontId="0" fillId="0" borderId="17" xfId="0" applyNumberFormat="1" applyBorder="1" applyAlignment="1">
      <alignment/>
    </xf>
    <xf numFmtId="0" fontId="0" fillId="2" borderId="13" xfId="0" applyFill="1" applyBorder="1" applyAlignment="1">
      <alignment/>
    </xf>
    <xf numFmtId="0" fontId="0" fillId="0" borderId="14" xfId="0" applyBorder="1" applyAlignment="1">
      <alignment/>
    </xf>
    <xf numFmtId="0" fontId="0" fillId="2" borderId="14" xfId="0" applyFill="1" applyBorder="1" applyAlignment="1">
      <alignment/>
    </xf>
    <xf numFmtId="167" fontId="0" fillId="0" borderId="6" xfId="0" applyNumberFormat="1" applyBorder="1" applyAlignment="1">
      <alignment/>
    </xf>
    <xf numFmtId="167" fontId="0" fillId="0" borderId="10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77"/>
  <sheetViews>
    <sheetView tabSelected="1" workbookViewId="0" topLeftCell="A148">
      <selection activeCell="I163" sqref="I163"/>
    </sheetView>
  </sheetViews>
  <sheetFormatPr defaultColWidth="9.140625" defaultRowHeight="12.75"/>
  <cols>
    <col min="2" max="2" width="18.00390625" style="0" bestFit="1" customWidth="1"/>
    <col min="3" max="3" width="22.00390625" style="0" customWidth="1"/>
    <col min="4" max="4" width="18.28125" style="0" customWidth="1"/>
    <col min="5" max="5" width="14.00390625" style="0" customWidth="1"/>
    <col min="6" max="6" width="8.140625" style="0" customWidth="1"/>
  </cols>
  <sheetData>
    <row r="1" spans="2:5" ht="26.25" thickBot="1">
      <c r="B1" s="8" t="s">
        <v>1</v>
      </c>
      <c r="C1" s="9"/>
      <c r="D1" s="9"/>
      <c r="E1" s="9"/>
    </row>
    <row r="2" spans="2:6" ht="26.25" customHeight="1">
      <c r="B2" s="43" t="s">
        <v>0</v>
      </c>
      <c r="C2" s="41" t="s">
        <v>5</v>
      </c>
      <c r="D2" s="41" t="s">
        <v>2</v>
      </c>
      <c r="E2" s="45" t="s">
        <v>6</v>
      </c>
      <c r="F2" s="46"/>
    </row>
    <row r="3" spans="2:16" ht="15.75" customHeight="1" thickBot="1">
      <c r="B3" s="44"/>
      <c r="C3" s="42"/>
      <c r="D3" s="42"/>
      <c r="E3" s="10" t="s">
        <v>3</v>
      </c>
      <c r="F3" s="21">
        <f>BPI!D10</f>
        <v>293.95833333333337</v>
      </c>
      <c r="G3" s="1"/>
      <c r="H3" s="1"/>
      <c r="I3" s="1"/>
      <c r="J3" s="1"/>
      <c r="K3" s="1"/>
      <c r="L3" s="1"/>
      <c r="M3" s="1"/>
      <c r="N3" s="1"/>
      <c r="O3" s="1"/>
      <c r="P3" s="1"/>
    </row>
    <row r="4" spans="2:6" ht="12.75">
      <c r="B4" s="4">
        <v>38780</v>
      </c>
      <c r="C4" s="17">
        <f>(240+260+310+315+315+325)/6</f>
        <v>294.1666666666667</v>
      </c>
      <c r="D4" s="5"/>
      <c r="E4" s="51"/>
      <c r="F4" s="52"/>
    </row>
    <row r="5" spans="2:6" ht="12.75">
      <c r="B5" s="4">
        <f aca="true" t="shared" si="0" ref="B5:B68">B4+7</f>
        <v>38787</v>
      </c>
      <c r="C5" s="18">
        <f>(240+260+310+315+315+325)/6</f>
        <v>294.1666666666667</v>
      </c>
      <c r="D5" s="5"/>
      <c r="E5" s="47"/>
      <c r="F5" s="48"/>
    </row>
    <row r="6" spans="2:6" ht="12.75">
      <c r="B6" s="4">
        <f t="shared" si="0"/>
        <v>38794</v>
      </c>
      <c r="C6" s="18">
        <f>(240+260+310+315+315+325)/6</f>
        <v>294.1666666666667</v>
      </c>
      <c r="D6" s="5"/>
      <c r="E6" s="47"/>
      <c r="F6" s="48"/>
    </row>
    <row r="7" spans="2:6" ht="12.75">
      <c r="B7" s="4">
        <f t="shared" si="0"/>
        <v>38801</v>
      </c>
      <c r="C7" s="18">
        <f>(240+260+310+315+315+325)/6</f>
        <v>294.1666666666667</v>
      </c>
      <c r="D7" s="23">
        <f>SUM(C4:C7)/COUNTA(C4:C7)</f>
        <v>294.1666666666667</v>
      </c>
      <c r="E7" s="49">
        <f>D7/F$3</f>
        <v>1.0007087172218285</v>
      </c>
      <c r="F7" s="50"/>
    </row>
    <row r="8" spans="2:6" ht="12.75">
      <c r="B8" s="22">
        <f t="shared" si="0"/>
        <v>38808</v>
      </c>
      <c r="C8" s="20">
        <f>(240+260+310+315+315+325)/6</f>
        <v>294.1666666666667</v>
      </c>
      <c r="D8" s="5"/>
      <c r="E8" s="47"/>
      <c r="F8" s="48"/>
    </row>
    <row r="9" spans="2:6" ht="12.75">
      <c r="B9" s="4">
        <f t="shared" si="0"/>
        <v>38815</v>
      </c>
      <c r="C9" s="18">
        <f>(245+260+310+315+315+325)/6</f>
        <v>295</v>
      </c>
      <c r="D9" s="5"/>
      <c r="E9" s="47"/>
      <c r="F9" s="48"/>
    </row>
    <row r="10" spans="2:6" ht="12.75">
      <c r="B10" s="4">
        <f t="shared" si="0"/>
        <v>38822</v>
      </c>
      <c r="C10" s="18">
        <f>(245+260+315+325+315+325)/6</f>
        <v>297.5</v>
      </c>
      <c r="D10" s="5"/>
      <c r="E10" s="47"/>
      <c r="F10" s="48"/>
    </row>
    <row r="11" spans="2:6" ht="12.75">
      <c r="B11" s="4">
        <f t="shared" si="0"/>
        <v>38829</v>
      </c>
      <c r="C11" s="18">
        <f>(245+265+315+325+320+340)/6</f>
        <v>301.6666666666667</v>
      </c>
      <c r="D11" s="23">
        <f>SUM(C8:C11)/COUNTA(C8:C11)</f>
        <v>297.08333333333337</v>
      </c>
      <c r="E11" s="49">
        <f>D11/F$3</f>
        <v>1.0106307583274274</v>
      </c>
      <c r="F11" s="50"/>
    </row>
    <row r="12" spans="2:6" ht="12.75">
      <c r="B12" s="22">
        <f t="shared" si="0"/>
        <v>38836</v>
      </c>
      <c r="C12" s="20">
        <f>(245+265+315+325+325+340)/6</f>
        <v>302.5</v>
      </c>
      <c r="D12" s="5"/>
      <c r="E12" s="47"/>
      <c r="F12" s="48"/>
    </row>
    <row r="13" spans="2:6" ht="12.75">
      <c r="B13" s="4">
        <f t="shared" si="0"/>
        <v>38843</v>
      </c>
      <c r="C13" s="18">
        <f>(260+300+340+350+345+365)/6</f>
        <v>326.6666666666667</v>
      </c>
      <c r="D13" s="5"/>
      <c r="E13" s="47"/>
      <c r="F13" s="48"/>
    </row>
    <row r="14" spans="2:6" ht="12.75">
      <c r="B14" s="4">
        <f t="shared" si="0"/>
        <v>38850</v>
      </c>
      <c r="C14" s="18">
        <f>(260+300+345+350+345+365)/6</f>
        <v>327.5</v>
      </c>
      <c r="D14" s="5"/>
      <c r="E14" s="47"/>
      <c r="F14" s="48"/>
    </row>
    <row r="15" spans="2:6" ht="12.75">
      <c r="B15" s="4">
        <f t="shared" si="0"/>
        <v>38857</v>
      </c>
      <c r="C15" s="18">
        <f>(260+340+345+350+335+375)/6</f>
        <v>334.1666666666667</v>
      </c>
      <c r="D15" s="5"/>
      <c r="E15" s="47"/>
      <c r="F15" s="48"/>
    </row>
    <row r="16" spans="2:6" ht="12.75">
      <c r="B16" s="6">
        <f t="shared" si="0"/>
        <v>38864</v>
      </c>
      <c r="C16" s="19">
        <f>(260+400+345+350+335+375)/6</f>
        <v>344.1666666666667</v>
      </c>
      <c r="D16" s="23">
        <f>SUM(C13:C16)/COUNTA(C13:C16)</f>
        <v>333.12500000000006</v>
      </c>
      <c r="E16" s="49">
        <f>D16/F$3</f>
        <v>1.1332388377037563</v>
      </c>
      <c r="F16" s="50"/>
    </row>
    <row r="17" spans="2:6" ht="12.75">
      <c r="B17" s="4">
        <f t="shared" si="0"/>
        <v>38871</v>
      </c>
      <c r="C17" s="20">
        <f>(270+425+345+350+335+375)/6</f>
        <v>350</v>
      </c>
      <c r="D17" s="5"/>
      <c r="E17" s="47"/>
      <c r="F17" s="48"/>
    </row>
    <row r="18" spans="2:6" ht="12.75">
      <c r="B18" s="4">
        <f t="shared" si="0"/>
        <v>38878</v>
      </c>
      <c r="C18" s="18">
        <f>(300+445+345+350+335+375)/6</f>
        <v>358.3333333333333</v>
      </c>
      <c r="D18" s="5"/>
      <c r="E18" s="47"/>
      <c r="F18" s="48"/>
    </row>
    <row r="19" spans="2:6" ht="12.75">
      <c r="B19" s="4">
        <f t="shared" si="0"/>
        <v>38885</v>
      </c>
      <c r="C19" s="18">
        <f>(300+445+345+350+335+375)/6</f>
        <v>358.3333333333333</v>
      </c>
      <c r="D19" s="5"/>
      <c r="E19" s="47"/>
      <c r="F19" s="48"/>
    </row>
    <row r="20" spans="2:6" ht="12.75">
      <c r="B20" s="4">
        <f t="shared" si="0"/>
        <v>38892</v>
      </c>
      <c r="C20" s="18">
        <f>(320+445+345+350+335+375)/6</f>
        <v>361.6666666666667</v>
      </c>
      <c r="D20" s="23">
        <f>SUM(C17:C20)/COUNTA(C17:C20)</f>
        <v>357.0833333333333</v>
      </c>
      <c r="E20" s="49">
        <f>D20/F$3</f>
        <v>1.2147413182140323</v>
      </c>
      <c r="F20" s="50"/>
    </row>
    <row r="21" spans="2:6" ht="12.75">
      <c r="B21" s="22">
        <f t="shared" si="0"/>
        <v>38899</v>
      </c>
      <c r="C21" s="20">
        <f>(320+445+345+350+340+375)/6</f>
        <v>362.5</v>
      </c>
      <c r="D21" s="5"/>
      <c r="E21" s="47"/>
      <c r="F21" s="48"/>
    </row>
    <row r="22" spans="2:6" ht="12.75">
      <c r="B22" s="4">
        <f t="shared" si="0"/>
        <v>38906</v>
      </c>
      <c r="C22" s="18">
        <f>(320+445+350+360+345+375)/6</f>
        <v>365.8333333333333</v>
      </c>
      <c r="D22" s="5"/>
      <c r="E22" s="47"/>
      <c r="F22" s="48"/>
    </row>
    <row r="23" spans="2:6" ht="12.75">
      <c r="B23" s="4">
        <f t="shared" si="0"/>
        <v>38913</v>
      </c>
      <c r="C23" s="18">
        <f>(320+445+350+360+345+375)/6</f>
        <v>365.8333333333333</v>
      </c>
      <c r="D23" s="5"/>
      <c r="E23" s="47"/>
      <c r="F23" s="48"/>
    </row>
    <row r="24" spans="2:6" ht="12.75">
      <c r="B24" s="4">
        <f t="shared" si="0"/>
        <v>38920</v>
      </c>
      <c r="C24" s="18">
        <f>(340+445+350+360+345+375)/6</f>
        <v>369.1666666666667</v>
      </c>
      <c r="D24" s="23">
        <f>SUM(C21:C24)/COUNTA(C21:C24)</f>
        <v>365.8333333333333</v>
      </c>
      <c r="E24" s="49">
        <f>D24/F$3</f>
        <v>1.244507441530829</v>
      </c>
      <c r="F24" s="50"/>
    </row>
    <row r="25" spans="2:6" ht="12.75">
      <c r="B25" s="22">
        <f t="shared" si="0"/>
        <v>38927</v>
      </c>
      <c r="C25" s="20">
        <f>(340+445+350+360+355+375)/6</f>
        <v>370.8333333333333</v>
      </c>
      <c r="D25" s="5"/>
      <c r="E25" s="47"/>
      <c r="F25" s="48"/>
    </row>
    <row r="26" spans="2:6" ht="12.75">
      <c r="B26" s="4">
        <f t="shared" si="0"/>
        <v>38934</v>
      </c>
      <c r="C26" s="18">
        <f>(340+445+350+360+360+385)/6</f>
        <v>373.3333333333333</v>
      </c>
      <c r="D26" s="5"/>
      <c r="E26" s="47"/>
      <c r="F26" s="48"/>
    </row>
    <row r="27" spans="2:6" ht="12.75">
      <c r="B27" s="4">
        <f t="shared" si="0"/>
        <v>38941</v>
      </c>
      <c r="C27" s="18">
        <f>(350+445+350+360+360+385)/6</f>
        <v>375</v>
      </c>
      <c r="D27" s="5"/>
      <c r="E27" s="47"/>
      <c r="F27" s="48"/>
    </row>
    <row r="28" spans="2:6" ht="12.75">
      <c r="B28" s="4">
        <f t="shared" si="0"/>
        <v>38948</v>
      </c>
      <c r="C28" s="18">
        <f>(350+445+350+360+360+385)/6</f>
        <v>375</v>
      </c>
      <c r="D28" s="5"/>
      <c r="E28" s="47"/>
      <c r="F28" s="48"/>
    </row>
    <row r="29" spans="2:6" ht="12.75">
      <c r="B29" s="6">
        <f t="shared" si="0"/>
        <v>38955</v>
      </c>
      <c r="C29" s="19">
        <f>(350+445+350+360+360+385)/6</f>
        <v>375</v>
      </c>
      <c r="D29" s="23">
        <f>SUM(C26:C29)/COUNTA(C26:C29)</f>
        <v>374.5833333333333</v>
      </c>
      <c r="E29" s="49">
        <f>D29/F$3</f>
        <v>1.2742735648476256</v>
      </c>
      <c r="F29" s="50"/>
    </row>
    <row r="30" spans="2:6" ht="12.75">
      <c r="B30" s="4">
        <f t="shared" si="0"/>
        <v>38962</v>
      </c>
      <c r="C30" s="20">
        <f>(350+445+350+360+360+385)/6</f>
        <v>375</v>
      </c>
      <c r="D30" s="5"/>
      <c r="E30" s="47"/>
      <c r="F30" s="48"/>
    </row>
    <row r="31" spans="2:6" ht="12.75">
      <c r="B31" s="4">
        <f t="shared" si="0"/>
        <v>38969</v>
      </c>
      <c r="C31" s="18">
        <f>(350+445+350+360+360+385)/6</f>
        <v>375</v>
      </c>
      <c r="D31" s="5"/>
      <c r="E31" s="47"/>
      <c r="F31" s="48"/>
    </row>
    <row r="32" spans="2:6" ht="12.75">
      <c r="B32" s="4">
        <f t="shared" si="0"/>
        <v>38976</v>
      </c>
      <c r="C32" s="18">
        <f>(350+445+350+360+350+375)/6</f>
        <v>371.6666666666667</v>
      </c>
      <c r="D32" s="5"/>
      <c r="E32" s="47"/>
      <c r="F32" s="48"/>
    </row>
    <row r="33" spans="2:6" ht="12.75">
      <c r="B33" s="4">
        <f t="shared" si="0"/>
        <v>38983</v>
      </c>
      <c r="C33" s="19">
        <f>(350+435+335+340+345+370)/6</f>
        <v>362.5</v>
      </c>
      <c r="D33" s="23">
        <f>SUM(C30:C33)/COUNTA(C30:C33)</f>
        <v>371.0416666666667</v>
      </c>
      <c r="E33" s="49">
        <f>D33/F$3</f>
        <v>1.2622253720765413</v>
      </c>
      <c r="F33" s="50"/>
    </row>
    <row r="34" spans="2:6" ht="12.75">
      <c r="B34" s="22">
        <f t="shared" si="0"/>
        <v>38990</v>
      </c>
      <c r="C34" s="20">
        <f>(345+425+335+340+340+360)/6</f>
        <v>357.5</v>
      </c>
      <c r="D34" s="5"/>
      <c r="E34" s="47"/>
      <c r="F34" s="48"/>
    </row>
    <row r="35" spans="2:6" ht="12.75">
      <c r="B35" s="4">
        <f t="shared" si="0"/>
        <v>38997</v>
      </c>
      <c r="C35" s="18">
        <f>(345+425+330+335+330+350)/6</f>
        <v>352.5</v>
      </c>
      <c r="D35" s="5"/>
      <c r="E35" s="47"/>
      <c r="F35" s="48"/>
    </row>
    <row r="36" spans="2:6" ht="12.75">
      <c r="B36" s="4">
        <f t="shared" si="0"/>
        <v>39004</v>
      </c>
      <c r="C36" s="18">
        <f>(340+400+325+335+315+345)/6</f>
        <v>343.3333333333333</v>
      </c>
      <c r="D36" s="5"/>
      <c r="E36" s="47"/>
      <c r="F36" s="48"/>
    </row>
    <row r="37" spans="2:6" ht="12.75">
      <c r="B37" s="4">
        <f t="shared" si="0"/>
        <v>39011</v>
      </c>
      <c r="C37" s="19">
        <f>(340+400+325+335+310+335)/6</f>
        <v>340.8333333333333</v>
      </c>
      <c r="D37" s="23">
        <f>SUM(C34:C37)/COUNTA(C34:C37)</f>
        <v>348.54166666666663</v>
      </c>
      <c r="E37" s="49">
        <f>D37/F$3</f>
        <v>1.1856839121190643</v>
      </c>
      <c r="F37" s="50"/>
    </row>
    <row r="38" spans="2:6" ht="12.75">
      <c r="B38" s="22">
        <f t="shared" si="0"/>
        <v>39018</v>
      </c>
      <c r="C38" s="20">
        <f>(335+400+325+335+305+335)/6</f>
        <v>339.1666666666667</v>
      </c>
      <c r="D38" s="5"/>
      <c r="E38" s="47"/>
      <c r="F38" s="48"/>
    </row>
    <row r="39" spans="2:6" ht="12.75">
      <c r="B39" s="4">
        <f t="shared" si="0"/>
        <v>39025</v>
      </c>
      <c r="C39" s="18">
        <f>(330+400+315+335+300+330)/6</f>
        <v>335</v>
      </c>
      <c r="D39" s="5"/>
      <c r="E39" s="47"/>
      <c r="F39" s="48"/>
    </row>
    <row r="40" spans="2:6" ht="12.75">
      <c r="B40" s="4">
        <f t="shared" si="0"/>
        <v>39032</v>
      </c>
      <c r="C40" s="18">
        <f>(330+400+315+320+290+325)/6</f>
        <v>330</v>
      </c>
      <c r="D40" s="5"/>
      <c r="E40" s="47"/>
      <c r="F40" s="48"/>
    </row>
    <row r="41" spans="2:6" ht="12.75">
      <c r="B41" s="4">
        <f t="shared" si="0"/>
        <v>39039</v>
      </c>
      <c r="C41" s="18">
        <f>(330+400+315+320+290+320)/6</f>
        <v>329.1666666666667</v>
      </c>
      <c r="D41" s="5"/>
      <c r="E41" s="47"/>
      <c r="F41" s="48"/>
    </row>
    <row r="42" spans="2:6" ht="12.75">
      <c r="B42" s="6">
        <f t="shared" si="0"/>
        <v>39046</v>
      </c>
      <c r="C42" s="19">
        <f>(330+400+315+320+290+320)/6</f>
        <v>329.1666666666667</v>
      </c>
      <c r="D42" s="23">
        <f>SUM(C39:C42)/COUNTA(C39:C42)</f>
        <v>330.83333333333337</v>
      </c>
      <c r="E42" s="49">
        <f>D42/F$3</f>
        <v>1.1254429482636428</v>
      </c>
      <c r="F42" s="50"/>
    </row>
    <row r="43" spans="2:6" ht="12.75">
      <c r="B43" s="4">
        <f t="shared" si="0"/>
        <v>39053</v>
      </c>
      <c r="C43" s="20">
        <f>(330+400+315+320+285+320)/6</f>
        <v>328.3333333333333</v>
      </c>
      <c r="D43" s="5"/>
      <c r="E43" s="47"/>
      <c r="F43" s="48"/>
    </row>
    <row r="44" spans="2:6" ht="12.75">
      <c r="B44" s="4">
        <f t="shared" si="0"/>
        <v>39060</v>
      </c>
      <c r="C44" s="18">
        <f>(330+400+315+320+285+320)/6</f>
        <v>328.3333333333333</v>
      </c>
      <c r="D44" s="5"/>
      <c r="E44" s="47"/>
      <c r="F44" s="48"/>
    </row>
    <row r="45" spans="2:6" ht="12.75">
      <c r="B45" s="4">
        <f t="shared" si="0"/>
        <v>39067</v>
      </c>
      <c r="C45" s="18">
        <f>(330+400+315+320+285+320)/6</f>
        <v>328.3333333333333</v>
      </c>
      <c r="D45" s="5"/>
      <c r="E45" s="47"/>
      <c r="F45" s="48"/>
    </row>
    <row r="46" spans="2:6" ht="12.75">
      <c r="B46" s="6">
        <f>B45+7</f>
        <v>39074</v>
      </c>
      <c r="C46" s="19">
        <f>(330+400+315+320+285+320)/6</f>
        <v>328.3333333333333</v>
      </c>
      <c r="D46" s="23">
        <f>SUM(C43:C46)/COUNTA(C43:C46)</f>
        <v>328.3333333333333</v>
      </c>
      <c r="E46" s="49">
        <f>D46/F$3</f>
        <v>1.1169383416017007</v>
      </c>
      <c r="F46" s="50"/>
    </row>
    <row r="47" spans="2:6" ht="12.75">
      <c r="B47" s="4">
        <f t="shared" si="0"/>
        <v>39081</v>
      </c>
      <c r="C47" s="20">
        <f>(330+400+315+320+285+320)/6</f>
        <v>328.3333333333333</v>
      </c>
      <c r="D47" s="5"/>
      <c r="E47" s="47"/>
      <c r="F47" s="48"/>
    </row>
    <row r="48" spans="2:6" ht="12.75">
      <c r="B48" s="4">
        <f t="shared" si="0"/>
        <v>39088</v>
      </c>
      <c r="C48" s="18">
        <f>(325+400+315+320+280+310)/6</f>
        <v>325</v>
      </c>
      <c r="D48" s="5"/>
      <c r="E48" s="47"/>
      <c r="F48" s="48"/>
    </row>
    <row r="49" spans="2:6" ht="12.75">
      <c r="B49" s="4">
        <f t="shared" si="0"/>
        <v>39095</v>
      </c>
      <c r="C49" s="18">
        <f>(325+400+315+320+280+310)/6</f>
        <v>325</v>
      </c>
      <c r="D49" s="5"/>
      <c r="E49" s="47"/>
      <c r="F49" s="48"/>
    </row>
    <row r="50" spans="2:6" ht="12.75">
      <c r="B50" s="4">
        <f t="shared" si="0"/>
        <v>39102</v>
      </c>
      <c r="C50" s="18">
        <f>(325+400+315+320+280+300)/6</f>
        <v>323.3333333333333</v>
      </c>
      <c r="D50" s="5"/>
      <c r="E50" s="47"/>
      <c r="F50" s="48"/>
    </row>
    <row r="51" spans="2:6" ht="12.75">
      <c r="B51" s="6">
        <f t="shared" si="0"/>
        <v>39109</v>
      </c>
      <c r="C51" s="19">
        <f>(325+400+315+320+280+300)/6</f>
        <v>323.3333333333333</v>
      </c>
      <c r="D51" s="23">
        <f>SUM(C48:C51)/COUNTA(C48:C51)</f>
        <v>324.16666666666663</v>
      </c>
      <c r="E51" s="49">
        <f>D51/F$3</f>
        <v>1.1027639971651308</v>
      </c>
      <c r="F51" s="50"/>
    </row>
    <row r="52" spans="2:6" ht="12.75">
      <c r="B52" s="4">
        <f t="shared" si="0"/>
        <v>39116</v>
      </c>
      <c r="C52" s="20">
        <f>(325+400+300+315+270+290)/6</f>
        <v>316.6666666666667</v>
      </c>
      <c r="D52" s="5"/>
      <c r="E52" s="47"/>
      <c r="F52" s="48"/>
    </row>
    <row r="53" spans="2:6" ht="12.75">
      <c r="B53" s="4">
        <f t="shared" si="0"/>
        <v>39123</v>
      </c>
      <c r="C53" s="18">
        <f>(325+400+300+305+270+290)/6</f>
        <v>315</v>
      </c>
      <c r="D53" s="5"/>
      <c r="E53" s="47"/>
      <c r="F53" s="48"/>
    </row>
    <row r="54" spans="2:6" ht="12.75">
      <c r="B54" s="4">
        <f t="shared" si="0"/>
        <v>39130</v>
      </c>
      <c r="C54" s="18">
        <f>(325+390+300+305+270+290)/6</f>
        <v>313.3333333333333</v>
      </c>
      <c r="D54" s="5"/>
      <c r="E54" s="47"/>
      <c r="F54" s="48"/>
    </row>
    <row r="55" spans="2:6" ht="12.75">
      <c r="B55" s="6">
        <f t="shared" si="0"/>
        <v>39137</v>
      </c>
      <c r="C55" s="19">
        <f>(325+390+300+305+270+290)/6</f>
        <v>313.3333333333333</v>
      </c>
      <c r="D55" s="23">
        <f>SUM(C52:C55)/COUNTA(C52:C55)</f>
        <v>314.5833333333333</v>
      </c>
      <c r="E55" s="49">
        <f>D55/F$3</f>
        <v>1.0701630049610205</v>
      </c>
      <c r="F55" s="50"/>
    </row>
    <row r="56" spans="2:6" ht="12.75">
      <c r="B56" s="4">
        <f t="shared" si="0"/>
        <v>39144</v>
      </c>
      <c r="C56" s="20">
        <f>(325+390+300+320+270+305)/6</f>
        <v>318.3333333333333</v>
      </c>
      <c r="D56" s="5"/>
      <c r="E56" s="47"/>
      <c r="F56" s="48"/>
    </row>
    <row r="57" spans="2:6" ht="12.75">
      <c r="B57" s="4">
        <f t="shared" si="0"/>
        <v>39151</v>
      </c>
      <c r="C57" s="18">
        <f>(325+390+315+320+280+305)/6</f>
        <v>322.5</v>
      </c>
      <c r="D57" s="5"/>
      <c r="E57" s="47"/>
      <c r="F57" s="48"/>
    </row>
    <row r="58" spans="2:6" ht="12.75">
      <c r="B58" s="4">
        <f t="shared" si="0"/>
        <v>39158</v>
      </c>
      <c r="C58" s="18">
        <f>(320+380+315+320+280+305)/6</f>
        <v>320</v>
      </c>
      <c r="D58" s="5"/>
      <c r="E58" s="47"/>
      <c r="F58" s="48"/>
    </row>
    <row r="59" spans="2:6" ht="12.75">
      <c r="B59" s="6">
        <f t="shared" si="0"/>
        <v>39165</v>
      </c>
      <c r="C59" s="19">
        <f>(315+380+315+320+280+305)/6</f>
        <v>319.1666666666667</v>
      </c>
      <c r="D59" s="23">
        <f>SUM(C56:C59)/COUNTA(C56:C59)</f>
        <v>320</v>
      </c>
      <c r="E59" s="49">
        <f>D59/F$3</f>
        <v>1.0885896527285612</v>
      </c>
      <c r="F59" s="50"/>
    </row>
    <row r="60" spans="2:6" ht="12.75">
      <c r="B60" s="4">
        <f t="shared" si="0"/>
        <v>39172</v>
      </c>
      <c r="C60" s="20">
        <f>(315+380+315+320+280+305)/6</f>
        <v>319.1666666666667</v>
      </c>
      <c r="D60" s="5"/>
      <c r="E60" s="47"/>
      <c r="F60" s="48"/>
    </row>
    <row r="61" spans="2:6" ht="12.75">
      <c r="B61" s="4">
        <f t="shared" si="0"/>
        <v>39179</v>
      </c>
      <c r="C61" s="18">
        <f>(315+380+315+320+280+305)/6</f>
        <v>319.1666666666667</v>
      </c>
      <c r="D61" s="5"/>
      <c r="E61" s="47"/>
      <c r="F61" s="48"/>
    </row>
    <row r="62" spans="2:6" ht="12.75">
      <c r="B62" s="4">
        <f t="shared" si="0"/>
        <v>39186</v>
      </c>
      <c r="C62" s="18">
        <f>(315+380+315+320+280+305)/6</f>
        <v>319.1666666666667</v>
      </c>
      <c r="D62" s="5"/>
      <c r="E62" s="47"/>
      <c r="F62" s="48"/>
    </row>
    <row r="63" spans="2:6" ht="12.75">
      <c r="B63" s="6">
        <f t="shared" si="0"/>
        <v>39193</v>
      </c>
      <c r="C63" s="19">
        <f>(320+380+315+320+280+300)/6</f>
        <v>319.1666666666667</v>
      </c>
      <c r="D63" s="23">
        <f>SUM(C60:C63)/COUNTA(C60:C63)</f>
        <v>319.1666666666667</v>
      </c>
      <c r="E63" s="49">
        <f>D63/F$3</f>
        <v>1.0857547838412474</v>
      </c>
      <c r="F63" s="50"/>
    </row>
    <row r="64" spans="2:6" ht="12.75">
      <c r="B64" s="4">
        <f t="shared" si="0"/>
        <v>39200</v>
      </c>
      <c r="C64" s="20">
        <f>(320+365+315+320+280+300)/6</f>
        <v>316.6666666666667</v>
      </c>
      <c r="D64" s="5"/>
      <c r="E64" s="47"/>
      <c r="F64" s="48"/>
    </row>
    <row r="65" spans="2:6" ht="12.75">
      <c r="B65" s="4">
        <f t="shared" si="0"/>
        <v>39207</v>
      </c>
      <c r="C65" s="18">
        <f>(320+365+315+335+280+300)/6</f>
        <v>319.1666666666667</v>
      </c>
      <c r="D65" s="5"/>
      <c r="E65" s="47"/>
      <c r="F65" s="48"/>
    </row>
    <row r="66" spans="2:6" ht="12.75">
      <c r="B66" s="4">
        <f t="shared" si="0"/>
        <v>39214</v>
      </c>
      <c r="C66" s="18">
        <f>(320+365+325+335+280+300)/6</f>
        <v>320.8333333333333</v>
      </c>
      <c r="D66" s="5"/>
      <c r="E66" s="47"/>
      <c r="F66" s="48"/>
    </row>
    <row r="67" spans="2:6" ht="12.75">
      <c r="B67" s="4">
        <f t="shared" si="0"/>
        <v>39221</v>
      </c>
      <c r="C67" s="18">
        <f>(325+365+325+335+285+305)/6</f>
        <v>323.3333333333333</v>
      </c>
      <c r="D67" s="5"/>
      <c r="E67" s="47"/>
      <c r="F67" s="48"/>
    </row>
    <row r="68" spans="2:6" ht="12.75">
      <c r="B68" s="6">
        <f t="shared" si="0"/>
        <v>39228</v>
      </c>
      <c r="C68" s="19">
        <f>(325+365+325+335+285+305)/6</f>
        <v>323.3333333333333</v>
      </c>
      <c r="D68" s="23">
        <f>SUM(C65:C68)/COUNTA(C65:C68)</f>
        <v>321.66666666666663</v>
      </c>
      <c r="E68" s="49">
        <f>D68/F$3</f>
        <v>1.094259390503189</v>
      </c>
      <c r="F68" s="50"/>
    </row>
    <row r="69" spans="2:6" ht="12.75">
      <c r="B69" s="4">
        <f aca="true" t="shared" si="1" ref="B69:B77">B68+7</f>
        <v>39235</v>
      </c>
      <c r="C69" s="20">
        <f>(325+365+325+335+285+305)/6</f>
        <v>323.3333333333333</v>
      </c>
      <c r="D69" s="5"/>
      <c r="E69" s="47"/>
      <c r="F69" s="48"/>
    </row>
    <row r="70" spans="2:6" ht="12.75">
      <c r="B70" s="4">
        <f t="shared" si="1"/>
        <v>39242</v>
      </c>
      <c r="C70" s="18">
        <f>(325+365+325+335+290+305)/6</f>
        <v>324.1666666666667</v>
      </c>
      <c r="D70" s="5"/>
      <c r="E70" s="47"/>
      <c r="F70" s="48"/>
    </row>
    <row r="71" spans="2:6" ht="12.75">
      <c r="B71" s="4">
        <f t="shared" si="1"/>
        <v>39249</v>
      </c>
      <c r="C71" s="18">
        <f>(325+360+325+335+290+305)/6</f>
        <v>323.3333333333333</v>
      </c>
      <c r="D71" s="5"/>
      <c r="E71" s="47"/>
      <c r="F71" s="48"/>
    </row>
    <row r="72" spans="2:6" ht="12.75">
      <c r="B72" s="6">
        <f t="shared" si="1"/>
        <v>39256</v>
      </c>
      <c r="C72" s="19">
        <f>(325+360+325+335+290+305)/6</f>
        <v>323.3333333333333</v>
      </c>
      <c r="D72" s="23">
        <f>SUM(C69:C72)/COUNTA(C69:C72)</f>
        <v>323.54166666666663</v>
      </c>
      <c r="E72" s="49">
        <f>D72/F$3</f>
        <v>1.1006378454996453</v>
      </c>
      <c r="F72" s="50"/>
    </row>
    <row r="73" spans="2:6" ht="12.75">
      <c r="B73" s="4">
        <f t="shared" si="1"/>
        <v>39263</v>
      </c>
      <c r="C73" s="18">
        <f>(325+360+325+335+290+305)/6</f>
        <v>323.3333333333333</v>
      </c>
      <c r="D73" s="5"/>
      <c r="E73" s="47"/>
      <c r="F73" s="48"/>
    </row>
    <row r="74" spans="2:6" ht="12.75">
      <c r="B74" s="4">
        <f t="shared" si="1"/>
        <v>39270</v>
      </c>
      <c r="C74" s="18">
        <f>(330+360+325+335+290+305)/6</f>
        <v>324.1666666666667</v>
      </c>
      <c r="D74" s="5"/>
      <c r="E74" s="47"/>
      <c r="F74" s="48"/>
    </row>
    <row r="75" spans="2:6" ht="12.75">
      <c r="B75" s="4">
        <f t="shared" si="1"/>
        <v>39277</v>
      </c>
      <c r="C75" s="18">
        <f>(330+360+325+335+290+315)/6</f>
        <v>325.8333333333333</v>
      </c>
      <c r="D75" s="5"/>
      <c r="E75" s="47"/>
      <c r="F75" s="48"/>
    </row>
    <row r="76" spans="2:6" ht="12.75">
      <c r="B76" s="6">
        <f t="shared" si="1"/>
        <v>39284</v>
      </c>
      <c r="C76" s="19">
        <f>(330+360+325+350+290+315)/6</f>
        <v>328.3333333333333</v>
      </c>
      <c r="D76" s="23">
        <f>SUM(C73:C76)/COUNTA(C73:C76)</f>
        <v>325.41666666666663</v>
      </c>
      <c r="E76" s="49">
        <f>D76/F$3</f>
        <v>1.1070163004961018</v>
      </c>
      <c r="F76" s="50"/>
    </row>
    <row r="77" spans="2:6" ht="12.75">
      <c r="B77" s="4">
        <f t="shared" si="1"/>
        <v>39291</v>
      </c>
      <c r="C77" s="18">
        <f>(330+360+340+350+300+325)/6</f>
        <v>334.1666666666667</v>
      </c>
      <c r="D77" s="5"/>
      <c r="E77" s="47"/>
      <c r="F77" s="48"/>
    </row>
    <row r="78" spans="2:6" ht="12.75">
      <c r="B78" s="4">
        <f aca="true" t="shared" si="2" ref="B78:B141">B77+7</f>
        <v>39298</v>
      </c>
      <c r="C78" s="18">
        <f>(330+360+340+350+300+335)/6</f>
        <v>335.8333333333333</v>
      </c>
      <c r="D78" s="5"/>
      <c r="E78" s="47"/>
      <c r="F78" s="48"/>
    </row>
    <row r="79" spans="2:6" ht="12.75">
      <c r="B79" s="4">
        <f t="shared" si="2"/>
        <v>39305</v>
      </c>
      <c r="C79" s="18">
        <f>(330+360+340+350+305+335)/6</f>
        <v>336.6666666666667</v>
      </c>
      <c r="D79" s="5"/>
      <c r="E79" s="47"/>
      <c r="F79" s="48"/>
    </row>
    <row r="80" spans="2:6" ht="12.75">
      <c r="B80" s="4">
        <f t="shared" si="2"/>
        <v>39312</v>
      </c>
      <c r="C80" s="18">
        <f>(330+360+340+350+315+350)/6</f>
        <v>340.8333333333333</v>
      </c>
      <c r="D80" s="5"/>
      <c r="E80" s="47"/>
      <c r="F80" s="48"/>
    </row>
    <row r="81" spans="2:6" ht="12.75">
      <c r="B81" s="4">
        <f t="shared" si="2"/>
        <v>39319</v>
      </c>
      <c r="C81" s="19">
        <f>(330+360+340+350+315+350)/6</f>
        <v>340.8333333333333</v>
      </c>
      <c r="D81" s="23">
        <f>SUM(C78:C81)/COUNTA(C78:C81)</f>
        <v>338.54166666666663</v>
      </c>
      <c r="E81" s="49">
        <f>D81/F$3</f>
        <v>1.1516654854712967</v>
      </c>
      <c r="F81" s="50"/>
    </row>
    <row r="82" spans="2:6" ht="12.75">
      <c r="B82" s="22">
        <f t="shared" si="2"/>
        <v>39326</v>
      </c>
      <c r="C82" s="18">
        <f>(330+360+340+350+315+350)/6</f>
        <v>340.8333333333333</v>
      </c>
      <c r="D82" s="5"/>
      <c r="E82" s="47"/>
      <c r="F82" s="48"/>
    </row>
    <row r="83" spans="2:6" ht="12.75">
      <c r="B83" s="4">
        <f t="shared" si="2"/>
        <v>39333</v>
      </c>
      <c r="C83" s="18">
        <f>(330+360+335+350+315+350)/6</f>
        <v>340</v>
      </c>
      <c r="D83" s="5"/>
      <c r="E83" s="47"/>
      <c r="F83" s="48"/>
    </row>
    <row r="84" spans="2:6" ht="12.75">
      <c r="B84" s="4">
        <f t="shared" si="2"/>
        <v>39340</v>
      </c>
      <c r="C84" s="18">
        <f>(325+360+335+350+315+350)/6</f>
        <v>339.1666666666667</v>
      </c>
      <c r="D84" s="5"/>
      <c r="E84" s="47"/>
      <c r="F84" s="48"/>
    </row>
    <row r="85" spans="2:6" ht="12.75">
      <c r="B85" s="4">
        <f t="shared" si="2"/>
        <v>39347</v>
      </c>
      <c r="C85" s="19">
        <f>(315+360+335+350+315+350)/6</f>
        <v>337.5</v>
      </c>
      <c r="D85" s="23">
        <f>SUM(C82:C85)/COUNTA(C82:C85)</f>
        <v>339.375</v>
      </c>
      <c r="E85" s="49">
        <f>D85/F$3</f>
        <v>1.1545003543586108</v>
      </c>
      <c r="F85" s="50"/>
    </row>
    <row r="86" spans="2:6" ht="12.75">
      <c r="B86" s="22">
        <f t="shared" si="2"/>
        <v>39354</v>
      </c>
      <c r="C86" s="18">
        <f>(315+360+335+350+310+350)/6</f>
        <v>336.6666666666667</v>
      </c>
      <c r="D86" s="5"/>
      <c r="E86" s="47"/>
      <c r="F86" s="48"/>
    </row>
    <row r="87" spans="2:6" ht="12.75">
      <c r="B87" s="4">
        <f t="shared" si="2"/>
        <v>39361</v>
      </c>
      <c r="C87" s="18">
        <f>(315+360+335+350+310+360)/6</f>
        <v>338.3333333333333</v>
      </c>
      <c r="D87" s="5"/>
      <c r="E87" s="47"/>
      <c r="F87" s="48"/>
    </row>
    <row r="88" spans="2:6" ht="12.75">
      <c r="B88" s="4">
        <f t="shared" si="2"/>
        <v>39368</v>
      </c>
      <c r="C88" s="18">
        <f>(310+360+335+350+310+360)/6</f>
        <v>337.5</v>
      </c>
      <c r="D88" s="5"/>
      <c r="E88" s="47"/>
      <c r="F88" s="48"/>
    </row>
    <row r="89" spans="2:6" ht="12.75">
      <c r="B89" s="4">
        <f t="shared" si="2"/>
        <v>39375</v>
      </c>
      <c r="C89" s="18">
        <f>(310+360+335+350+310+360)/6</f>
        <v>337.5</v>
      </c>
      <c r="D89" s="5"/>
      <c r="E89" s="47"/>
      <c r="F89" s="48"/>
    </row>
    <row r="90" spans="2:6" ht="12.75">
      <c r="B90" s="6">
        <f t="shared" si="2"/>
        <v>39382</v>
      </c>
      <c r="C90" s="19">
        <f>(310+360+335+350+310+360)/6</f>
        <v>337.5</v>
      </c>
      <c r="D90" s="23">
        <f>SUM(C87:C90)/COUNTA(C87:C90)</f>
        <v>337.7083333333333</v>
      </c>
      <c r="E90" s="49">
        <f>D90/F$3</f>
        <v>1.1488306165839828</v>
      </c>
      <c r="F90" s="50"/>
    </row>
    <row r="91" spans="2:8" ht="12.75">
      <c r="B91" s="4">
        <f t="shared" si="2"/>
        <v>39389</v>
      </c>
      <c r="C91" s="18">
        <f>(305+360+310+340+310+360)/6</f>
        <v>330.8333333333333</v>
      </c>
      <c r="D91" s="5"/>
      <c r="E91" s="47"/>
      <c r="F91" s="48"/>
      <c r="H91" t="s">
        <v>7</v>
      </c>
    </row>
    <row r="92" spans="2:7" ht="12.75">
      <c r="B92" s="4">
        <f t="shared" si="2"/>
        <v>39396</v>
      </c>
      <c r="C92" s="18">
        <f>(305+360+310+340+310+360)/6</f>
        <v>330.8333333333333</v>
      </c>
      <c r="D92" s="5"/>
      <c r="E92" s="47"/>
      <c r="F92" s="48"/>
      <c r="G92" t="s">
        <v>7</v>
      </c>
    </row>
    <row r="93" spans="2:9" ht="12.75">
      <c r="B93" s="4">
        <f t="shared" si="2"/>
        <v>39403</v>
      </c>
      <c r="C93" s="18">
        <f>(305+360+340+350+310+360)/6</f>
        <v>337.5</v>
      </c>
      <c r="D93" s="5"/>
      <c r="E93" s="47"/>
      <c r="F93" s="48"/>
      <c r="I93" t="s">
        <v>7</v>
      </c>
    </row>
    <row r="94" spans="2:6" ht="12.75">
      <c r="B94" s="6">
        <f>B93+7</f>
        <v>39410</v>
      </c>
      <c r="C94" s="19">
        <f>(305+360+340+350+310+360)/6</f>
        <v>337.5</v>
      </c>
      <c r="D94" s="23">
        <f>SUM(C91:C94)/COUNTA(C91:C94)</f>
        <v>334.16666666666663</v>
      </c>
      <c r="E94" s="49">
        <f>D94/F$3</f>
        <v>1.1367824238128983</v>
      </c>
      <c r="F94" s="50"/>
    </row>
    <row r="95" spans="2:7" ht="12.75">
      <c r="B95" s="4">
        <f t="shared" si="2"/>
        <v>39417</v>
      </c>
      <c r="C95" s="18">
        <f>(310+360+375+435+325+385)/6</f>
        <v>365</v>
      </c>
      <c r="D95" s="5"/>
      <c r="E95" s="47"/>
      <c r="F95" s="48"/>
      <c r="G95" t="s">
        <v>7</v>
      </c>
    </row>
    <row r="96" spans="2:9" ht="12.75">
      <c r="B96" s="4">
        <f t="shared" si="2"/>
        <v>39424</v>
      </c>
      <c r="C96" s="18">
        <f>(310+360+385+440+350+430)/6</f>
        <v>379.1666666666667</v>
      </c>
      <c r="D96" s="5"/>
      <c r="E96" s="47"/>
      <c r="F96" s="48"/>
      <c r="I96" t="s">
        <v>7</v>
      </c>
    </row>
    <row r="97" spans="2:9" ht="12.75">
      <c r="B97" s="4">
        <f t="shared" si="2"/>
        <v>39431</v>
      </c>
      <c r="C97" s="18">
        <f>(310+360+390+440+380+430)/6</f>
        <v>385</v>
      </c>
      <c r="D97" s="5"/>
      <c r="E97" s="47"/>
      <c r="F97" s="48"/>
      <c r="I97" t="s">
        <v>7</v>
      </c>
    </row>
    <row r="98" spans="2:10" ht="13.5" thickBot="1">
      <c r="B98" s="4">
        <f t="shared" si="2"/>
        <v>39438</v>
      </c>
      <c r="C98" s="18">
        <f>(310+360+390+440+380+430)/6</f>
        <v>385</v>
      </c>
      <c r="D98" s="23">
        <f>SUM(C95:C98)/COUNTA(C95:C98)</f>
        <v>378.5416666666667</v>
      </c>
      <c r="E98" s="49">
        <f>D98/F$3</f>
        <v>1.287739192062367</v>
      </c>
      <c r="F98" s="50"/>
      <c r="H98" t="s">
        <v>7</v>
      </c>
      <c r="J98" t="s">
        <v>7</v>
      </c>
    </row>
    <row r="99" spans="2:9" ht="12.75">
      <c r="B99" s="27">
        <f t="shared" si="2"/>
        <v>39445</v>
      </c>
      <c r="C99" s="17">
        <f>(310+360+390+440+380+430)/6</f>
        <v>385</v>
      </c>
      <c r="D99" s="24"/>
      <c r="E99" s="51"/>
      <c r="F99" s="53"/>
      <c r="H99" t="s">
        <v>7</v>
      </c>
      <c r="I99" t="s">
        <v>7</v>
      </c>
    </row>
    <row r="100" spans="2:9" ht="12.75">
      <c r="B100" s="4">
        <f t="shared" si="2"/>
        <v>39452</v>
      </c>
      <c r="C100" s="18">
        <f>(310+360+390+440+380+430)/6</f>
        <v>385</v>
      </c>
      <c r="D100" s="5"/>
      <c r="E100" s="25"/>
      <c r="F100" s="26"/>
      <c r="I100" t="s">
        <v>7</v>
      </c>
    </row>
    <row r="101" spans="2:9" ht="12.75">
      <c r="B101" s="4">
        <f t="shared" si="2"/>
        <v>39459</v>
      </c>
      <c r="C101" s="18">
        <f>(320+360+410+450+390+450)/6</f>
        <v>396.6666666666667</v>
      </c>
      <c r="D101" s="5"/>
      <c r="E101" s="25"/>
      <c r="F101" s="26"/>
      <c r="I101" t="s">
        <v>7</v>
      </c>
    </row>
    <row r="102" spans="2:9" ht="12.75">
      <c r="B102" s="4">
        <f t="shared" si="2"/>
        <v>39466</v>
      </c>
      <c r="C102" s="18">
        <f>(325+360+410+450+390+450)/6</f>
        <v>397.5</v>
      </c>
      <c r="D102" s="5"/>
      <c r="E102" s="25"/>
      <c r="F102" s="26"/>
      <c r="I102" t="s">
        <v>7</v>
      </c>
    </row>
    <row r="103" spans="2:8" ht="13.5" thickBot="1">
      <c r="B103" s="7">
        <f t="shared" si="2"/>
        <v>39473</v>
      </c>
      <c r="C103" s="33">
        <f>(325+360+410+450+390+450)/6</f>
        <v>397.5</v>
      </c>
      <c r="D103" s="23">
        <f>SUM(C100:C103)/COUNTA(C100:C103)</f>
        <v>394.1666666666667</v>
      </c>
      <c r="E103" s="49">
        <f>D103/F$3</f>
        <v>1.3408929836995038</v>
      </c>
      <c r="F103" s="50"/>
      <c r="H103" t="s">
        <v>7</v>
      </c>
    </row>
    <row r="104" spans="2:9" ht="12.75">
      <c r="B104" s="27">
        <f t="shared" si="2"/>
        <v>39480</v>
      </c>
      <c r="C104" s="18">
        <f>(330+360+425+450+410+460)/6</f>
        <v>405.8333333333333</v>
      </c>
      <c r="D104" s="24" t="s">
        <v>7</v>
      </c>
      <c r="E104" s="28"/>
      <c r="F104" s="29"/>
      <c r="I104" t="s">
        <v>7</v>
      </c>
    </row>
    <row r="105" spans="2:10" ht="12.75">
      <c r="B105" s="4">
        <f t="shared" si="2"/>
        <v>39487</v>
      </c>
      <c r="C105" s="18">
        <f>(340+360+425+450+410+460)/6</f>
        <v>407.5</v>
      </c>
      <c r="D105" s="5"/>
      <c r="E105" s="25"/>
      <c r="F105" s="26"/>
      <c r="I105" t="s">
        <v>7</v>
      </c>
      <c r="J105" t="s">
        <v>7</v>
      </c>
    </row>
    <row r="106" spans="2:11" ht="12.75">
      <c r="B106" s="4">
        <f t="shared" si="2"/>
        <v>39494</v>
      </c>
      <c r="C106" s="18">
        <f>(340+360+425+450+410+460)/6</f>
        <v>407.5</v>
      </c>
      <c r="D106" s="5"/>
      <c r="E106" s="25"/>
      <c r="F106" s="26"/>
      <c r="I106" t="s">
        <v>7</v>
      </c>
      <c r="K106" t="s">
        <v>7</v>
      </c>
    </row>
    <row r="107" spans="2:6" ht="13.5" thickBot="1">
      <c r="B107" s="7">
        <f t="shared" si="2"/>
        <v>39501</v>
      </c>
      <c r="C107" s="33">
        <f>(340+360+425+450+410+470)/6</f>
        <v>409.1666666666667</v>
      </c>
      <c r="D107" s="34">
        <f>SUM(C104:C107)/COUNTA(C104:C107)</f>
        <v>407.5</v>
      </c>
      <c r="E107" s="54">
        <f>D107/F$3</f>
        <v>1.386250885896527</v>
      </c>
      <c r="F107" s="55"/>
    </row>
    <row r="108" spans="2:10" ht="12.75">
      <c r="B108" s="27">
        <f t="shared" si="2"/>
        <v>39508</v>
      </c>
      <c r="C108" s="18">
        <f>(340+360+425+455+410+480)/6</f>
        <v>411.6666666666667</v>
      </c>
      <c r="D108" s="5"/>
      <c r="E108" s="25"/>
      <c r="F108" s="26"/>
      <c r="J108" t="s">
        <v>7</v>
      </c>
    </row>
    <row r="109" spans="2:6" ht="12.75">
      <c r="B109" s="4">
        <f t="shared" si="2"/>
        <v>39515</v>
      </c>
      <c r="C109" s="18">
        <f>(350+375+435+465+410+480)/6</f>
        <v>419.1666666666667</v>
      </c>
      <c r="D109" s="5"/>
      <c r="E109" s="25"/>
      <c r="F109" s="26"/>
    </row>
    <row r="110" spans="2:9" ht="12.75">
      <c r="B110" s="4">
        <f t="shared" si="2"/>
        <v>39522</v>
      </c>
      <c r="C110" s="18">
        <f>(375+400+435+465+410+480)/6</f>
        <v>427.5</v>
      </c>
      <c r="D110" s="5"/>
      <c r="E110" s="25"/>
      <c r="F110" s="26"/>
      <c r="I110" t="s">
        <v>7</v>
      </c>
    </row>
    <row r="111" spans="2:9" ht="13.5" thickBot="1">
      <c r="B111" s="7">
        <f t="shared" si="2"/>
        <v>39529</v>
      </c>
      <c r="C111" s="33">
        <f>(375+400+435+465+410+480)/6</f>
        <v>427.5</v>
      </c>
      <c r="D111" s="34">
        <f>SUM(C108:C111)/COUNTA(C108:C111)</f>
        <v>421.45833333333337</v>
      </c>
      <c r="E111" s="54">
        <f>D111/F$3</f>
        <v>1.433734939759036</v>
      </c>
      <c r="F111" s="55"/>
      <c r="H111" t="s">
        <v>7</v>
      </c>
      <c r="I111" t="s">
        <v>7</v>
      </c>
    </row>
    <row r="112" spans="2:6" ht="12.75">
      <c r="B112" s="27">
        <f t="shared" si="2"/>
        <v>39536</v>
      </c>
      <c r="C112" s="17">
        <f>(375+400+435+465+420+480)/6</f>
        <v>429.1666666666667</v>
      </c>
      <c r="D112" s="24"/>
      <c r="E112" s="28"/>
      <c r="F112" s="29"/>
    </row>
    <row r="113" spans="2:9" ht="12.75">
      <c r="B113" s="4">
        <f t="shared" si="2"/>
        <v>39543</v>
      </c>
      <c r="C113" s="18">
        <f>(375+400+435+485+435+490)/6</f>
        <v>436.6666666666667</v>
      </c>
      <c r="D113" s="5"/>
      <c r="E113" s="25"/>
      <c r="F113" s="26"/>
      <c r="H113" t="s">
        <v>7</v>
      </c>
      <c r="I113" t="s">
        <v>7</v>
      </c>
    </row>
    <row r="114" spans="2:9" ht="12.75">
      <c r="B114" s="4">
        <f t="shared" si="2"/>
        <v>39550</v>
      </c>
      <c r="C114" s="18">
        <f>(400+425+465+485+450+525)/6</f>
        <v>458.3333333333333</v>
      </c>
      <c r="D114" s="5"/>
      <c r="E114" s="25"/>
      <c r="F114" s="26"/>
      <c r="H114" t="s">
        <v>7</v>
      </c>
      <c r="I114" t="s">
        <v>7</v>
      </c>
    </row>
    <row r="115" spans="2:9" ht="12.75">
      <c r="B115" s="4">
        <f t="shared" si="2"/>
        <v>39557</v>
      </c>
      <c r="C115" s="18">
        <f>(400+425+465+485+450+525)/6</f>
        <v>458.3333333333333</v>
      </c>
      <c r="D115" s="5"/>
      <c r="E115" s="25"/>
      <c r="F115" s="26"/>
      <c r="H115" t="s">
        <v>7</v>
      </c>
      <c r="I115" t="s">
        <v>7</v>
      </c>
    </row>
    <row r="116" spans="2:9" ht="13.5" thickBot="1">
      <c r="B116" s="7">
        <f t="shared" si="2"/>
        <v>39564</v>
      </c>
      <c r="C116" s="18">
        <f>(400+450+465+485+460+525)/6</f>
        <v>464.1666666666667</v>
      </c>
      <c r="D116" s="34">
        <f>SUM(C113:C116)/COUNTA(C113:C116)</f>
        <v>454.375</v>
      </c>
      <c r="E116" s="54">
        <f>D116/F$3</f>
        <v>1.5457122608079374</v>
      </c>
      <c r="F116" s="55"/>
      <c r="H116" t="s">
        <v>7</v>
      </c>
      <c r="I116" t="s">
        <v>7</v>
      </c>
    </row>
    <row r="117" spans="2:9" ht="12.75">
      <c r="B117" s="35">
        <f t="shared" si="2"/>
        <v>39571</v>
      </c>
      <c r="C117" s="17">
        <f>(420+475+475+560+465+585)/6</f>
        <v>496.6666666666667</v>
      </c>
      <c r="D117" s="26"/>
      <c r="E117" s="25"/>
      <c r="F117" s="26"/>
      <c r="H117" t="s">
        <v>7</v>
      </c>
      <c r="I117" t="s">
        <v>7</v>
      </c>
    </row>
    <row r="118" spans="2:9" ht="12.75">
      <c r="B118" s="36">
        <f t="shared" si="2"/>
        <v>39578</v>
      </c>
      <c r="C118" s="18">
        <f>(425+475+530+560+500+585)/6</f>
        <v>512.5</v>
      </c>
      <c r="D118" s="26"/>
      <c r="E118" s="25"/>
      <c r="F118" s="26"/>
      <c r="I118" t="s">
        <v>7</v>
      </c>
    </row>
    <row r="119" spans="2:6" ht="12.75">
      <c r="B119" s="36">
        <f t="shared" si="2"/>
        <v>39585</v>
      </c>
      <c r="C119" s="18">
        <f>(435+525+540+605+525+630)/6</f>
        <v>543.3333333333334</v>
      </c>
      <c r="D119" s="26"/>
      <c r="E119" s="25"/>
      <c r="F119" s="26"/>
    </row>
    <row r="120" spans="2:6" ht="13.5" thickBot="1">
      <c r="B120" s="37">
        <f t="shared" si="2"/>
        <v>39592</v>
      </c>
      <c r="C120" s="18">
        <f>(440+550+575+605+590+630)/6</f>
        <v>565</v>
      </c>
      <c r="D120" s="34">
        <f>SUM(C117:C120)/COUNTA(C117:C120)</f>
        <v>529.375</v>
      </c>
      <c r="E120" s="54">
        <f>D120/F$3</f>
        <v>1.800850460666194</v>
      </c>
      <c r="F120" s="55"/>
    </row>
    <row r="121" spans="2:8" ht="12.75">
      <c r="B121" s="27">
        <f t="shared" si="2"/>
        <v>39599</v>
      </c>
      <c r="C121" s="17">
        <f>(450+550+575+605+590+640)/6</f>
        <v>568.3333333333334</v>
      </c>
      <c r="D121" s="24"/>
      <c r="E121" s="28"/>
      <c r="F121" s="29"/>
      <c r="H121" t="s">
        <v>7</v>
      </c>
    </row>
    <row r="122" spans="2:6" ht="12.75">
      <c r="B122" s="4">
        <f t="shared" si="2"/>
        <v>39606</v>
      </c>
      <c r="C122" s="18">
        <f>(475+600+610+635+635+675)/6</f>
        <v>605</v>
      </c>
      <c r="D122" s="5"/>
      <c r="E122" s="25"/>
      <c r="F122" s="26"/>
    </row>
    <row r="123" spans="2:9" ht="12.75">
      <c r="B123" s="4">
        <f t="shared" si="2"/>
        <v>39613</v>
      </c>
      <c r="C123" s="18">
        <f>(475+600+610+635+635+685)/6</f>
        <v>606.6666666666666</v>
      </c>
      <c r="D123" s="5"/>
      <c r="E123" s="25"/>
      <c r="F123" s="26"/>
      <c r="I123" t="s">
        <v>7</v>
      </c>
    </row>
    <row r="124" spans="2:6" ht="13.5" thickBot="1">
      <c r="B124" s="7">
        <f t="shared" si="2"/>
        <v>39620</v>
      </c>
      <c r="C124" s="33">
        <f>(475+625+615+645+640+685)/6</f>
        <v>614.1666666666666</v>
      </c>
      <c r="D124" s="34">
        <f>SUM(C121:C124)/COUNTA(C121:C124)</f>
        <v>598.5416666666666</v>
      </c>
      <c r="E124" s="54">
        <f>D124/F$3</f>
        <v>2.0361445783132526</v>
      </c>
      <c r="F124" s="55"/>
    </row>
    <row r="125" spans="2:9" ht="12.75">
      <c r="B125" s="27">
        <f t="shared" si="2"/>
        <v>39627</v>
      </c>
      <c r="C125" s="18">
        <f>(500+650+620+645+640+700)/6</f>
        <v>625.8333333333334</v>
      </c>
      <c r="D125" s="5"/>
      <c r="E125" s="25"/>
      <c r="F125" s="26"/>
      <c r="H125" t="s">
        <v>7</v>
      </c>
      <c r="I125" t="s">
        <v>7</v>
      </c>
    </row>
    <row r="126" spans="2:8" ht="12.75">
      <c r="B126" s="4">
        <f t="shared" si="2"/>
        <v>39634</v>
      </c>
      <c r="C126" s="18">
        <f>(500+700+630+680+650+710)/6</f>
        <v>645</v>
      </c>
      <c r="D126" s="5"/>
      <c r="E126" s="25"/>
      <c r="F126" s="26"/>
      <c r="H126" t="s">
        <v>7</v>
      </c>
    </row>
    <row r="127" spans="2:6" ht="12.75">
      <c r="B127" s="4">
        <f t="shared" si="2"/>
        <v>39641</v>
      </c>
      <c r="C127" s="18">
        <f>(550+775+655+695+675+710)/6</f>
        <v>676.6666666666666</v>
      </c>
      <c r="D127" s="5"/>
      <c r="E127" s="25"/>
      <c r="F127" s="26"/>
    </row>
    <row r="128" spans="2:9" ht="12.75">
      <c r="B128" s="4">
        <f t="shared" si="2"/>
        <v>39648</v>
      </c>
      <c r="C128" s="18">
        <f>(550+775+620+695+675+710)/6</f>
        <v>670.8333333333334</v>
      </c>
      <c r="D128" s="5"/>
      <c r="E128" s="25"/>
      <c r="F128" s="26"/>
      <c r="H128" t="s">
        <v>7</v>
      </c>
      <c r="I128" t="s">
        <v>7</v>
      </c>
    </row>
    <row r="129" spans="2:10" ht="13.5" thickBot="1">
      <c r="B129" s="7">
        <f t="shared" si="2"/>
        <v>39655</v>
      </c>
      <c r="C129" s="33">
        <f>(600+775+655+695+685+730)/6</f>
        <v>690</v>
      </c>
      <c r="D129" s="34">
        <f>SUM(C126:C129)/COUNTA(C126:C129)</f>
        <v>670.625</v>
      </c>
      <c r="E129" s="54">
        <f>D129/F$3</f>
        <v>2.2813607370659104</v>
      </c>
      <c r="F129" s="55"/>
      <c r="H129" t="s">
        <v>7</v>
      </c>
      <c r="I129" t="s">
        <v>7</v>
      </c>
      <c r="J129" t="s">
        <v>7</v>
      </c>
    </row>
    <row r="130" spans="2:9" ht="12.75">
      <c r="B130" s="27">
        <f t="shared" si="2"/>
        <v>39662</v>
      </c>
      <c r="C130" s="17">
        <f>(650+775+655+695+685+730)/6</f>
        <v>698.3333333333334</v>
      </c>
      <c r="D130" s="24"/>
      <c r="E130" s="28"/>
      <c r="F130" s="29"/>
      <c r="H130" t="s">
        <v>7</v>
      </c>
      <c r="I130" t="s">
        <v>7</v>
      </c>
    </row>
    <row r="131" spans="2:9" ht="12.75">
      <c r="B131" s="4">
        <f t="shared" si="2"/>
        <v>39669</v>
      </c>
      <c r="C131" s="18">
        <f>(675+850+675+695+685+730)/6</f>
        <v>718.3333333333334</v>
      </c>
      <c r="D131" s="5"/>
      <c r="E131" s="25"/>
      <c r="F131" s="26"/>
      <c r="H131" t="s">
        <v>7</v>
      </c>
      <c r="I131" t="s">
        <v>7</v>
      </c>
    </row>
    <row r="132" spans="2:6" ht="12.75">
      <c r="B132" s="4">
        <f t="shared" si="2"/>
        <v>39676</v>
      </c>
      <c r="C132" s="18">
        <f>(700+875+675+695+690+775)/6</f>
        <v>735</v>
      </c>
      <c r="D132" s="5"/>
      <c r="E132" s="25"/>
      <c r="F132" s="26"/>
    </row>
    <row r="133" spans="2:9" ht="13.5" thickBot="1">
      <c r="B133" s="7">
        <f t="shared" si="2"/>
        <v>39683</v>
      </c>
      <c r="C133" s="33">
        <f>(700+900+675+710+690+775)/6</f>
        <v>741.6666666666666</v>
      </c>
      <c r="D133" s="34">
        <f>SUM(C130:C133)/COUNTA(C130:C133)</f>
        <v>723.3333333333334</v>
      </c>
      <c r="E133" s="54">
        <f>D133/F$3</f>
        <v>2.4606661941885184</v>
      </c>
      <c r="F133" s="55"/>
      <c r="I133" t="s">
        <v>7</v>
      </c>
    </row>
    <row r="134" spans="2:9" ht="12.75">
      <c r="B134" s="35">
        <f t="shared" si="2"/>
        <v>39690</v>
      </c>
      <c r="C134" s="17">
        <f>(700+900+700+730+695+775)/6</f>
        <v>750</v>
      </c>
      <c r="D134" s="26"/>
      <c r="E134" s="25"/>
      <c r="F134" s="26"/>
      <c r="I134" t="s">
        <v>7</v>
      </c>
    </row>
    <row r="135" spans="2:9" ht="12.75">
      <c r="B135" s="36">
        <f t="shared" si="2"/>
        <v>39697</v>
      </c>
      <c r="C135" s="18">
        <f>(700+900+750+770+710+775)/6</f>
        <v>767.5</v>
      </c>
      <c r="D135" s="26"/>
      <c r="E135" s="25"/>
      <c r="F135" s="26"/>
      <c r="H135" t="s">
        <v>7</v>
      </c>
      <c r="I135" t="s">
        <v>7</v>
      </c>
    </row>
    <row r="136" spans="2:6" ht="12.75">
      <c r="B136" s="36">
        <f t="shared" si="2"/>
        <v>39704</v>
      </c>
      <c r="C136" s="18">
        <f>(700+900+750+770+710+775)/6</f>
        <v>767.5</v>
      </c>
      <c r="D136" s="26"/>
      <c r="E136" s="25"/>
      <c r="F136" s="26"/>
    </row>
    <row r="137" spans="2:6" ht="13.5" thickBot="1">
      <c r="B137" s="37">
        <f t="shared" si="2"/>
        <v>39711</v>
      </c>
      <c r="C137" s="33">
        <f>(650+900+735+760+690+745)/6</f>
        <v>746.6666666666666</v>
      </c>
      <c r="D137" s="34">
        <f>SUM(C134:C137)/COUNTA(C134:C137)</f>
        <v>757.9166666666666</v>
      </c>
      <c r="E137" s="54">
        <f>D137/F$3</f>
        <v>2.578313253012048</v>
      </c>
      <c r="F137" s="55"/>
    </row>
    <row r="138" spans="2:6" ht="12.75">
      <c r="B138" s="27">
        <f t="shared" si="2"/>
        <v>39718</v>
      </c>
      <c r="C138" s="17">
        <f>(650+875+735+750+680+735)/6</f>
        <v>737.5</v>
      </c>
      <c r="D138" s="24"/>
      <c r="E138" s="28"/>
      <c r="F138" s="29"/>
    </row>
    <row r="139" spans="2:6" ht="12.75">
      <c r="B139" s="4">
        <f t="shared" si="2"/>
        <v>39725</v>
      </c>
      <c r="C139" s="18">
        <f>(625+825+735+750+680+735)/6</f>
        <v>725</v>
      </c>
      <c r="D139" s="5"/>
      <c r="E139" s="25"/>
      <c r="F139" s="26"/>
    </row>
    <row r="140" spans="2:6" ht="12.75">
      <c r="B140" s="4">
        <f t="shared" si="2"/>
        <v>39732</v>
      </c>
      <c r="C140" s="18">
        <f>(625+825+735+750+680+715)/6</f>
        <v>721.6666666666666</v>
      </c>
      <c r="D140" s="5"/>
      <c r="E140" s="25"/>
      <c r="F140" s="26"/>
    </row>
    <row r="141" spans="2:6" ht="12.75">
      <c r="B141" s="4">
        <f t="shared" si="2"/>
        <v>39739</v>
      </c>
      <c r="C141" s="18">
        <f>(550+800+685+750+650+710)/6</f>
        <v>690.8333333333334</v>
      </c>
      <c r="D141" s="5"/>
      <c r="E141" s="25"/>
      <c r="F141" s="26"/>
    </row>
    <row r="142" spans="2:9" ht="13.5" thickBot="1">
      <c r="B142" s="7">
        <f aca="true" t="shared" si="3" ref="B142:B176">B141+7</f>
        <v>39746</v>
      </c>
      <c r="C142" s="18">
        <f>(550+750+600+700+600+660)/6</f>
        <v>643.3333333333334</v>
      </c>
      <c r="D142" s="34">
        <f>SUM(C139:C142)/COUNTA(C139:C142)</f>
        <v>695.2083333333334</v>
      </c>
      <c r="E142" s="54">
        <f>D142/F$3</f>
        <v>2.3649893692416724</v>
      </c>
      <c r="F142" s="55"/>
      <c r="H142" t="s">
        <v>7</v>
      </c>
      <c r="I142" t="s">
        <v>7</v>
      </c>
    </row>
    <row r="143" spans="2:9" ht="12.75">
      <c r="B143" s="35">
        <f t="shared" si="3"/>
        <v>39753</v>
      </c>
      <c r="C143" s="17">
        <f>(550+700+600+615+600+640)/6</f>
        <v>617.5</v>
      </c>
      <c r="D143" s="29"/>
      <c r="E143" s="32"/>
      <c r="F143" s="29"/>
      <c r="H143" t="s">
        <v>7</v>
      </c>
      <c r="I143" t="s">
        <v>7</v>
      </c>
    </row>
    <row r="144" spans="2:6" ht="12.75">
      <c r="B144" s="36">
        <f t="shared" si="3"/>
        <v>39760</v>
      </c>
      <c r="C144" s="18">
        <f>(550+650+600+615+585+610)/6</f>
        <v>601.6666666666666</v>
      </c>
      <c r="D144" s="26"/>
      <c r="E144" s="31"/>
      <c r="F144" s="26"/>
    </row>
    <row r="145" spans="2:9" ht="12.75">
      <c r="B145" s="36">
        <f t="shared" si="3"/>
        <v>39767</v>
      </c>
      <c r="C145" s="18">
        <f>(500+600+565+600+530+565)/6</f>
        <v>560</v>
      </c>
      <c r="D145" s="26"/>
      <c r="E145" s="31"/>
      <c r="F145" s="26"/>
      <c r="H145" t="s">
        <v>7</v>
      </c>
      <c r="I145" t="s">
        <v>7</v>
      </c>
    </row>
    <row r="146" spans="2:9" ht="13.5" thickBot="1">
      <c r="B146" s="37">
        <f t="shared" si="3"/>
        <v>39774</v>
      </c>
      <c r="C146" s="18">
        <f>(490+600+560+575+530+565)/6</f>
        <v>553.3333333333334</v>
      </c>
      <c r="D146" s="34">
        <f>SUM(C143:C146)/COUNTA(C143:C146)</f>
        <v>583.125</v>
      </c>
      <c r="E146" s="54">
        <f>D146/F$3</f>
        <v>1.9836995038979444</v>
      </c>
      <c r="F146" s="55"/>
      <c r="H146" t="s">
        <v>7</v>
      </c>
      <c r="I146" t="s">
        <v>7</v>
      </c>
    </row>
    <row r="147" spans="2:8" ht="12.75">
      <c r="B147" s="27">
        <f t="shared" si="3"/>
        <v>39781</v>
      </c>
      <c r="C147" s="17">
        <f>(490+600+560+575+530+560)/6</f>
        <v>552.5</v>
      </c>
      <c r="D147" s="5"/>
      <c r="E147" s="31"/>
      <c r="F147" s="26"/>
      <c r="H147" t="s">
        <v>7</v>
      </c>
    </row>
    <row r="148" spans="2:6" ht="12.75">
      <c r="B148" s="4">
        <f t="shared" si="3"/>
        <v>39788</v>
      </c>
      <c r="C148" s="18">
        <f>(475+600+535+550+435+500)/6</f>
        <v>515.8333333333334</v>
      </c>
      <c r="D148" s="5"/>
      <c r="E148" s="31"/>
      <c r="F148" s="26"/>
    </row>
    <row r="149" spans="2:9" ht="12.75">
      <c r="B149" s="4">
        <f t="shared" si="3"/>
        <v>39795</v>
      </c>
      <c r="C149" s="18">
        <f>(475+600+535+550+435+500)/6</f>
        <v>515.8333333333334</v>
      </c>
      <c r="D149" s="5"/>
      <c r="E149" s="31"/>
      <c r="F149" s="26"/>
      <c r="H149" t="s">
        <v>7</v>
      </c>
      <c r="I149" t="s">
        <v>7</v>
      </c>
    </row>
    <row r="150" spans="2:8" ht="12.75">
      <c r="B150" s="4">
        <f t="shared" si="3"/>
        <v>39802</v>
      </c>
      <c r="C150" s="18">
        <f>(475+600+535+545+435+495)/6</f>
        <v>514.1666666666666</v>
      </c>
      <c r="D150" s="5"/>
      <c r="E150" s="31"/>
      <c r="F150" s="26"/>
      <c r="H150" t="s">
        <v>7</v>
      </c>
    </row>
    <row r="151" spans="2:8" ht="13.5" thickBot="1">
      <c r="B151" s="7">
        <f t="shared" si="3"/>
        <v>39809</v>
      </c>
      <c r="C151" s="18">
        <f>(475+600+535+545+435+495)/6</f>
        <v>514.1666666666666</v>
      </c>
      <c r="D151" s="34">
        <f>SUM(C148:C151)/COUNTA(C148:C151)</f>
        <v>515</v>
      </c>
      <c r="E151" s="54">
        <f>D151/F$3</f>
        <v>1.7519489723600281</v>
      </c>
      <c r="F151" s="55"/>
      <c r="H151" t="s">
        <v>7</v>
      </c>
    </row>
    <row r="152" spans="2:6" ht="12.75">
      <c r="B152" s="35">
        <f t="shared" si="3"/>
        <v>39816</v>
      </c>
      <c r="C152" s="17">
        <f>(475+575+450+535+335+450)/6</f>
        <v>470</v>
      </c>
      <c r="D152" s="29"/>
      <c r="E152" s="28"/>
      <c r="F152" s="29"/>
    </row>
    <row r="153" spans="2:6" ht="12.75">
      <c r="B153" s="36">
        <f t="shared" si="3"/>
        <v>39823</v>
      </c>
      <c r="C153" s="18">
        <f>(475+575+450+460+335+425)/6</f>
        <v>453.3333333333333</v>
      </c>
      <c r="D153" s="26"/>
      <c r="E153" s="25"/>
      <c r="F153" s="26"/>
    </row>
    <row r="154" spans="2:6" ht="12.75">
      <c r="B154" s="36">
        <f t="shared" si="3"/>
        <v>39830</v>
      </c>
      <c r="C154" s="18">
        <f>(475+575+450+460+335+385)/6</f>
        <v>446.6666666666667</v>
      </c>
      <c r="D154" s="26"/>
      <c r="E154" s="25"/>
      <c r="F154" s="26"/>
    </row>
    <row r="155" spans="2:10" ht="13.5" thickBot="1">
      <c r="B155" s="37">
        <f t="shared" si="3"/>
        <v>39837</v>
      </c>
      <c r="C155" s="18">
        <f>(475+575+450+460+310+360)/6</f>
        <v>438.3333333333333</v>
      </c>
      <c r="D155" s="34">
        <f>SUM(C152:C155)/COUNTA(C152:C155)</f>
        <v>452.0833333333333</v>
      </c>
      <c r="E155" s="54">
        <f>D155/F$3</f>
        <v>1.5379163713678239</v>
      </c>
      <c r="F155" s="55"/>
      <c r="J155" t="s">
        <v>7</v>
      </c>
    </row>
    <row r="156" spans="2:6" ht="12.75">
      <c r="B156" s="27">
        <f t="shared" si="3"/>
        <v>39844</v>
      </c>
      <c r="C156" s="17">
        <f>(460+575+450+460+300+350)/6</f>
        <v>432.5</v>
      </c>
      <c r="D156" s="24"/>
      <c r="E156" s="28"/>
      <c r="F156" s="29"/>
    </row>
    <row r="157" spans="2:9" ht="12.75">
      <c r="B157" s="4">
        <f t="shared" si="3"/>
        <v>39851</v>
      </c>
      <c r="C157" s="18">
        <f>(450+575+400+410+300+340)/6</f>
        <v>412.5</v>
      </c>
      <c r="D157" s="5"/>
      <c r="E157" s="25"/>
      <c r="F157" s="26"/>
      <c r="I157" t="s">
        <v>7</v>
      </c>
    </row>
    <row r="158" spans="2:10" ht="12.75">
      <c r="B158" s="4">
        <f t="shared" si="3"/>
        <v>39858</v>
      </c>
      <c r="C158" s="39"/>
      <c r="D158" s="5"/>
      <c r="E158" s="25"/>
      <c r="F158" s="26"/>
      <c r="I158" t="s">
        <v>7</v>
      </c>
      <c r="J158" t="s">
        <v>7</v>
      </c>
    </row>
    <row r="159" spans="2:9" ht="13.5" thickBot="1">
      <c r="B159" s="7">
        <f t="shared" si="3"/>
        <v>39865</v>
      </c>
      <c r="C159" s="40"/>
      <c r="D159" s="40" t="s">
        <v>7</v>
      </c>
      <c r="E159" s="56"/>
      <c r="F159" s="57"/>
      <c r="I159" t="s">
        <v>7</v>
      </c>
    </row>
    <row r="160" spans="2:6" ht="12.75">
      <c r="B160" s="27">
        <f t="shared" si="3"/>
        <v>39872</v>
      </c>
      <c r="C160" s="38"/>
      <c r="D160" s="24"/>
      <c r="E160" s="28"/>
      <c r="F160" s="29"/>
    </row>
    <row r="161" spans="2:6" ht="12.75">
      <c r="B161" s="4">
        <f t="shared" si="3"/>
        <v>39879</v>
      </c>
      <c r="C161" s="39"/>
      <c r="D161" s="5"/>
      <c r="E161" s="25"/>
      <c r="F161" s="26"/>
    </row>
    <row r="162" spans="2:9" ht="12.75">
      <c r="B162" s="4">
        <f t="shared" si="3"/>
        <v>39886</v>
      </c>
      <c r="C162" s="39"/>
      <c r="D162" s="5"/>
      <c r="E162" s="25"/>
      <c r="F162" s="26"/>
      <c r="I162" t="s">
        <v>7</v>
      </c>
    </row>
    <row r="163" spans="2:6" ht="13.5" thickBot="1">
      <c r="B163" s="7">
        <f t="shared" si="3"/>
        <v>39893</v>
      </c>
      <c r="C163" s="40"/>
      <c r="D163" s="40"/>
      <c r="E163" s="56"/>
      <c r="F163" s="57"/>
    </row>
    <row r="164" spans="2:6" ht="12.75">
      <c r="B164" s="27">
        <f t="shared" si="3"/>
        <v>39900</v>
      </c>
      <c r="C164" s="38"/>
      <c r="D164" s="24"/>
      <c r="E164" s="28"/>
      <c r="F164" s="29"/>
    </row>
    <row r="165" spans="2:8" ht="12.75">
      <c r="B165" s="4">
        <f t="shared" si="3"/>
        <v>39907</v>
      </c>
      <c r="C165" s="39"/>
      <c r="D165" s="5"/>
      <c r="E165" s="25"/>
      <c r="F165" s="26"/>
      <c r="H165" t="s">
        <v>7</v>
      </c>
    </row>
    <row r="166" spans="2:6" ht="12.75">
      <c r="B166" s="4">
        <f t="shared" si="3"/>
        <v>39914</v>
      </c>
      <c r="C166" s="39"/>
      <c r="D166" s="5"/>
      <c r="E166" s="25"/>
      <c r="F166" s="26"/>
    </row>
    <row r="167" spans="2:6" ht="12.75">
      <c r="B167" s="4">
        <f t="shared" si="3"/>
        <v>39921</v>
      </c>
      <c r="C167" s="39"/>
      <c r="D167" s="5"/>
      <c r="E167" s="25"/>
      <c r="F167" s="26"/>
    </row>
    <row r="168" spans="2:6" ht="13.5" thickBot="1">
      <c r="B168" s="7">
        <f t="shared" si="3"/>
        <v>39928</v>
      </c>
      <c r="C168" s="40"/>
      <c r="D168" s="40"/>
      <c r="E168" s="56"/>
      <c r="F168" s="57"/>
    </row>
    <row r="169" spans="2:6" ht="12.75">
      <c r="B169" s="35">
        <f t="shared" si="3"/>
        <v>39935</v>
      </c>
      <c r="C169" s="38"/>
      <c r="D169" s="24"/>
      <c r="E169" s="28"/>
      <c r="F169" s="29"/>
    </row>
    <row r="170" spans="2:6" ht="12.75">
      <c r="B170" s="36">
        <f t="shared" si="3"/>
        <v>39942</v>
      </c>
      <c r="C170" s="39"/>
      <c r="D170" s="5"/>
      <c r="E170" s="25"/>
      <c r="F170" s="26"/>
    </row>
    <row r="171" spans="2:9" ht="12.75">
      <c r="B171" s="36">
        <f t="shared" si="3"/>
        <v>39949</v>
      </c>
      <c r="C171" s="39"/>
      <c r="D171" s="5"/>
      <c r="E171" s="25"/>
      <c r="F171" s="26"/>
      <c r="I171" t="s">
        <v>7</v>
      </c>
    </row>
    <row r="172" spans="2:6" ht="13.5" thickBot="1">
      <c r="B172" s="37">
        <f t="shared" si="3"/>
        <v>39956</v>
      </c>
      <c r="C172" s="40"/>
      <c r="D172" s="40"/>
      <c r="E172" s="56"/>
      <c r="F172" s="57"/>
    </row>
    <row r="173" spans="2:6" ht="12.75">
      <c r="B173" s="4">
        <f t="shared" si="3"/>
        <v>39963</v>
      </c>
      <c r="C173" s="38"/>
      <c r="D173" s="24"/>
      <c r="E173" s="28"/>
      <c r="F173" s="29"/>
    </row>
    <row r="174" spans="2:6" ht="12.75">
      <c r="B174" s="4">
        <f t="shared" si="3"/>
        <v>39970</v>
      </c>
      <c r="C174" s="39"/>
      <c r="D174" s="5"/>
      <c r="E174" s="25"/>
      <c r="F174" s="26"/>
    </row>
    <row r="175" spans="2:6" ht="12.75">
      <c r="B175" s="4">
        <f t="shared" si="3"/>
        <v>39977</v>
      </c>
      <c r="C175" s="39"/>
      <c r="D175" s="5"/>
      <c r="E175" s="25"/>
      <c r="F175" s="26"/>
    </row>
    <row r="176" spans="2:6" ht="12.75">
      <c r="B176" s="4">
        <f t="shared" si="3"/>
        <v>39984</v>
      </c>
      <c r="C176" s="39"/>
      <c r="D176" s="39"/>
      <c r="E176" s="58"/>
      <c r="F176" s="59"/>
    </row>
    <row r="177" spans="2:6" ht="12.75">
      <c r="B177" s="30"/>
      <c r="C177" s="30"/>
      <c r="D177" s="30"/>
      <c r="E177" s="30"/>
      <c r="F177" s="30"/>
    </row>
  </sheetData>
  <mergeCells count="118">
    <mergeCell ref="E172:F172"/>
    <mergeCell ref="E176:F176"/>
    <mergeCell ref="E155:F155"/>
    <mergeCell ref="E159:F159"/>
    <mergeCell ref="E163:F163"/>
    <mergeCell ref="E168:F168"/>
    <mergeCell ref="E116:F116"/>
    <mergeCell ref="E111:F111"/>
    <mergeCell ref="E107:F107"/>
    <mergeCell ref="E103:F103"/>
    <mergeCell ref="E133:F133"/>
    <mergeCell ref="E129:F129"/>
    <mergeCell ref="E124:F124"/>
    <mergeCell ref="E120:F120"/>
    <mergeCell ref="E151:F151"/>
    <mergeCell ref="E146:F146"/>
    <mergeCell ref="E142:F142"/>
    <mergeCell ref="E137:F137"/>
    <mergeCell ref="E97:F97"/>
    <mergeCell ref="E98:F98"/>
    <mergeCell ref="E99:F99"/>
    <mergeCell ref="E93:F93"/>
    <mergeCell ref="E94:F94"/>
    <mergeCell ref="E95:F95"/>
    <mergeCell ref="E96:F96"/>
    <mergeCell ref="E89:F89"/>
    <mergeCell ref="E90:F90"/>
    <mergeCell ref="E91:F91"/>
    <mergeCell ref="E92:F92"/>
    <mergeCell ref="E85:F85"/>
    <mergeCell ref="E86:F86"/>
    <mergeCell ref="E87:F87"/>
    <mergeCell ref="E88:F88"/>
    <mergeCell ref="E81:F81"/>
    <mergeCell ref="E82:F82"/>
    <mergeCell ref="E83:F83"/>
    <mergeCell ref="E84:F84"/>
    <mergeCell ref="E77:F77"/>
    <mergeCell ref="E78:F78"/>
    <mergeCell ref="E79:F79"/>
    <mergeCell ref="E80:F80"/>
    <mergeCell ref="E73:F73"/>
    <mergeCell ref="E74:F74"/>
    <mergeCell ref="E75:F75"/>
    <mergeCell ref="E76:F76"/>
    <mergeCell ref="E72:F72"/>
    <mergeCell ref="E68:F68"/>
    <mergeCell ref="E69:F69"/>
    <mergeCell ref="E70:F70"/>
    <mergeCell ref="E71:F71"/>
    <mergeCell ref="E64:F64"/>
    <mergeCell ref="E65:F65"/>
    <mergeCell ref="E66:F66"/>
    <mergeCell ref="E67:F67"/>
    <mergeCell ref="E60:F60"/>
    <mergeCell ref="E61:F61"/>
    <mergeCell ref="E62:F62"/>
    <mergeCell ref="E63:F63"/>
    <mergeCell ref="E56:F56"/>
    <mergeCell ref="E57:F57"/>
    <mergeCell ref="E58:F58"/>
    <mergeCell ref="E59:F59"/>
    <mergeCell ref="E52:F52"/>
    <mergeCell ref="E53:F53"/>
    <mergeCell ref="E54:F54"/>
    <mergeCell ref="E55:F55"/>
    <mergeCell ref="E48:F48"/>
    <mergeCell ref="E49:F49"/>
    <mergeCell ref="E50:F50"/>
    <mergeCell ref="E51:F51"/>
    <mergeCell ref="E29:F29"/>
    <mergeCell ref="E34:F34"/>
    <mergeCell ref="E38:F38"/>
    <mergeCell ref="E42:F42"/>
    <mergeCell ref="E40:F40"/>
    <mergeCell ref="E41:F41"/>
    <mergeCell ref="E30:F30"/>
    <mergeCell ref="E31:F31"/>
    <mergeCell ref="E32:F32"/>
    <mergeCell ref="E33:F33"/>
    <mergeCell ref="E45:F45"/>
    <mergeCell ref="E46:F46"/>
    <mergeCell ref="E47:F47"/>
    <mergeCell ref="E43:F43"/>
    <mergeCell ref="E44:F44"/>
    <mergeCell ref="E35:F35"/>
    <mergeCell ref="E36:F36"/>
    <mergeCell ref="E37:F37"/>
    <mergeCell ref="E39:F39"/>
    <mergeCell ref="E26:F26"/>
    <mergeCell ref="E27:F27"/>
    <mergeCell ref="E28:F28"/>
    <mergeCell ref="E25:F25"/>
    <mergeCell ref="E22:F22"/>
    <mergeCell ref="E23:F23"/>
    <mergeCell ref="E21:F21"/>
    <mergeCell ref="E24:F24"/>
    <mergeCell ref="E18:F18"/>
    <mergeCell ref="E16:F16"/>
    <mergeCell ref="E19:F19"/>
    <mergeCell ref="E20:F20"/>
    <mergeCell ref="E4:F4"/>
    <mergeCell ref="E5:F5"/>
    <mergeCell ref="E6:F6"/>
    <mergeCell ref="E7:F7"/>
    <mergeCell ref="E8:F8"/>
    <mergeCell ref="E12:F12"/>
    <mergeCell ref="E17:F17"/>
    <mergeCell ref="E13:F13"/>
    <mergeCell ref="E14:F14"/>
    <mergeCell ref="E15:F15"/>
    <mergeCell ref="E9:F9"/>
    <mergeCell ref="E10:F10"/>
    <mergeCell ref="E11:F11"/>
    <mergeCell ref="C2:C3"/>
    <mergeCell ref="D2:D3"/>
    <mergeCell ref="B2:B3"/>
    <mergeCell ref="E2:F2"/>
  </mergeCells>
  <printOptions/>
  <pageMargins left="0.22" right="0.2" top="1" bottom="1" header="0.2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0"/>
  <sheetViews>
    <sheetView workbookViewId="0" topLeftCell="A1">
      <selection activeCell="C8" sqref="C8"/>
    </sheetView>
  </sheetViews>
  <sheetFormatPr defaultColWidth="9.140625" defaultRowHeight="12.75"/>
  <cols>
    <col min="2" max="2" width="16.140625" style="0" bestFit="1" customWidth="1"/>
    <col min="3" max="3" width="15.8515625" style="0" customWidth="1"/>
    <col min="4" max="4" width="23.140625" style="0" customWidth="1"/>
  </cols>
  <sheetData>
    <row r="2" spans="2:4" ht="40.5" customHeight="1" thickBot="1">
      <c r="B2" s="8" t="s">
        <v>1</v>
      </c>
      <c r="C2" s="9"/>
      <c r="D2" s="9"/>
    </row>
    <row r="3" spans="2:4" ht="41.25" customHeight="1" thickBot="1">
      <c r="B3" s="2" t="s">
        <v>0</v>
      </c>
      <c r="C3" s="3" t="s">
        <v>5</v>
      </c>
      <c r="D3" s="3" t="s">
        <v>4</v>
      </c>
    </row>
    <row r="4" spans="2:4" ht="12.75" hidden="1">
      <c r="B4" s="4">
        <v>38737</v>
      </c>
      <c r="C4" s="11">
        <f>(220+250+300+310+300+315)/6</f>
        <v>282.5</v>
      </c>
      <c r="D4" s="12"/>
    </row>
    <row r="5" spans="2:4" ht="12.75" hidden="1">
      <c r="B5" s="6">
        <v>38744</v>
      </c>
      <c r="C5" s="13">
        <f>(230+250+300+310+300+315)/6</f>
        <v>284.1666666666667</v>
      </c>
      <c r="D5" s="14"/>
    </row>
    <row r="6" spans="2:4" ht="12.75" hidden="1">
      <c r="B6" s="4">
        <f>B5+7</f>
        <v>38751</v>
      </c>
      <c r="C6" s="11">
        <f>(230+250+300+315+300+325)/6</f>
        <v>286.6666666666667</v>
      </c>
      <c r="D6" s="12"/>
    </row>
    <row r="7" spans="2:4" ht="12.75">
      <c r="B7" s="4">
        <f>B6+7</f>
        <v>38758</v>
      </c>
      <c r="C7" s="11">
        <f>(235+260+310+315+315+325)/6</f>
        <v>293.3333333333333</v>
      </c>
      <c r="D7" s="12"/>
    </row>
    <row r="8" spans="2:4" ht="12.75">
      <c r="B8" s="4">
        <f>B7+7</f>
        <v>38765</v>
      </c>
      <c r="C8" s="11">
        <f>(240+260+310+315+315+325)/6</f>
        <v>294.1666666666667</v>
      </c>
      <c r="D8" s="12"/>
    </row>
    <row r="9" spans="2:4" ht="12.75">
      <c r="B9" s="4">
        <f>B8+7</f>
        <v>38772</v>
      </c>
      <c r="C9" s="11">
        <f>(240+260+310+315+315+325)/6</f>
        <v>294.1666666666667</v>
      </c>
      <c r="D9" s="14"/>
    </row>
    <row r="10" spans="2:4" ht="13.5" thickBot="1">
      <c r="B10" s="7">
        <f>B9+7</f>
        <v>38779</v>
      </c>
      <c r="C10" s="16">
        <f>(240+260+310+315+315+325)/6</f>
        <v>294.1666666666667</v>
      </c>
      <c r="D10" s="15">
        <f>SUM(C7:C10)/COUNTA(C7:C10)</f>
        <v>293.95833333333337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CFLHD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 Services</dc:creator>
  <cp:keywords/>
  <dc:description/>
  <cp:lastModifiedBy>Harvey Bostwick</cp:lastModifiedBy>
  <cp:lastPrinted>2008-03-18T17:02:15Z</cp:lastPrinted>
  <dcterms:created xsi:type="dcterms:W3CDTF">2006-01-30T17:20:09Z</dcterms:created>
  <dcterms:modified xsi:type="dcterms:W3CDTF">2009-02-09T20:44:14Z</dcterms:modified>
  <cp:category/>
  <cp:version/>
  <cp:contentType/>
  <cp:contentStatus/>
</cp:coreProperties>
</file>