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activeTab="2"/>
  </bookViews>
  <sheets>
    <sheet name="$25M Formula" sheetId="1" r:id="rId1"/>
    <sheet name="$106M Block " sheetId="2" r:id="rId2"/>
    <sheet name="Total  $131m" sheetId="3" r:id="rId3"/>
    <sheet name="LIHH Heaters" sheetId="4" r:id="rId4"/>
    <sheet name="Temp Calc" sheetId="5" r:id="rId5"/>
  </sheets>
  <definedNames/>
  <calcPr fullCalcOnLoad="1"/>
</workbook>
</file>

<file path=xl/sharedStrings.xml><?xml version="1.0" encoding="utf-8"?>
<sst xmlns="http://schemas.openxmlformats.org/spreadsheetml/2006/main" count="473" uniqueCount="198">
  <si>
    <t>State</t>
  </si>
  <si>
    <t>Allocations to States by old-formula BG ratios.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</si>
  <si>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</si>
  <si>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</si>
  <si>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</si>
  <si>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</si>
  <si>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</si>
  <si>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</si>
  <si>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</si>
  <si>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</si>
  <si>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</si>
  <si>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</si>
  <si>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</si>
  <si>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</si>
  <si>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</si>
  <si>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</si>
  <si>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</si>
  <si>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</si>
  <si>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</si>
  <si>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</si>
  <si>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</si>
  <si>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</si>
  <si>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</si>
  <si>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</si>
  <si>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</si>
  <si>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</si>
  <si>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</si>
  <si>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</si>
  <si>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</si>
  <si>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</si>
  <si>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</si>
  <si>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</si>
  <si>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</si>
  <si>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</si>
  <si>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</si>
  <si>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</si>
  <si>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</si>
  <si>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</si>
  <si>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</si>
  <si>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</si>
  <si>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</si>
  <si>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</si>
  <si>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</si>
  <si>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</si>
  <si>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</si>
  <si>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</si>
  <si>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</si>
  <si>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</si>
  <si>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</si>
  <si>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</si>
  <si>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</si>
  <si>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</si>
  <si>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</si>
  <si>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</si>
  <si>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Emergency Contingency Release</t>
  </si>
  <si>
    <t>Allocations made in proportion to old-formula block grant percents.</t>
  </si>
  <si>
    <t>Gross Allotments</t>
  </si>
  <si>
    <t>Block Grant Allotment Ratios</t>
  </si>
  <si>
    <t xml:space="preserve"> </t>
  </si>
  <si>
    <t xml:space="preserve">  Total to States</t>
  </si>
  <si>
    <t>Total</t>
  </si>
  <si>
    <t>Territories</t>
  </si>
  <si>
    <t xml:space="preserve">  TOTAL to States</t>
  </si>
  <si>
    <t>Ratios by Territory</t>
  </si>
  <si>
    <t>Territory Allotments</t>
  </si>
  <si>
    <t>American Samoa</t>
  </si>
  <si>
    <t>Guam</t>
  </si>
  <si>
    <t>Northern Marianas</t>
  </si>
  <si>
    <t>Puerto Rico</t>
  </si>
  <si>
    <t>Virgin Islands</t>
  </si>
  <si>
    <t xml:space="preserve">  TOTAL to Territories</t>
  </si>
  <si>
    <t>State Total</t>
  </si>
  <si>
    <r>
      <t xml:space="preserve">Table11I(N).  </t>
    </r>
    <r>
      <rPr>
        <sz val="12"/>
        <color indexed="8"/>
        <rFont val="Arial"/>
        <family val="2"/>
      </rPr>
      <t>Number of Households with Household Income Less Than Or Equal To Greater of 150% of HHS Poverty Guidelines or 60% of HHS State Median Income Guidelines By Type of Heating Fuel</t>
    </r>
  </si>
  <si>
    <t>Geography</t>
  </si>
  <si>
    <t>Total households</t>
  </si>
  <si>
    <t>Heating Fuel</t>
  </si>
  <si>
    <t>Utiliy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</si>
  <si>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</si>
  <si>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</si>
  <si>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</si>
  <si>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</si>
  <si>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</si>
  <si>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</si>
  <si>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</si>
  <si>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</si>
  <si>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United States</t>
  </si>
  <si>
    <t>Northeast Region</t>
  </si>
  <si>
    <t>Midwest Region</t>
  </si>
  <si>
    <t>South Region</t>
  </si>
  <si>
    <t>West Region</t>
  </si>
  <si>
    <t>New England Division</t>
  </si>
  <si>
    <t>Middle Atlantic Division</t>
  </si>
  <si>
    <t>East North Central Division</t>
  </si>
  <si>
    <t>West North Central Division</t>
  </si>
  <si>
    <t>South Atlantic Division</t>
  </si>
  <si>
    <t>East South Central Division</t>
  </si>
  <si>
    <t>West South Central Division</t>
  </si>
  <si>
    <t>Mountain Division</t>
  </si>
  <si>
    <t>Pacific Division</t>
  </si>
  <si>
    <t>See technical notes for definitions.</t>
  </si>
  <si>
    <t>Weighted estimates compiled from 2000 Decennial Census Sample Edited Detail File by the U.S. Bureau of the Census for the U.S. Administration for Children and Families/HHS, February 2005.</t>
  </si>
  <si>
    <t>Data are based on the FY 2000 state median income estimates published in the Federal Register on February 26, 1999 (Volume 64, Number 38, pages 9513-9514), the 1999 HHS Poverty Guidelines published in the Federal Register on March 18, 1999 (Volume 64, Number 52, pages 13428-13430); and State-level household population as of April 2000 and household income for calendar year 19999 from the 2000 Decennial Census Sample Edited Detail File.</t>
  </si>
  <si>
    <t>Percent distributions may not sum to 100 percent due to rounding.</t>
  </si>
  <si>
    <t>Percent of Total Households with Household Income Less Than Or Equal To Greater of 150% of HHS Poverty Guidelines or 60% of HHS State Median Income Guidelines By Type of Heating Fuel</t>
  </si>
  <si>
    <t>POPULATION-WEIGHTED HEATING DEGREE DAY DATA MONTHLY SUMMARY</t>
  </si>
  <si>
    <t>Start date</t>
  </si>
  <si>
    <t xml:space="preserve">From </t>
  </si>
  <si>
    <t>http://www.cpc.ncep.noaa.gov/products/analysis_monitoring/cdus/degree_days/msahddy.txt</t>
  </si>
  <si>
    <t>End Date</t>
  </si>
  <si>
    <t>Number of Days</t>
  </si>
  <si>
    <t>Jan-07</t>
  </si>
  <si>
    <t>Feb-07</t>
  </si>
  <si>
    <t>Mar-07</t>
  </si>
  <si>
    <t>Oct-06 - Mar-07</t>
  </si>
  <si>
    <t>Cumulative Totals</t>
  </si>
  <si>
    <t>STATE/REGION</t>
  </si>
  <si>
    <t>Monthly TOTAL</t>
  </si>
  <si>
    <t>Monthly DEV FROM NORM</t>
  </si>
  <si>
    <t>Monthly %  DEV FROM NORM</t>
  </si>
  <si>
    <t>Average Temperature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</si>
  <si>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</si>
  <si>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</si>
  <si>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</si>
  <si>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</si>
  <si>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</si>
  <si>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</si>
  <si>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</si>
  <si>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</si>
  <si>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</si>
  <si>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</si>
  <si>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</si>
  <si>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</si>
  <si>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</si>
  <si>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</si>
  <si>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</si>
  <si>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</si>
  <si>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</si>
  <si>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</si>
  <si>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</si>
  <si>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</si>
  <si>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</si>
  <si>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</si>
  <si>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</si>
  <si>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</si>
  <si>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</si>
  <si>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</si>
  <si>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</si>
  <si>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</si>
  <si>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</si>
  <si>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</si>
  <si>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</si>
  <si>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</si>
  <si>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</si>
  <si>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</si>
  <si>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</si>
  <si>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</si>
  <si>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</si>
  <si>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</si>
  <si>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</si>
  <si>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</si>
  <si>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</si>
  <si>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</si>
  <si>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</si>
  <si>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</si>
  <si>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</si>
  <si>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</si>
  <si>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</si>
  <si>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</si>
  <si>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</si>
  <si>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</si>
  <si>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</si>
  <si>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NEW ENGLAND</t>
  </si>
  <si>
    <t>MIDDLE ATLANTIC</t>
  </si>
  <si>
    <t>E N CENTRAL</t>
  </si>
  <si>
    <t>W N CENTRAL</t>
  </si>
  <si>
    <t>SOUTH ATLANTIC</t>
  </si>
  <si>
    <t>E S CENTRAL</t>
  </si>
  <si>
    <t>W S CENTRAL</t>
  </si>
  <si>
    <t>MOUNTAIN</t>
  </si>
  <si>
    <t>PACIFIC</t>
  </si>
  <si>
    <t>DEA/KL&amp;PE 05-Mar-07</t>
  </si>
  <si>
    <t>Average Temperature Cutoff</t>
  </si>
  <si>
    <t>Cutoff for % LI HH Using FO</t>
  </si>
  <si>
    <t>Allocation made in proportion to old block grant percents, weighted by % of low income fuel oil users, of States not excluded</t>
  </si>
  <si>
    <t>Low Income households defined as households with incomes less than the Federal LIHEAP maximum.</t>
  </si>
  <si>
    <t>Avg temp (° F)</t>
  </si>
  <si>
    <t>OIL % HH Using fuel for heat</t>
  </si>
  <si>
    <t>OIL % Low Income HH Using fuel for heat</t>
  </si>
  <si>
    <t>Households with Incomes below 150% FPL (2000 Census Special Tab)</t>
  </si>
  <si>
    <t>Source of % Low Income Oil users: 2000 Census Special Tabulations for ACF</t>
  </si>
  <si>
    <t>`</t>
  </si>
  <si>
    <t xml:space="preserve">State Gross Allocations under the Emergency Contingency Release </t>
  </si>
  <si>
    <t>Block Grant Allocation Ratios</t>
  </si>
  <si>
    <t>Territory Allocations</t>
  </si>
  <si>
    <t>Territories will not receive Allocations from this portion of the EC release.</t>
  </si>
  <si>
    <t>25-Sep-07</t>
  </si>
  <si>
    <t>DEA/PE 25-Sep-07</t>
  </si>
  <si>
    <t>Attachment 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</si>
</sst>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"/>
    <numFmt numFmtId="166" formatCode="0.00000000_)"/>
    <numFmt numFmtId="167" formatCode="0.00000000%"/>
    <numFmt numFmtId="168" formatCode="#,##0.00000000_);\(#,##0.00000000\)"/>
    <numFmt numFmtId="169" formatCode="0.0%"/>
    <numFmt numFmtId="170" formatCode="0.0"/>
    <numFmt numFmtId="171" formatCode="0\ \°\ \F"/>
    <numFmt numFmtId="172" formatCode="0.0\ \°\ \F"/>
    <numFmt numFmtId="173" formatCode="0\ \d\e\g\r\e\e\s"/>
    <numFmt numFmtId="174" formatCode="#,##0.00000000"/>
    <numFmt numFmtId="175" formatCode="0.000%"/>
    <numFmt numFmtId="176" formatCode="&quot;$&quot;#,##0.00000000"/>
    <numFmt numFmtId="177" formatCode="&quot;$&quot;#,##0.0000000"/>
  </numFmts>
  <fonts count="1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ourier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1" xfId="24" applyFill="1" applyBorder="1">
      <alignment/>
      <protection/>
    </xf>
    <xf numFmtId="0" fontId="0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7" fontId="1" fillId="0" borderId="0" xfId="22" applyNumberFormat="1" applyFont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166" fontId="0" fillId="0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8" fontId="0" fillId="0" borderId="0" xfId="22" applyNumberFormat="1" applyFont="1" applyFill="1" applyBorder="1" applyProtection="1">
      <alignment/>
      <protection/>
    </xf>
    <xf numFmtId="0" fontId="1" fillId="0" borderId="2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37" fontId="0" fillId="0" borderId="0" xfId="22" applyNumberFormat="1" applyFont="1" applyFill="1" applyBorder="1" applyAlignment="1" applyProtection="1">
      <alignment horizontal="center"/>
      <protection/>
    </xf>
    <xf numFmtId="5" fontId="1" fillId="0" borderId="0" xfId="22" applyNumberFormat="1" applyFont="1" applyFill="1" applyBorder="1" applyProtection="1">
      <alignment/>
      <protection/>
    </xf>
    <xf numFmtId="37" fontId="0" fillId="0" borderId="0" xfId="22" applyNumberFormat="1" applyFont="1" applyFill="1" applyBorder="1" applyAlignment="1" applyProtection="1">
      <alignment horizontal="left"/>
      <protection/>
    </xf>
    <xf numFmtId="0" fontId="1" fillId="0" borderId="2" xfId="23" applyFont="1" applyFill="1" applyBorder="1">
      <alignment/>
      <protection/>
    </xf>
    <xf numFmtId="164" fontId="1" fillId="0" borderId="2" xfId="23" applyNumberFormat="1" applyFont="1" applyFill="1" applyBorder="1">
      <alignment/>
      <protection/>
    </xf>
    <xf numFmtId="0" fontId="1" fillId="0" borderId="0" xfId="23" applyFont="1" applyFill="1" applyBorder="1">
      <alignment/>
      <protection/>
    </xf>
    <xf numFmtId="0" fontId="0" fillId="0" borderId="0" xfId="20" applyFont="1" applyFill="1" applyBorder="1">
      <alignment/>
      <protection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Alignment="1">
      <alignment/>
    </xf>
    <xf numFmtId="0" fontId="12" fillId="0" borderId="0" xfId="25" applyFont="1" applyFill="1" applyAlignment="1">
      <alignment/>
      <protection/>
    </xf>
    <xf numFmtId="0" fontId="13" fillId="0" borderId="0" xfId="25" applyFont="1" applyFill="1">
      <alignment/>
      <protection/>
    </xf>
    <xf numFmtId="0" fontId="13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25" applyFont="1" applyFill="1">
      <alignment/>
      <protection/>
    </xf>
    <xf numFmtId="169" fontId="12" fillId="0" borderId="0" xfId="26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0" fontId="0" fillId="0" borderId="0" xfId="21" applyFont="1" applyAlignment="1">
      <alignment/>
      <protection/>
    </xf>
    <xf numFmtId="0" fontId="0" fillId="0" borderId="0" xfId="21" applyFont="1">
      <alignment/>
      <protection/>
    </xf>
    <xf numFmtId="14" fontId="0" fillId="0" borderId="0" xfId="21" applyNumberFormat="1" applyFont="1">
      <alignment/>
      <protection/>
    </xf>
    <xf numFmtId="0" fontId="14" fillId="0" borderId="0" xfId="19" applyFont="1" applyAlignment="1">
      <alignment horizontal="left"/>
    </xf>
    <xf numFmtId="0" fontId="14" fillId="0" borderId="0" xfId="19" applyFont="1" applyAlignment="1">
      <alignment horizontal="left" wrapText="1"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1" fontId="0" fillId="0" borderId="0" xfId="21" applyNumberFormat="1" applyFo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/>
      <protection/>
    </xf>
    <xf numFmtId="0" fontId="0" fillId="0" borderId="5" xfId="21" applyFont="1" applyBorder="1" applyAlignment="1">
      <alignment wrapText="1"/>
      <protection/>
    </xf>
    <xf numFmtId="0" fontId="0" fillId="0" borderId="5" xfId="21" applyFont="1" applyBorder="1" applyAlignment="1">
      <alignment horizontal="right" wrapText="1"/>
      <protection/>
    </xf>
    <xf numFmtId="0" fontId="0" fillId="0" borderId="6" xfId="21" applyFont="1" applyBorder="1" applyAlignment="1">
      <alignment horizontal="right" wrapText="1"/>
      <protection/>
    </xf>
    <xf numFmtId="0" fontId="0" fillId="0" borderId="7" xfId="21" applyFont="1" applyBorder="1" applyAlignment="1">
      <alignment horizontal="right" wrapText="1"/>
      <protection/>
    </xf>
    <xf numFmtId="0" fontId="0" fillId="0" borderId="4" xfId="21" applyFont="1" applyBorder="1" applyAlignment="1">
      <alignment wrapText="1"/>
      <protection/>
    </xf>
    <xf numFmtId="0" fontId="0" fillId="0" borderId="0" xfId="21" applyNumberFormat="1" applyFont="1" applyFill="1" applyBorder="1">
      <alignment/>
      <protection/>
    </xf>
    <xf numFmtId="9" fontId="0" fillId="0" borderId="4" xfId="21" applyNumberFormat="1" applyFont="1" applyFill="1" applyBorder="1">
      <alignment/>
      <protection/>
    </xf>
    <xf numFmtId="9" fontId="0" fillId="0" borderId="0" xfId="21" applyNumberFormat="1" applyFont="1" applyFill="1" applyBorder="1">
      <alignment/>
      <protection/>
    </xf>
    <xf numFmtId="0" fontId="0" fillId="0" borderId="1" xfId="21" applyNumberFormat="1" applyFont="1" applyFill="1" applyBorder="1">
      <alignment/>
      <protection/>
    </xf>
    <xf numFmtId="171" fontId="0" fillId="0" borderId="4" xfId="21" applyNumberFormat="1" applyFont="1" applyBorder="1">
      <alignment/>
      <protection/>
    </xf>
    <xf numFmtId="172" fontId="0" fillId="0" borderId="4" xfId="21" applyNumberFormat="1" applyFont="1" applyBorder="1">
      <alignment/>
      <protection/>
    </xf>
    <xf numFmtId="0" fontId="0" fillId="0" borderId="0" xfId="21" applyFont="1" applyBorder="1" applyAlignment="1">
      <alignment wrapText="1"/>
      <protection/>
    </xf>
    <xf numFmtId="0" fontId="0" fillId="0" borderId="0" xfId="21" applyFont="1" applyFill="1" applyBorder="1">
      <alignment/>
      <protection/>
    </xf>
    <xf numFmtId="0" fontId="15" fillId="0" borderId="0" xfId="21" applyFont="1" applyAlignment="1">
      <alignment wrapText="1"/>
      <protection/>
    </xf>
    <xf numFmtId="0" fontId="15" fillId="0" borderId="0" xfId="21" applyFont="1">
      <alignment/>
      <protection/>
    </xf>
    <xf numFmtId="0" fontId="15" fillId="0" borderId="0" xfId="21" applyNumberFormat="1" applyFont="1" applyFill="1" applyBorder="1">
      <alignment/>
      <protection/>
    </xf>
    <xf numFmtId="9" fontId="15" fillId="0" borderId="0" xfId="21" applyNumberFormat="1" applyFont="1" applyFill="1" applyBorder="1">
      <alignment/>
      <protection/>
    </xf>
    <xf numFmtId="0" fontId="0" fillId="0" borderId="0" xfId="21">
      <alignment/>
      <protection/>
    </xf>
    <xf numFmtId="0" fontId="0" fillId="0" borderId="0" xfId="21" applyAlignment="1">
      <alignment/>
      <protection/>
    </xf>
    <xf numFmtId="0" fontId="0" fillId="0" borderId="0" xfId="21" applyAlignment="1">
      <alignment wrapText="1"/>
      <protection/>
    </xf>
    <xf numFmtId="1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165" fontId="8" fillId="0" borderId="0" xfId="0" applyNumberFormat="1" applyFont="1" applyFill="1" applyAlignment="1">
      <alignment horizontal="left" wrapText="1"/>
    </xf>
    <xf numFmtId="173" fontId="1" fillId="0" borderId="0" xfId="0" applyNumberFormat="1" applyFont="1" applyFill="1" applyAlignment="1">
      <alignment horizontal="center"/>
    </xf>
    <xf numFmtId="9" fontId="1" fillId="0" borderId="0" xfId="26" applyFont="1" applyFill="1" applyAlignment="1">
      <alignment horizontal="center"/>
    </xf>
    <xf numFmtId="165" fontId="1" fillId="0" borderId="0" xfId="26" applyNumberFormat="1" applyFont="1" applyFill="1" applyAlignment="1">
      <alignment horizontal="center"/>
    </xf>
    <xf numFmtId="9" fontId="16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171" fontId="0" fillId="0" borderId="0" xfId="21" applyNumberFormat="1" applyFont="1" applyBorder="1">
      <alignment/>
      <protection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 quotePrefix="1">
      <alignment/>
    </xf>
    <xf numFmtId="37" fontId="8" fillId="0" borderId="0" xfId="22" applyNumberFormat="1" applyFont="1" applyBorder="1" applyAlignment="1" applyProtection="1">
      <alignment horizontal="center" wrapText="1"/>
      <protection/>
    </xf>
    <xf numFmtId="0" fontId="1" fillId="0" borderId="2" xfId="23" applyFont="1" applyFill="1" applyBorder="1" applyAlignment="1">
      <alignment horizontal="center"/>
      <protection/>
    </xf>
    <xf numFmtId="5" fontId="0" fillId="0" borderId="0" xfId="22" applyNumberFormat="1" applyFont="1" applyFill="1" applyBorder="1" applyProtection="1">
      <alignment/>
      <protection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 quotePrefix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8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3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8" xfId="0" applyFont="1" applyFill="1" applyBorder="1" applyAlignment="1">
      <alignment wrapText="1"/>
    </xf>
    <xf numFmtId="17" fontId="0" fillId="0" borderId="0" xfId="21" applyNumberFormat="1" applyFont="1" applyBorder="1" applyAlignment="1" quotePrefix="1">
      <alignment horizontal="center" wrapText="1"/>
      <protection/>
    </xf>
    <xf numFmtId="0" fontId="0" fillId="0" borderId="0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17" fontId="0" fillId="0" borderId="1" xfId="21" applyNumberFormat="1" applyFont="1" applyBorder="1" applyAlignment="1" quotePrefix="1">
      <alignment horizontal="center" wrapText="1"/>
      <protection/>
    </xf>
    <xf numFmtId="17" fontId="0" fillId="0" borderId="4" xfId="21" applyNumberFormat="1" applyFont="1" applyBorder="1" applyAlignment="1" quotePrefix="1">
      <alignment horizontal="center" wrapText="1"/>
      <protection/>
    </xf>
    <xf numFmtId="0" fontId="0" fillId="0" borderId="1" xfId="21" applyFont="1" applyBorder="1" applyAlignment="1">
      <alignment horizontal="center"/>
      <protection/>
    </xf>
    <xf numFmtId="17" fontId="0" fillId="0" borderId="0" xfId="21" applyNumberFormat="1" applyFont="1" applyBorder="1" applyAlignment="1">
      <alignment horizontal="center" wrapText="1"/>
      <protection/>
    </xf>
    <xf numFmtId="0" fontId="1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Hyperlink_06-07HDD_Monthly_10-03" xfId="19"/>
    <cellStyle name="Normal_$50M_LIHEAP_EC_08Aug28_341CDD&amp;61Dev" xfId="20"/>
    <cellStyle name="Normal_06-07HDD_Monthly_10-03" xfId="21"/>
    <cellStyle name="Normal_2005-LIHEAP Allocations-$1.884B-FINAL" xfId="22"/>
    <cellStyle name="Normal_2006-Contg-9-12-06-FINAL 14 STATES" xfId="23"/>
    <cellStyle name="Normal_LIHEAP - Increases in Block Grant" xfId="24"/>
    <cellStyle name="Normal_State &amp; Region HTGFUEL 2000 (LI HH)" xfId="25"/>
    <cellStyle name="Percent" xfId="26"/>
  </cellStyles>
  <dxfs count="2">
    <dxf>
      <fill>
        <patternFill>
          <bgColor rgb="FFFF99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pc.ncep.noaa.gov/products/analysis_monitoring/cdus/degree_days/msahddy.tx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L78"/>
  <sheetViews>
    <sheetView workbookViewId="0" topLeftCell="A1">
      <pane xSplit="1" ySplit="8" topLeftCell="B9" activePane="bottomRight" state="frozen"/>
      <selection pane="topLeft" activeCell="A3" sqref="A3:D3"/>
      <selection pane="topRight" activeCell="A3" sqref="A3:D3"/>
      <selection pane="bottomLeft" activeCell="A3" sqref="A3:D3"/>
      <selection pane="bottomRight" activeCell="C9" sqref="C9"/>
    </sheetView>
  </sheetViews>
  <sheetFormatPr defaultColWidth="9.140625" defaultRowHeight="12.75"/>
  <cols>
    <col min="1" max="1" width="21.140625" style="2" customWidth="1"/>
    <col min="2" max="2" width="18.00390625" style="2" customWidth="1"/>
    <col min="3" max="3" width="16.421875" style="2" bestFit="1" customWidth="1"/>
    <col min="4" max="4" width="19.28125" style="21" bestFit="1" customWidth="1"/>
    <col min="5" max="5" width="17.421875" style="2" bestFit="1" customWidth="1"/>
    <col min="6" max="6" width="16.00390625" style="2" customWidth="1"/>
    <col min="7" max="7" width="15.8515625" style="2" bestFit="1" customWidth="1"/>
    <col min="8" max="8" width="13.140625" style="2" customWidth="1"/>
    <col min="9" max="9" width="16.7109375" style="2" customWidth="1"/>
    <col min="10" max="10" width="12.8515625" style="2" customWidth="1"/>
    <col min="11" max="16384" width="9.140625" style="2" customWidth="1"/>
  </cols>
  <sheetData>
    <row r="1" spans="1:10" ht="12.75">
      <c r="A1" s="101" t="str">
        <f>"Low Income Home Energy Assistance Program (LIHEAP) Gross State Allocations of "&amp;TEXT(E5/1000000,"$0.00")&amp;" Million in Emergency Contingency Funds Reflecting LI Households using Fuel Oil for Heat"</f>
        <v>Low Income Home Energy Assistance Program (LIHEAP) Gross State Allocations of $25.00 Million in Emergency Contingency Funds Reflecting LI Households using Fuel Oil for Heat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2" t="s">
        <v>195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9" t="str">
        <f>IF(COLUMN()&lt;=26,CHAR(64+COLUMN()),CHAR(64+ROUNDDOWN((COLUMN()-1)/26,0))&amp;CHAR(65+MOD((COLUMN()-1),26)))</f>
        <v>A</v>
      </c>
      <c r="B3" s="9" t="str">
        <f>IF(COLUMN()&lt;=26,CHAR(64+COLUMN()),CHAR(64+ROUNDDOWN((COLUMN()-1)/26,0))&amp;CHAR(65+MOD((COLUMN()-1),26)))</f>
        <v>B</v>
      </c>
      <c r="C3" s="9" t="str">
        <f>IF(COLUMN()&lt;=26,CHAR(64+COLUMN()),CHAR(64+ROUNDDOWN((COLUMN()-1)/26,0))&amp;CHAR(65+MOD((COLUMN()-1),26)))</f>
        <v>C</v>
      </c>
      <c r="D3" s="9" t="str">
        <f aca="true" t="shared" si="0" ref="D3:J3">IF(COLUMN()&lt;=26,CHAR(64+COLUMN()),CHAR(64+ROUNDDOWN((COLUMN()-1)/26,0))&amp;CHAR(65+MOD((COLUMN()-1),26)))</f>
        <v>D</v>
      </c>
      <c r="E3" s="9" t="str">
        <f t="shared" si="0"/>
        <v>E</v>
      </c>
      <c r="F3" s="9" t="str">
        <f t="shared" si="0"/>
        <v>F</v>
      </c>
      <c r="G3" s="9" t="str">
        <f t="shared" si="0"/>
        <v>G</v>
      </c>
      <c r="H3" s="9" t="str">
        <f t="shared" si="0"/>
        <v>H</v>
      </c>
      <c r="I3" s="9" t="str">
        <f t="shared" si="0"/>
        <v>I</v>
      </c>
      <c r="J3" s="10" t="str">
        <f t="shared" si="0"/>
        <v>J</v>
      </c>
    </row>
    <row r="4" spans="1:10" ht="38.25">
      <c r="A4" s="80"/>
      <c r="B4" s="9"/>
      <c r="C4" s="9"/>
      <c r="D4" s="9"/>
      <c r="E4" s="81" t="s">
        <v>54</v>
      </c>
      <c r="F4" s="82" t="s">
        <v>181</v>
      </c>
      <c r="G4" s="82" t="s">
        <v>182</v>
      </c>
      <c r="I4" s="82"/>
      <c r="J4" s="83"/>
    </row>
    <row r="5" spans="1:10" ht="43.5" customHeight="1">
      <c r="A5" s="103" t="str">
        <f>"Exclusion: States with at least "&amp;TEXT(G5,"0%")&amp;" of Low Income HH using oil and with average population-weighted temperature from Oct. 1- Mar. 31 under "&amp;TEXT(F5,0)&amp;" degrees F."</f>
        <v>Exclusion: States with at least 30% of Low Income HH using oil and with average population-weighted temperature from Oct. 1- Mar. 31 under 47 degrees F.</v>
      </c>
      <c r="B5" s="103"/>
      <c r="C5" s="103"/>
      <c r="D5" s="103"/>
      <c r="E5" s="12">
        <v>25000000</v>
      </c>
      <c r="F5" s="84">
        <v>47</v>
      </c>
      <c r="G5" s="85">
        <v>0.3</v>
      </c>
      <c r="I5" s="85"/>
      <c r="J5" s="86"/>
    </row>
    <row r="6" spans="1:10" ht="12.75">
      <c r="A6" s="11" t="s">
        <v>183</v>
      </c>
      <c r="D6" s="10"/>
      <c r="E6" s="87"/>
      <c r="F6" s="9"/>
      <c r="J6" s="13"/>
    </row>
    <row r="7" spans="1:10" ht="12.75">
      <c r="A7" s="11" t="s">
        <v>184</v>
      </c>
      <c r="D7" s="10"/>
      <c r="E7" s="87"/>
      <c r="F7" s="9"/>
      <c r="J7" s="13"/>
    </row>
    <row r="8" spans="2:10" s="15" customFormat="1" ht="56.25">
      <c r="B8" s="16" t="s">
        <v>192</v>
      </c>
      <c r="C8" s="16" t="s">
        <v>185</v>
      </c>
      <c r="D8" s="16" t="s">
        <v>186</v>
      </c>
      <c r="E8" s="16" t="s">
        <v>187</v>
      </c>
      <c r="F8" s="16" t="str">
        <f>"Block Grant Allocation Ratios for &gt;="&amp;TEXT(G5,"0%")&amp;" OIL and &lt;"&amp;TEXT(F5,0)&amp;" Degrees"</f>
        <v>Block Grant Allocation Ratios for &gt;=30% OIL and &lt;47 Degrees</v>
      </c>
      <c r="G8" s="16" t="str">
        <f>"Block % Weighted by Oil User % (Col "&amp;E3&amp;" X Col "&amp;F3&amp;")"</f>
        <v>Block % Weighted by Oil User % (Col E X Col F)</v>
      </c>
      <c r="H8" s="16" t="s">
        <v>188</v>
      </c>
      <c r="I8" s="16" t="str">
        <f>"Share Based on Weighted Block Grant Allocation Ratios (Col "&amp;$G$3&amp;" Div by Tot for Col "&amp;$G$3&amp;")"</f>
        <v>Share Based on Weighted Block Grant Allocation Ratios (Col G Div by Tot for Col G)</v>
      </c>
      <c r="J8" s="17" t="str">
        <f>"100% Award Based on OIL and Avg. Temp. ("&amp;TEXT(D66/1000000,"$0.00")&amp;" Million X Col. "&amp;I3&amp;")"</f>
        <v>100% Award Based on OIL and Avg. Temp. ($25.00 Million X Col. I)</v>
      </c>
    </row>
    <row r="9" spans="4:10" ht="12.75">
      <c r="D9" s="88"/>
      <c r="E9" s="88"/>
      <c r="F9" s="88"/>
      <c r="G9" s="88"/>
      <c r="H9" s="88"/>
      <c r="I9" s="89"/>
      <c r="J9" s="18"/>
    </row>
    <row r="10" spans="1:10" ht="12.75">
      <c r="A10" s="2" t="s">
        <v>2</v>
      </c>
      <c r="B10" s="19">
        <v>0.00860045</v>
      </c>
      <c r="C10" s="90">
        <f>'Temp Calc'!X7</f>
        <v>51.84615384615385</v>
      </c>
      <c r="D10" s="91">
        <f>'LIHH Heaters'!F95</f>
        <v>0.007138133758481063</v>
      </c>
      <c r="E10" s="91">
        <f>IF(AND(C10&lt;$F$5,D10&gt;=$G$5),D10,"")</f>
      </c>
      <c r="F10" s="19">
        <f>IF(E10="","",B10)</f>
      </c>
      <c r="G10" s="19">
        <f>IF(E10="",0,E10*F10)</f>
        <v>0</v>
      </c>
      <c r="H10" s="92">
        <v>548610</v>
      </c>
      <c r="I10" s="93">
        <f>G10/$G$62</f>
        <v>0</v>
      </c>
      <c r="J10" s="12">
        <f>ROUND(I10*$D$66,0)</f>
        <v>0</v>
      </c>
    </row>
    <row r="11" spans="1:10" ht="12.75">
      <c r="A11" s="2" t="s">
        <v>3</v>
      </c>
      <c r="B11" s="19">
        <v>0.00548986</v>
      </c>
      <c r="C11" s="90">
        <f>'Temp Calc'!X8</f>
        <v>17.74175824175824</v>
      </c>
      <c r="D11" s="91">
        <f>'LIHH Heaters'!F96</f>
        <v>0.376902780596712</v>
      </c>
      <c r="E11" s="91">
        <f aca="true" t="shared" si="1" ref="E11:E60">IF(AND(C11&lt;$F$5,D11&gt;=$G$5),D11,"")</f>
        <v>0.376902780596712</v>
      </c>
      <c r="F11" s="19">
        <f aca="true" t="shared" si="2" ref="F11:F60">IF(E11="","",B11)</f>
        <v>0.00548986</v>
      </c>
      <c r="G11" s="19">
        <f aca="true" t="shared" si="3" ref="G11:G60">IF(E11="",0,E11*F11)</f>
        <v>0.0020691434990866655</v>
      </c>
      <c r="H11" s="92">
        <v>49205</v>
      </c>
      <c r="I11" s="93">
        <f aca="true" t="shared" si="4" ref="I11:I60">G11/$G$62</f>
        <v>0.046711385482388096</v>
      </c>
      <c r="J11" s="12">
        <f>ROUND(I11*$D$66,0)</f>
        <v>1167785</v>
      </c>
    </row>
    <row r="12" spans="1:10" ht="12.75">
      <c r="A12" s="2" t="s">
        <v>4</v>
      </c>
      <c r="B12" s="19">
        <v>0.00415928</v>
      </c>
      <c r="C12" s="90">
        <f>'Temp Calc'!X9</f>
        <v>54.8021978021978</v>
      </c>
      <c r="D12" s="91">
        <f>'LIHH Heaters'!F97</f>
        <v>0.0013770499265952725</v>
      </c>
      <c r="E12" s="91">
        <f t="shared" si="1"/>
      </c>
      <c r="F12" s="19">
        <f t="shared" si="2"/>
      </c>
      <c r="G12" s="19">
        <f t="shared" si="3"/>
        <v>0</v>
      </c>
      <c r="H12" s="92">
        <v>437260</v>
      </c>
      <c r="I12" s="93">
        <f t="shared" si="4"/>
        <v>0</v>
      </c>
      <c r="J12" s="12">
        <f aca="true" t="shared" si="5" ref="J12:J60">ROUND(I12*$D$66,0)</f>
        <v>0</v>
      </c>
    </row>
    <row r="13" spans="1:10" ht="12.75">
      <c r="A13" s="2" t="s">
        <v>5</v>
      </c>
      <c r="B13" s="19">
        <v>0.00656255</v>
      </c>
      <c r="C13" s="90">
        <f>'Temp Calc'!X10</f>
        <v>48.97802197802198</v>
      </c>
      <c r="D13" s="91">
        <f>'LIHH Heaters'!F98</f>
        <v>0.001561393634597578</v>
      </c>
      <c r="E13" s="91">
        <f t="shared" si="1"/>
      </c>
      <c r="F13" s="19">
        <f t="shared" si="2"/>
      </c>
      <c r="G13" s="19">
        <f t="shared" si="3"/>
        <v>0</v>
      </c>
      <c r="H13" s="92">
        <v>275030</v>
      </c>
      <c r="I13" s="93">
        <f t="shared" si="4"/>
        <v>0</v>
      </c>
      <c r="J13" s="12">
        <f t="shared" si="5"/>
        <v>0</v>
      </c>
    </row>
    <row r="14" spans="1:10" ht="12.75">
      <c r="A14" s="2" t="s">
        <v>6</v>
      </c>
      <c r="B14" s="19">
        <v>0.04613891</v>
      </c>
      <c r="C14" s="90">
        <f>'Temp Calc'!X11</f>
        <v>54.120879120879124</v>
      </c>
      <c r="D14" s="91">
        <f>'LIHH Heaters'!F99</f>
        <v>0.0035464671481736016</v>
      </c>
      <c r="E14" s="91">
        <f t="shared" si="1"/>
      </c>
      <c r="F14" s="19">
        <f t="shared" si="2"/>
      </c>
      <c r="G14" s="19">
        <f t="shared" si="3"/>
        <v>0</v>
      </c>
      <c r="H14" s="92">
        <v>3078430</v>
      </c>
      <c r="I14" s="93">
        <f t="shared" si="4"/>
        <v>0</v>
      </c>
      <c r="J14" s="12">
        <f t="shared" si="5"/>
        <v>0</v>
      </c>
    </row>
    <row r="15" spans="1:10" ht="12.75">
      <c r="A15" s="2" t="s">
        <v>7</v>
      </c>
      <c r="B15" s="19">
        <v>0.0160872</v>
      </c>
      <c r="C15" s="90">
        <f>'Temp Calc'!X12</f>
        <v>33.96153846153846</v>
      </c>
      <c r="D15" s="91">
        <f>'LIHH Heaters'!F100</f>
        <v>0.001823398151099777</v>
      </c>
      <c r="E15" s="91">
        <f t="shared" si="1"/>
      </c>
      <c r="F15" s="19">
        <f t="shared" si="2"/>
      </c>
      <c r="G15" s="19">
        <f t="shared" si="3"/>
        <v>0</v>
      </c>
      <c r="H15" s="92">
        <v>390285</v>
      </c>
      <c r="I15" s="93">
        <f t="shared" si="4"/>
        <v>0</v>
      </c>
      <c r="J15" s="12">
        <f t="shared" si="5"/>
        <v>0</v>
      </c>
    </row>
    <row r="16" spans="1:10" ht="12.75">
      <c r="A16" s="2" t="s">
        <v>8</v>
      </c>
      <c r="B16" s="19">
        <v>0.02098632</v>
      </c>
      <c r="C16" s="90">
        <f>'Temp Calc'!X13</f>
        <v>38.9065934065934</v>
      </c>
      <c r="D16" s="91">
        <f>'LIHH Heaters'!F101</f>
        <v>0.41850758563877255</v>
      </c>
      <c r="E16" s="91">
        <f t="shared" si="1"/>
        <v>0.41850758563877255</v>
      </c>
      <c r="F16" s="19">
        <f t="shared" si="2"/>
        <v>0.02098632</v>
      </c>
      <c r="G16" s="19">
        <f t="shared" si="3"/>
        <v>0.008782934114642685</v>
      </c>
      <c r="H16" s="92">
        <v>363170</v>
      </c>
      <c r="I16" s="93">
        <f t="shared" si="4"/>
        <v>0.1982767368607274</v>
      </c>
      <c r="J16" s="12">
        <f t="shared" si="5"/>
        <v>4956918</v>
      </c>
    </row>
    <row r="17" spans="1:10" ht="12.75">
      <c r="A17" s="2" t="s">
        <v>9</v>
      </c>
      <c r="B17" s="19">
        <v>0.00278553</v>
      </c>
      <c r="C17" s="90">
        <f>'Temp Calc'!X14</f>
        <v>43.747252747252745</v>
      </c>
      <c r="D17" s="91">
        <f>'LIHH Heaters'!F102</f>
        <v>0.28111737505542533</v>
      </c>
      <c r="E17" s="91">
        <f t="shared" si="1"/>
      </c>
      <c r="F17" s="19">
        <f t="shared" si="2"/>
      </c>
      <c r="G17" s="19">
        <f t="shared" si="3"/>
        <v>0</v>
      </c>
      <c r="H17" s="92">
        <v>78065</v>
      </c>
      <c r="I17" s="93">
        <f t="shared" si="4"/>
        <v>0</v>
      </c>
      <c r="J17" s="12">
        <f t="shared" si="5"/>
        <v>0</v>
      </c>
    </row>
    <row r="18" spans="1:10" ht="12.75">
      <c r="A18" s="3" t="s">
        <v>10</v>
      </c>
      <c r="B18" s="19">
        <v>0.00325921</v>
      </c>
      <c r="C18" s="90">
        <f>'Temp Calc'!X15</f>
        <v>45.47802197802198</v>
      </c>
      <c r="D18" s="91">
        <f>'LIHH Heaters'!F103</f>
        <v>0.06038647342995169</v>
      </c>
      <c r="E18" s="91">
        <f t="shared" si="1"/>
      </c>
      <c r="F18" s="19">
        <f t="shared" si="2"/>
      </c>
      <c r="G18" s="19">
        <f t="shared" si="3"/>
        <v>0</v>
      </c>
      <c r="H18" s="92">
        <v>74010</v>
      </c>
      <c r="I18" s="93">
        <f t="shared" si="4"/>
        <v>0</v>
      </c>
      <c r="J18" s="12">
        <f t="shared" si="5"/>
        <v>0</v>
      </c>
    </row>
    <row r="19" spans="1:10" ht="12.75">
      <c r="A19" s="2" t="s">
        <v>11</v>
      </c>
      <c r="B19" s="19">
        <v>0.01360848</v>
      </c>
      <c r="C19" s="90">
        <f>'Temp Calc'!X16</f>
        <v>62.137362637362635</v>
      </c>
      <c r="D19" s="91">
        <f>'LIHH Heaters'!F104</f>
        <v>0.014197600159656739</v>
      </c>
      <c r="E19" s="91">
        <f t="shared" si="1"/>
      </c>
      <c r="F19" s="19">
        <f t="shared" si="2"/>
      </c>
      <c r="G19" s="19">
        <f t="shared" si="3"/>
        <v>0</v>
      </c>
      <c r="H19" s="92">
        <v>1598425</v>
      </c>
      <c r="I19" s="93">
        <f t="shared" si="4"/>
        <v>0</v>
      </c>
      <c r="J19" s="12">
        <f t="shared" si="5"/>
        <v>0</v>
      </c>
    </row>
    <row r="20" spans="1:10" ht="12.75">
      <c r="A20" s="2" t="s">
        <v>12</v>
      </c>
      <c r="B20" s="19">
        <v>0.01075959</v>
      </c>
      <c r="C20" s="90">
        <f>'Temp Calc'!X17</f>
        <v>51.565934065934066</v>
      </c>
      <c r="D20" s="91">
        <f>'LIHH Heaters'!F105</f>
        <v>0.011070274944680419</v>
      </c>
      <c r="E20" s="91">
        <f t="shared" si="1"/>
      </c>
      <c r="F20" s="19">
        <f t="shared" si="2"/>
      </c>
      <c r="G20" s="19">
        <f t="shared" si="3"/>
        <v>0</v>
      </c>
      <c r="H20" s="92">
        <v>782825</v>
      </c>
      <c r="I20" s="93">
        <f t="shared" si="4"/>
        <v>0</v>
      </c>
      <c r="J20" s="12">
        <f t="shared" si="5"/>
        <v>0</v>
      </c>
    </row>
    <row r="21" spans="1:10" ht="12.75">
      <c r="A21" s="2" t="s">
        <v>13</v>
      </c>
      <c r="B21" s="19">
        <v>0.00108355</v>
      </c>
      <c r="C21" s="90">
        <f>'Temp Calc'!X18</f>
        <v>65</v>
      </c>
      <c r="D21" s="91">
        <f>'LIHH Heaters'!F106</f>
        <v>0.0016432626232446967</v>
      </c>
      <c r="E21" s="91">
        <f t="shared" si="1"/>
      </c>
      <c r="F21" s="19"/>
      <c r="G21" s="19">
        <f t="shared" si="3"/>
        <v>0</v>
      </c>
      <c r="H21" s="92">
        <v>100025</v>
      </c>
      <c r="I21" s="93">
        <f t="shared" si="4"/>
        <v>0</v>
      </c>
      <c r="J21" s="12">
        <f t="shared" si="5"/>
        <v>0</v>
      </c>
    </row>
    <row r="22" spans="1:10" ht="12.75">
      <c r="A22" s="2" t="s">
        <v>14</v>
      </c>
      <c r="B22" s="19">
        <v>0.00627508</v>
      </c>
      <c r="C22" s="90">
        <f>'Temp Calc'!X19</f>
        <v>35.17032967032967</v>
      </c>
      <c r="D22" s="91">
        <f>'LIHH Heaters'!F107</f>
        <v>0.05865934163306898</v>
      </c>
      <c r="E22" s="91">
        <f t="shared" si="1"/>
      </c>
      <c r="F22" s="19">
        <f t="shared" si="2"/>
      </c>
      <c r="G22" s="19">
        <f t="shared" si="3"/>
        <v>0</v>
      </c>
      <c r="H22" s="92">
        <v>113150</v>
      </c>
      <c r="I22" s="93">
        <f t="shared" si="4"/>
        <v>0</v>
      </c>
      <c r="J22" s="12">
        <f t="shared" si="5"/>
        <v>0</v>
      </c>
    </row>
    <row r="23" spans="1:10" ht="12.75">
      <c r="A23" s="2" t="s">
        <v>15</v>
      </c>
      <c r="B23" s="19">
        <v>0.05808651</v>
      </c>
      <c r="C23" s="90">
        <f>'Temp Calc'!X20</f>
        <v>36.252747252747255</v>
      </c>
      <c r="D23" s="91">
        <f>'LIHH Heaters'!F108</f>
        <v>0.007007472362494882</v>
      </c>
      <c r="E23" s="91">
        <f t="shared" si="1"/>
      </c>
      <c r="F23" s="19">
        <f t="shared" si="2"/>
      </c>
      <c r="G23" s="19">
        <f t="shared" si="3"/>
        <v>0</v>
      </c>
      <c r="H23" s="92">
        <v>1161420</v>
      </c>
      <c r="I23" s="93">
        <f t="shared" si="4"/>
        <v>0</v>
      </c>
      <c r="J23" s="12">
        <f t="shared" si="5"/>
        <v>0</v>
      </c>
    </row>
    <row r="24" spans="1:10" ht="12.75">
      <c r="A24" s="2" t="s">
        <v>16</v>
      </c>
      <c r="B24" s="19">
        <v>0.02629994</v>
      </c>
      <c r="C24" s="90">
        <f>'Temp Calc'!X21</f>
        <v>38.543956043956044</v>
      </c>
      <c r="D24" s="91">
        <f>'LIHH Heaters'!F109</f>
        <v>0.028352850968911193</v>
      </c>
      <c r="E24" s="91">
        <f t="shared" si="1"/>
      </c>
      <c r="F24" s="19">
        <f t="shared" si="2"/>
      </c>
      <c r="G24" s="19">
        <f t="shared" si="3"/>
        <v>0</v>
      </c>
      <c r="H24" s="92">
        <v>569910</v>
      </c>
      <c r="I24" s="93">
        <f t="shared" si="4"/>
        <v>0</v>
      </c>
      <c r="J24" s="12">
        <f t="shared" si="5"/>
        <v>0</v>
      </c>
    </row>
    <row r="25" spans="1:10" ht="12.75">
      <c r="A25" s="2" t="s">
        <v>17</v>
      </c>
      <c r="B25" s="19">
        <v>0.01863912</v>
      </c>
      <c r="C25" s="90">
        <f>'Temp Calc'!X22</f>
        <v>32.86813186813187</v>
      </c>
      <c r="D25" s="91">
        <f>'LIHH Heaters'!F110</f>
        <v>0.02477176776242197</v>
      </c>
      <c r="E25" s="91">
        <f t="shared" si="1"/>
      </c>
      <c r="F25" s="19">
        <f t="shared" si="2"/>
      </c>
      <c r="G25" s="19">
        <f t="shared" si="3"/>
        <v>0</v>
      </c>
      <c r="H25" s="92">
        <v>276180</v>
      </c>
      <c r="I25" s="93">
        <f t="shared" si="4"/>
        <v>0</v>
      </c>
      <c r="J25" s="12">
        <f t="shared" si="5"/>
        <v>0</v>
      </c>
    </row>
    <row r="26" spans="1:10" ht="12.75">
      <c r="A26" s="2" t="s">
        <v>18</v>
      </c>
      <c r="B26" s="19">
        <v>0.00855992</v>
      </c>
      <c r="C26" s="90">
        <f>'Temp Calc'!X23</f>
        <v>41.21978021978022</v>
      </c>
      <c r="D26" s="91">
        <f>'LIHH Heaters'!F111</f>
        <v>0.0016023501134997996</v>
      </c>
      <c r="E26" s="91">
        <f t="shared" si="1"/>
      </c>
      <c r="F26" s="19">
        <f t="shared" si="2"/>
      </c>
      <c r="G26" s="19">
        <f t="shared" si="3"/>
        <v>0</v>
      </c>
      <c r="H26" s="92">
        <v>261205</v>
      </c>
      <c r="I26" s="93">
        <f t="shared" si="4"/>
        <v>0</v>
      </c>
      <c r="J26" s="12">
        <f t="shared" si="5"/>
        <v>0</v>
      </c>
    </row>
    <row r="27" spans="1:10" ht="12.75">
      <c r="A27" s="2" t="s">
        <v>19</v>
      </c>
      <c r="B27" s="19">
        <v>0.0136864</v>
      </c>
      <c r="C27" s="90">
        <f>'Temp Calc'!X24</f>
        <v>44.12637362637363</v>
      </c>
      <c r="D27" s="91">
        <f>'LIHH Heaters'!F112</f>
        <v>0.04116937531742001</v>
      </c>
      <c r="E27" s="91">
        <f t="shared" si="1"/>
      </c>
      <c r="F27" s="19">
        <f t="shared" si="2"/>
      </c>
      <c r="G27" s="19">
        <f t="shared" si="3"/>
        <v>0</v>
      </c>
      <c r="H27" s="92">
        <v>471820</v>
      </c>
      <c r="I27" s="93">
        <f t="shared" si="4"/>
        <v>0</v>
      </c>
      <c r="J27" s="12">
        <f t="shared" si="5"/>
        <v>0</v>
      </c>
    </row>
    <row r="28" spans="1:10" ht="12.75">
      <c r="A28" s="2" t="s">
        <v>20</v>
      </c>
      <c r="B28" s="19">
        <v>0.00879264</v>
      </c>
      <c r="C28" s="90">
        <f>'Temp Calc'!X25</f>
        <v>55.62637362637363</v>
      </c>
      <c r="D28" s="91">
        <f>'LIHH Heaters'!F113</f>
        <v>0.002251584448315481</v>
      </c>
      <c r="E28" s="91">
        <f t="shared" si="1"/>
      </c>
      <c r="F28" s="19">
        <f t="shared" si="2"/>
      </c>
      <c r="G28" s="19">
        <f t="shared" si="3"/>
        <v>0</v>
      </c>
      <c r="H28" s="92">
        <v>538320</v>
      </c>
      <c r="I28" s="93">
        <f t="shared" si="4"/>
        <v>0</v>
      </c>
      <c r="J28" s="12">
        <f t="shared" si="5"/>
        <v>0</v>
      </c>
    </row>
    <row r="29" spans="1:10" ht="12.75">
      <c r="A29" s="2" t="s">
        <v>21</v>
      </c>
      <c r="B29" s="19">
        <v>0.01359579</v>
      </c>
      <c r="C29" s="90">
        <f>'Temp Calc'!X26</f>
        <v>30.35164835164835</v>
      </c>
      <c r="D29" s="91">
        <f>'LIHH Heaters'!F114</f>
        <v>0.7517375266938459</v>
      </c>
      <c r="E29" s="91">
        <f t="shared" si="1"/>
        <v>0.7517375266938459</v>
      </c>
      <c r="F29" s="19">
        <f t="shared" si="2"/>
        <v>0.01359579</v>
      </c>
      <c r="G29" s="19">
        <f t="shared" si="3"/>
        <v>0.010220465548048922</v>
      </c>
      <c r="H29" s="92">
        <v>128170</v>
      </c>
      <c r="I29" s="93">
        <f t="shared" si="4"/>
        <v>0.23072933618915903</v>
      </c>
      <c r="J29" s="12">
        <f t="shared" si="5"/>
        <v>5768233</v>
      </c>
    </row>
    <row r="30" spans="1:10" ht="12.75">
      <c r="A30" s="2" t="s">
        <v>22</v>
      </c>
      <c r="B30" s="19">
        <v>0.01606896</v>
      </c>
      <c r="C30" s="90">
        <f>'Temp Calc'!X27</f>
        <v>43.2032967032967</v>
      </c>
      <c r="D30" s="91">
        <f>'LIHH Heaters'!F115</f>
        <v>0.1690239448051948</v>
      </c>
      <c r="E30" s="91">
        <f t="shared" si="1"/>
      </c>
      <c r="F30" s="19">
        <f t="shared" si="2"/>
      </c>
      <c r="G30" s="19">
        <f t="shared" si="3"/>
        <v>0</v>
      </c>
      <c r="H30" s="92">
        <v>490270</v>
      </c>
      <c r="I30" s="93">
        <f t="shared" si="4"/>
        <v>0</v>
      </c>
      <c r="J30" s="12">
        <f t="shared" si="5"/>
        <v>0</v>
      </c>
    </row>
    <row r="31" spans="1:10" ht="12.75">
      <c r="A31" s="2" t="s">
        <v>23</v>
      </c>
      <c r="B31" s="19">
        <v>0.04197959</v>
      </c>
      <c r="C31" s="90">
        <f>'Temp Calc'!X28</f>
        <v>37.379120879120876</v>
      </c>
      <c r="D31" s="91">
        <f>'LIHH Heaters'!F116</f>
        <v>0.31616630419347846</v>
      </c>
      <c r="E31" s="91">
        <f t="shared" si="1"/>
        <v>0.31616630419347846</v>
      </c>
      <c r="F31" s="19">
        <f t="shared" si="2"/>
        <v>0.04197959</v>
      </c>
      <c r="G31" s="19">
        <f t="shared" si="3"/>
        <v>0.013272531821857506</v>
      </c>
      <c r="H31" s="92">
        <v>664750</v>
      </c>
      <c r="I31" s="93">
        <f t="shared" si="4"/>
        <v>0.299630427049507</v>
      </c>
      <c r="J31" s="12">
        <f t="shared" si="5"/>
        <v>7490761</v>
      </c>
    </row>
    <row r="32" spans="1:10" ht="12.75">
      <c r="A32" s="2" t="s">
        <v>24</v>
      </c>
      <c r="B32" s="19">
        <v>0.05514805</v>
      </c>
      <c r="C32" s="90">
        <f>'Temp Calc'!X29</f>
        <v>34.66483516483517</v>
      </c>
      <c r="D32" s="91">
        <f>'LIHH Heaters'!F117</f>
        <v>0.03633897190306867</v>
      </c>
      <c r="E32" s="91">
        <f t="shared" si="1"/>
      </c>
      <c r="F32" s="19">
        <f t="shared" si="2"/>
      </c>
      <c r="G32" s="19">
        <f t="shared" si="3"/>
        <v>0</v>
      </c>
      <c r="H32" s="92">
        <v>970720</v>
      </c>
      <c r="I32" s="93">
        <f t="shared" si="4"/>
        <v>0</v>
      </c>
      <c r="J32" s="12">
        <f t="shared" si="5"/>
        <v>0</v>
      </c>
    </row>
    <row r="33" spans="1:10" ht="12.75">
      <c r="A33" s="2" t="s">
        <v>25</v>
      </c>
      <c r="B33" s="19">
        <v>0.03973105</v>
      </c>
      <c r="C33" s="90">
        <f>'Temp Calc'!X30</f>
        <v>27.450549450549453</v>
      </c>
      <c r="D33" s="91">
        <f>'LIHH Heaters'!F118</f>
        <v>0.08636864126844307</v>
      </c>
      <c r="E33" s="91">
        <f t="shared" si="1"/>
      </c>
      <c r="F33" s="19">
        <f t="shared" si="2"/>
      </c>
      <c r="G33" s="19">
        <f t="shared" si="3"/>
        <v>0</v>
      </c>
      <c r="H33" s="92">
        <v>453770</v>
      </c>
      <c r="I33" s="93">
        <f t="shared" si="4"/>
        <v>0</v>
      </c>
      <c r="J33" s="12">
        <f t="shared" si="5"/>
        <v>0</v>
      </c>
    </row>
    <row r="34" spans="1:10" ht="12.75">
      <c r="A34" s="2" t="s">
        <v>26</v>
      </c>
      <c r="B34" s="19">
        <v>0.00737355</v>
      </c>
      <c r="C34" s="90">
        <f>'Temp Calc'!X31</f>
        <v>52.494505494505496</v>
      </c>
      <c r="D34" s="91">
        <f>'LIHH Heaters'!F119</f>
        <v>0.0026436642697443952</v>
      </c>
      <c r="E34" s="91">
        <f t="shared" si="1"/>
      </c>
      <c r="F34" s="19">
        <f t="shared" si="2"/>
      </c>
      <c r="G34" s="19">
        <f t="shared" si="3"/>
        <v>0</v>
      </c>
      <c r="H34" s="92">
        <v>330505</v>
      </c>
      <c r="I34" s="93">
        <f t="shared" si="4"/>
        <v>0</v>
      </c>
      <c r="J34" s="12">
        <f t="shared" si="5"/>
        <v>0</v>
      </c>
    </row>
    <row r="35" spans="1:10" ht="12.75">
      <c r="A35" s="2" t="s">
        <v>27</v>
      </c>
      <c r="B35" s="19">
        <v>0.02320202</v>
      </c>
      <c r="C35" s="90">
        <f>'Temp Calc'!X32</f>
        <v>41.01648351648352</v>
      </c>
      <c r="D35" s="91">
        <f>'LIHH Heaters'!F120</f>
        <v>0.006993412603057547</v>
      </c>
      <c r="E35" s="91">
        <f t="shared" si="1"/>
      </c>
      <c r="F35" s="19">
        <f t="shared" si="2"/>
      </c>
      <c r="G35" s="19">
        <f t="shared" si="3"/>
        <v>0</v>
      </c>
      <c r="H35" s="92">
        <v>603275</v>
      </c>
      <c r="I35" s="93">
        <f t="shared" si="4"/>
        <v>0</v>
      </c>
      <c r="J35" s="12">
        <f t="shared" si="5"/>
        <v>0</v>
      </c>
    </row>
    <row r="36" spans="1:10" ht="12.75">
      <c r="A36" s="2" t="s">
        <v>28</v>
      </c>
      <c r="B36" s="19">
        <v>0.00736027</v>
      </c>
      <c r="C36" s="90">
        <f>'Temp Calc'!X33</f>
        <v>32.10989010989011</v>
      </c>
      <c r="D36" s="91">
        <f>'LIHH Heaters'!F121</f>
        <v>0.03456843469806633</v>
      </c>
      <c r="E36" s="91">
        <f t="shared" si="1"/>
      </c>
      <c r="F36" s="19">
        <f t="shared" si="2"/>
      </c>
      <c r="G36" s="19">
        <f t="shared" si="3"/>
        <v>0</v>
      </c>
      <c r="H36" s="92">
        <v>92770</v>
      </c>
      <c r="I36" s="93">
        <f t="shared" si="4"/>
        <v>0</v>
      </c>
      <c r="J36" s="12">
        <f t="shared" si="5"/>
        <v>0</v>
      </c>
    </row>
    <row r="37" spans="1:10" ht="12.75">
      <c r="A37" s="2" t="s">
        <v>29</v>
      </c>
      <c r="B37" s="19">
        <v>0.00921776</v>
      </c>
      <c r="C37" s="90">
        <f>'Temp Calc'!X34</f>
        <v>35.104395604395606</v>
      </c>
      <c r="D37" s="91">
        <f>'LIHH Heaters'!F122</f>
        <v>0.015309264744698948</v>
      </c>
      <c r="E37" s="91">
        <f t="shared" si="1"/>
      </c>
      <c r="F37" s="19">
        <f t="shared" si="2"/>
      </c>
      <c r="G37" s="19">
        <f t="shared" si="3"/>
        <v>0</v>
      </c>
      <c r="H37" s="92">
        <v>170350</v>
      </c>
      <c r="I37" s="93">
        <f t="shared" si="4"/>
        <v>0</v>
      </c>
      <c r="J37" s="12">
        <f t="shared" si="5"/>
        <v>0</v>
      </c>
    </row>
    <row r="38" spans="1:10" ht="12.75">
      <c r="A38" s="2" t="s">
        <v>30</v>
      </c>
      <c r="B38" s="19">
        <v>0.00195349</v>
      </c>
      <c r="C38" s="90">
        <f>'Temp Calc'!X35</f>
        <v>47.68681318681318</v>
      </c>
      <c r="D38" s="91">
        <f>'LIHH Heaters'!F123</f>
        <v>0.011933315566610406</v>
      </c>
      <c r="E38" s="91">
        <f t="shared" si="1"/>
      </c>
      <c r="F38" s="19">
        <f t="shared" si="2"/>
      </c>
      <c r="G38" s="19">
        <f t="shared" si="3"/>
        <v>0</v>
      </c>
      <c r="H38" s="92">
        <v>168295</v>
      </c>
      <c r="I38" s="93">
        <f t="shared" si="4"/>
        <v>0</v>
      </c>
      <c r="J38" s="12">
        <f t="shared" si="5"/>
        <v>0</v>
      </c>
    </row>
    <row r="39" spans="1:10" ht="12.75">
      <c r="A39" s="2" t="s">
        <v>31</v>
      </c>
      <c r="B39" s="19">
        <v>0.00794588</v>
      </c>
      <c r="C39" s="90">
        <f>'Temp Calc'!X36</f>
        <v>32.73076923076923</v>
      </c>
      <c r="D39" s="91">
        <f>'LIHH Heaters'!F124</f>
        <v>0.5426211400854823</v>
      </c>
      <c r="E39" s="91">
        <f t="shared" si="1"/>
        <v>0.5426211400854823</v>
      </c>
      <c r="F39" s="19">
        <f t="shared" si="2"/>
        <v>0.00794588</v>
      </c>
      <c r="G39" s="19">
        <f t="shared" si="3"/>
        <v>0.004311602464582433</v>
      </c>
      <c r="H39" s="92">
        <v>103075</v>
      </c>
      <c r="I39" s="93">
        <f t="shared" si="4"/>
        <v>0.09733540707003858</v>
      </c>
      <c r="J39" s="12">
        <f t="shared" si="5"/>
        <v>2433385</v>
      </c>
    </row>
    <row r="40" spans="1:10" ht="12.75">
      <c r="A40" s="2" t="s">
        <v>32</v>
      </c>
      <c r="B40" s="19">
        <v>0.03897152</v>
      </c>
      <c r="C40" s="90">
        <f>'Temp Calc'!X37</f>
        <v>40.99450549450549</v>
      </c>
      <c r="D40" s="91">
        <f>'LIHH Heaters'!F125</f>
        <v>0.19562421185372006</v>
      </c>
      <c r="E40" s="91">
        <f t="shared" si="1"/>
      </c>
      <c r="F40" s="19">
        <f t="shared" si="2"/>
      </c>
      <c r="G40" s="19">
        <f t="shared" si="3"/>
        <v>0</v>
      </c>
      <c r="H40" s="92">
        <v>787190</v>
      </c>
      <c r="I40" s="93">
        <f t="shared" si="4"/>
        <v>0</v>
      </c>
      <c r="J40" s="12">
        <f t="shared" si="5"/>
        <v>0</v>
      </c>
    </row>
    <row r="41" spans="1:10" ht="12.75">
      <c r="A41" s="2" t="s">
        <v>33</v>
      </c>
      <c r="B41" s="19">
        <v>0.00520713</v>
      </c>
      <c r="C41" s="90">
        <f>'Temp Calc'!X38</f>
        <v>42.565934065934066</v>
      </c>
      <c r="D41" s="91">
        <f>'LIHH Heaters'!F126</f>
        <v>0.0018765868197372778</v>
      </c>
      <c r="E41" s="91">
        <f t="shared" si="1"/>
      </c>
      <c r="F41" s="19">
        <f t="shared" si="2"/>
      </c>
      <c r="G41" s="19">
        <f t="shared" si="3"/>
        <v>0</v>
      </c>
      <c r="H41" s="92">
        <v>180530</v>
      </c>
      <c r="I41" s="93">
        <f t="shared" si="4"/>
        <v>0</v>
      </c>
      <c r="J41" s="12">
        <f t="shared" si="5"/>
        <v>0</v>
      </c>
    </row>
    <row r="42" spans="1:10" ht="12.75">
      <c r="A42" s="2" t="s">
        <v>34</v>
      </c>
      <c r="B42" s="19">
        <v>0.12724791</v>
      </c>
      <c r="C42" s="90">
        <f>'Temp Calc'!X39</f>
        <v>39.10989010989011</v>
      </c>
      <c r="D42" s="91">
        <f>'LIHH Heaters'!F127</f>
        <v>0.29345501003832813</v>
      </c>
      <c r="E42" s="91">
        <f t="shared" si="1"/>
      </c>
      <c r="F42" s="19">
        <f t="shared" si="2"/>
      </c>
      <c r="G42" s="19">
        <f t="shared" si="3"/>
        <v>0</v>
      </c>
      <c r="H42" s="92">
        <v>2042445</v>
      </c>
      <c r="I42" s="93">
        <f t="shared" si="4"/>
        <v>0</v>
      </c>
      <c r="J42" s="12">
        <f>ROUND(I42*$D$66,0)</f>
        <v>0</v>
      </c>
    </row>
    <row r="43" spans="1:10" ht="12.75">
      <c r="A43" s="2" t="s">
        <v>35</v>
      </c>
      <c r="B43" s="19">
        <v>0.0189638</v>
      </c>
      <c r="C43" s="90">
        <f>'Temp Calc'!X40</f>
        <v>48.80769230769231</v>
      </c>
      <c r="D43" s="91">
        <f>'LIHH Heaters'!F128</f>
        <v>0.16013043146776454</v>
      </c>
      <c r="E43" s="91">
        <f t="shared" si="1"/>
      </c>
      <c r="F43" s="19">
        <f t="shared" si="2"/>
      </c>
      <c r="G43" s="19">
        <f t="shared" si="3"/>
        <v>0</v>
      </c>
      <c r="H43" s="92">
        <v>851135</v>
      </c>
      <c r="I43" s="93">
        <f t="shared" si="4"/>
        <v>0</v>
      </c>
      <c r="J43" s="12">
        <f t="shared" si="5"/>
        <v>0</v>
      </c>
    </row>
    <row r="44" spans="1:10" ht="12.75">
      <c r="A44" s="2" t="s">
        <v>36</v>
      </c>
      <c r="B44" s="19">
        <v>0.00799548</v>
      </c>
      <c r="C44" s="90">
        <f>'Temp Calc'!X41</f>
        <v>24.934065934065934</v>
      </c>
      <c r="D44" s="91">
        <f>'LIHH Heaters'!F129</f>
        <v>0.10338017470565894</v>
      </c>
      <c r="E44" s="91">
        <f t="shared" si="1"/>
      </c>
      <c r="F44" s="19">
        <f t="shared" si="2"/>
      </c>
      <c r="G44" s="19">
        <f t="shared" si="3"/>
        <v>0</v>
      </c>
      <c r="H44" s="92">
        <v>65720</v>
      </c>
      <c r="I44" s="93">
        <f t="shared" si="4"/>
        <v>0</v>
      </c>
      <c r="J44" s="12">
        <f t="shared" si="5"/>
        <v>0</v>
      </c>
    </row>
    <row r="45" spans="1:10" ht="12.75">
      <c r="A45" s="2" t="s">
        <v>37</v>
      </c>
      <c r="B45" s="19">
        <v>0.0513862</v>
      </c>
      <c r="C45" s="90">
        <f>'Temp Calc'!X42</f>
        <v>38.41208791208791</v>
      </c>
      <c r="D45" s="91">
        <f>'LIHH Heaters'!F130</f>
        <v>0.04456429417203968</v>
      </c>
      <c r="E45" s="91">
        <f t="shared" si="1"/>
      </c>
      <c r="F45" s="19">
        <f t="shared" si="2"/>
      </c>
      <c r="G45" s="19">
        <f t="shared" si="3"/>
        <v>0</v>
      </c>
      <c r="H45" s="92">
        <v>1191595</v>
      </c>
      <c r="I45" s="93">
        <f t="shared" si="4"/>
        <v>0</v>
      </c>
      <c r="J45" s="12">
        <f t="shared" si="5"/>
        <v>0</v>
      </c>
    </row>
    <row r="46" spans="1:10" ht="12.75">
      <c r="A46" s="2" t="s">
        <v>38</v>
      </c>
      <c r="B46" s="19">
        <v>0.00790558</v>
      </c>
      <c r="C46" s="90">
        <f>'Temp Calc'!X43</f>
        <v>47.05494505494505</v>
      </c>
      <c r="D46" s="91">
        <f>'LIHH Heaters'!F131</f>
        <v>0.001204004329004329</v>
      </c>
      <c r="E46" s="91">
        <f t="shared" si="1"/>
      </c>
      <c r="F46" s="19">
        <f t="shared" si="2"/>
      </c>
      <c r="G46" s="19">
        <f t="shared" si="3"/>
        <v>0</v>
      </c>
      <c r="H46" s="92">
        <v>369060</v>
      </c>
      <c r="I46" s="93">
        <f t="shared" si="4"/>
        <v>0</v>
      </c>
      <c r="J46" s="12">
        <f t="shared" si="5"/>
        <v>0</v>
      </c>
    </row>
    <row r="47" spans="1:10" ht="12.75">
      <c r="A47" s="2" t="s">
        <v>39</v>
      </c>
      <c r="B47" s="19">
        <v>0.01246826</v>
      </c>
      <c r="C47" s="90">
        <f>'Temp Calc'!X44</f>
        <v>43.098901098901095</v>
      </c>
      <c r="D47" s="91">
        <f>'LIHH Heaters'!F132</f>
        <v>0.05474759872693279</v>
      </c>
      <c r="E47" s="91">
        <f t="shared" si="1"/>
      </c>
      <c r="F47" s="19">
        <f t="shared" si="2"/>
      </c>
      <c r="G47" s="19">
        <f t="shared" si="3"/>
        <v>0</v>
      </c>
      <c r="H47" s="92">
        <v>350045</v>
      </c>
      <c r="I47" s="93">
        <f t="shared" si="4"/>
        <v>0</v>
      </c>
      <c r="J47" s="12">
        <f t="shared" si="5"/>
        <v>0</v>
      </c>
    </row>
    <row r="48" spans="1:10" ht="12.75">
      <c r="A48" s="2" t="s">
        <v>40</v>
      </c>
      <c r="B48" s="19">
        <v>0.0683509</v>
      </c>
      <c r="C48" s="90">
        <f>'Temp Calc'!X45</f>
        <v>38.86813186813187</v>
      </c>
      <c r="D48" s="91">
        <f>'LIHH Heaters'!F133</f>
        <v>0.23842536751197824</v>
      </c>
      <c r="E48" s="91">
        <f t="shared" si="1"/>
      </c>
      <c r="F48" s="19">
        <f t="shared" si="2"/>
      </c>
      <c r="G48" s="19">
        <f t="shared" si="3"/>
        <v>0</v>
      </c>
      <c r="H48" s="92">
        <v>1343420</v>
      </c>
      <c r="I48" s="93">
        <f t="shared" si="4"/>
        <v>0</v>
      </c>
      <c r="J48" s="12">
        <f t="shared" si="5"/>
        <v>0</v>
      </c>
    </row>
    <row r="49" spans="1:10" ht="12.75">
      <c r="A49" s="2" t="s">
        <v>41</v>
      </c>
      <c r="B49" s="19">
        <v>0.00691008</v>
      </c>
      <c r="C49" s="90">
        <f>'Temp Calc'!X46</f>
        <v>39.55494505494505</v>
      </c>
      <c r="D49" s="91">
        <f>'LIHH Heaters'!F134</f>
        <v>0.32441780032280376</v>
      </c>
      <c r="E49" s="91">
        <f t="shared" si="1"/>
        <v>0.32441780032280376</v>
      </c>
      <c r="F49" s="19">
        <f t="shared" si="2"/>
        <v>0.00691008</v>
      </c>
      <c r="G49" s="19">
        <f t="shared" si="3"/>
        <v>0.0022417529536546</v>
      </c>
      <c r="H49" s="92">
        <v>129235</v>
      </c>
      <c r="I49" s="93">
        <f t="shared" si="4"/>
        <v>0.0506080832096296</v>
      </c>
      <c r="J49" s="12">
        <f t="shared" si="5"/>
        <v>1265202</v>
      </c>
    </row>
    <row r="50" spans="1:10" ht="12.75">
      <c r="A50" s="2" t="s">
        <v>42</v>
      </c>
      <c r="B50" s="19">
        <v>0.00683051</v>
      </c>
      <c r="C50" s="90">
        <f>'Temp Calc'!X47</f>
        <v>51.85164835164835</v>
      </c>
      <c r="D50" s="91">
        <f>'LIHH Heaters'!F135</f>
        <v>0.08182326175461004</v>
      </c>
      <c r="E50" s="91">
        <f t="shared" si="1"/>
      </c>
      <c r="F50" s="19">
        <f t="shared" si="2"/>
      </c>
      <c r="G50" s="19">
        <f t="shared" si="3"/>
        <v>0</v>
      </c>
      <c r="H50" s="92">
        <v>436785</v>
      </c>
      <c r="I50" s="93">
        <f t="shared" si="4"/>
        <v>0</v>
      </c>
      <c r="J50" s="12">
        <f t="shared" si="5"/>
        <v>0</v>
      </c>
    </row>
    <row r="51" spans="1:10" ht="12.75">
      <c r="A51" s="2" t="s">
        <v>43</v>
      </c>
      <c r="B51" s="19">
        <v>0.00649373</v>
      </c>
      <c r="C51" s="90">
        <f>'Temp Calc'!X48</f>
        <v>31.324175824175825</v>
      </c>
      <c r="D51" s="91">
        <f>'LIHH Heaters'!F136</f>
        <v>0.0788496590832377</v>
      </c>
      <c r="E51" s="91">
        <f t="shared" si="1"/>
      </c>
      <c r="F51" s="19">
        <f t="shared" si="2"/>
      </c>
      <c r="G51" s="19">
        <f t="shared" si="3"/>
        <v>0</v>
      </c>
      <c r="H51" s="92">
        <v>74115</v>
      </c>
      <c r="I51" s="93">
        <f t="shared" si="4"/>
        <v>0</v>
      </c>
      <c r="J51" s="12">
        <f t="shared" si="5"/>
        <v>0</v>
      </c>
    </row>
    <row r="52" spans="1:10" ht="12.75">
      <c r="A52" s="2" t="s">
        <v>44</v>
      </c>
      <c r="B52" s="19">
        <v>0.01386403</v>
      </c>
      <c r="C52" s="90">
        <f>'Temp Calc'!X49</f>
        <v>46.23626373626374</v>
      </c>
      <c r="D52" s="91">
        <f>'LIHH Heaters'!F137</f>
        <v>0.03172651453255568</v>
      </c>
      <c r="E52" s="91">
        <f t="shared" si="1"/>
      </c>
      <c r="F52" s="19">
        <f t="shared" si="2"/>
      </c>
      <c r="G52" s="19">
        <f t="shared" si="3"/>
        <v>0</v>
      </c>
      <c r="H52" s="92">
        <v>616060</v>
      </c>
      <c r="I52" s="93">
        <f t="shared" si="4"/>
        <v>0</v>
      </c>
      <c r="J52" s="12">
        <f t="shared" si="5"/>
        <v>0</v>
      </c>
    </row>
    <row r="53" spans="1:10" ht="12.75">
      <c r="A53" s="2" t="s">
        <v>45</v>
      </c>
      <c r="B53" s="19">
        <v>0.02263997</v>
      </c>
      <c r="C53" s="90">
        <f>'Temp Calc'!X50</f>
        <v>54.98901098901099</v>
      </c>
      <c r="D53" s="91">
        <f>'LIHH Heaters'!F138</f>
        <v>0.0011018214091211651</v>
      </c>
      <c r="E53" s="91">
        <f t="shared" si="1"/>
      </c>
      <c r="F53" s="19">
        <f t="shared" si="2"/>
      </c>
      <c r="G53" s="19">
        <f t="shared" si="3"/>
        <v>0</v>
      </c>
      <c r="H53" s="92">
        <v>1976245</v>
      </c>
      <c r="I53" s="93">
        <f t="shared" si="4"/>
        <v>0</v>
      </c>
      <c r="J53" s="12">
        <f t="shared" si="5"/>
        <v>0</v>
      </c>
    </row>
    <row r="54" spans="1:10" ht="12.75">
      <c r="A54" s="2" t="s">
        <v>46</v>
      </c>
      <c r="B54" s="19">
        <v>0.00747576</v>
      </c>
      <c r="C54" s="90">
        <f>'Temp Calc'!X51</f>
        <v>35.64835164835165</v>
      </c>
      <c r="D54" s="91">
        <f>'LIHH Heaters'!F139</f>
        <v>0.008703451483240874</v>
      </c>
      <c r="E54" s="91">
        <f t="shared" si="1"/>
      </c>
      <c r="F54" s="19">
        <f t="shared" si="2"/>
      </c>
      <c r="G54" s="19">
        <f t="shared" si="3"/>
        <v>0</v>
      </c>
      <c r="H54" s="92">
        <v>150155</v>
      </c>
      <c r="I54" s="93">
        <f t="shared" si="4"/>
        <v>0</v>
      </c>
      <c r="J54" s="12">
        <f t="shared" si="5"/>
        <v>0</v>
      </c>
    </row>
    <row r="55" spans="1:10" ht="12.75">
      <c r="A55" s="2" t="s">
        <v>47</v>
      </c>
      <c r="B55" s="19">
        <v>0.00595572</v>
      </c>
      <c r="C55" s="90">
        <f>'Temp Calc'!X52</f>
        <v>30.087912087912088</v>
      </c>
      <c r="D55" s="91">
        <f>'LIHH Heaters'!F140</f>
        <v>0.5705290773939659</v>
      </c>
      <c r="E55" s="91">
        <f t="shared" si="1"/>
        <v>0.5705290773939659</v>
      </c>
      <c r="F55" s="19">
        <f t="shared" si="2"/>
        <v>0.00595572</v>
      </c>
      <c r="G55" s="19">
        <f t="shared" si="3"/>
        <v>0.0033979114368167906</v>
      </c>
      <c r="H55" s="92">
        <v>56930</v>
      </c>
      <c r="I55" s="93">
        <f t="shared" si="4"/>
        <v>0.07670862413855054</v>
      </c>
      <c r="J55" s="12">
        <f t="shared" si="5"/>
        <v>1917716</v>
      </c>
    </row>
    <row r="56" spans="1:10" ht="12.75">
      <c r="A56" s="2" t="s">
        <v>48</v>
      </c>
      <c r="B56" s="19">
        <v>0.01957379</v>
      </c>
      <c r="C56" s="90">
        <f>'Temp Calc'!X53</f>
        <v>44.824175824175825</v>
      </c>
      <c r="D56" s="91">
        <f>'LIHH Heaters'!F141</f>
        <v>0.18085511484798636</v>
      </c>
      <c r="E56" s="91">
        <f t="shared" si="1"/>
      </c>
      <c r="F56" s="19">
        <f t="shared" si="2"/>
      </c>
      <c r="G56" s="19">
        <f t="shared" si="3"/>
        <v>0</v>
      </c>
      <c r="H56" s="92">
        <v>655740</v>
      </c>
      <c r="I56" s="93">
        <f t="shared" si="4"/>
        <v>0</v>
      </c>
      <c r="J56" s="12">
        <f t="shared" si="5"/>
        <v>0</v>
      </c>
    </row>
    <row r="57" spans="1:10" ht="12.75">
      <c r="A57" s="2" t="s">
        <v>49</v>
      </c>
      <c r="B57" s="19">
        <v>0.02050857</v>
      </c>
      <c r="C57" s="90">
        <f>'Temp Calc'!X54</f>
        <v>41.80769230769231</v>
      </c>
      <c r="D57" s="91">
        <f>'LIHH Heaters'!F142</f>
        <v>0.04531683689204143</v>
      </c>
      <c r="E57" s="91">
        <f t="shared" si="1"/>
      </c>
      <c r="F57" s="19">
        <f t="shared" si="2"/>
      </c>
      <c r="G57" s="19">
        <f t="shared" si="3"/>
        <v>0</v>
      </c>
      <c r="H57" s="92">
        <v>549455</v>
      </c>
      <c r="I57" s="93">
        <f t="shared" si="4"/>
        <v>0</v>
      </c>
      <c r="J57" s="12">
        <f t="shared" si="5"/>
        <v>0</v>
      </c>
    </row>
    <row r="58" spans="1:10" ht="12.75">
      <c r="A58" s="2" t="s">
        <v>50</v>
      </c>
      <c r="B58" s="19">
        <v>0.00905733</v>
      </c>
      <c r="C58" s="90">
        <f>'Temp Calc'!X55</f>
        <v>40.65934065934066</v>
      </c>
      <c r="D58" s="91">
        <f>'LIHH Heaters'!F143</f>
        <v>0.0754883211208286</v>
      </c>
      <c r="E58" s="91">
        <f t="shared" si="1"/>
      </c>
      <c r="F58" s="19">
        <f t="shared" si="2"/>
      </c>
      <c r="G58" s="19">
        <f t="shared" si="3"/>
        <v>0</v>
      </c>
      <c r="H58" s="92">
        <v>233580</v>
      </c>
      <c r="I58" s="93">
        <f t="shared" si="4"/>
        <v>0</v>
      </c>
      <c r="J58" s="12">
        <f t="shared" si="5"/>
        <v>0</v>
      </c>
    </row>
    <row r="59" spans="1:10" ht="12.75">
      <c r="A59" s="2" t="s">
        <v>51</v>
      </c>
      <c r="B59" s="19">
        <v>0.03576365</v>
      </c>
      <c r="C59" s="90">
        <f>'Temp Calc'!X56</f>
        <v>31.456043956043956</v>
      </c>
      <c r="D59" s="91">
        <f>'LIHH Heaters'!F144</f>
        <v>0.07920197704783535</v>
      </c>
      <c r="E59" s="91">
        <f t="shared" si="1"/>
      </c>
      <c r="F59" s="19">
        <f t="shared" si="2"/>
      </c>
      <c r="G59" s="19">
        <f t="shared" si="3"/>
        <v>0</v>
      </c>
      <c r="H59" s="92">
        <v>497550</v>
      </c>
      <c r="I59" s="93">
        <f t="shared" si="4"/>
        <v>0</v>
      </c>
      <c r="J59" s="12">
        <f t="shared" si="5"/>
        <v>0</v>
      </c>
    </row>
    <row r="60" spans="1:10" ht="12.75">
      <c r="A60" s="2" t="s">
        <v>52</v>
      </c>
      <c r="B60" s="19">
        <v>0.00299313</v>
      </c>
      <c r="C60" s="90">
        <f>'Temp Calc'!X57</f>
        <v>31.489010989010985</v>
      </c>
      <c r="D60" s="91">
        <f>'LIHH Heaters'!F145</f>
        <v>0.0026890061019753855</v>
      </c>
      <c r="E60" s="91">
        <f t="shared" si="1"/>
      </c>
      <c r="F60" s="19">
        <f t="shared" si="2"/>
      </c>
      <c r="G60" s="19">
        <f t="shared" si="3"/>
        <v>0</v>
      </c>
      <c r="H60" s="92">
        <v>48325</v>
      </c>
      <c r="I60" s="93">
        <f t="shared" si="4"/>
        <v>0</v>
      </c>
      <c r="J60" s="12">
        <f t="shared" si="5"/>
        <v>0</v>
      </c>
    </row>
    <row r="61" spans="2:12" ht="12.75">
      <c r="B61" s="20" t="s">
        <v>58</v>
      </c>
      <c r="C61" s="20"/>
      <c r="D61" s="2"/>
      <c r="I61" s="13"/>
      <c r="J61" s="21"/>
      <c r="L61" s="2" t="s">
        <v>190</v>
      </c>
    </row>
    <row r="62" spans="1:10" ht="12.75">
      <c r="A62" s="2" t="s">
        <v>59</v>
      </c>
      <c r="B62" s="22">
        <f>SUM(B10:B60)</f>
        <v>1</v>
      </c>
      <c r="C62" s="22"/>
      <c r="D62" s="2"/>
      <c r="E62" s="22">
        <f aca="true" t="shared" si="6" ref="E62:J62">SUM(E10:E60)</f>
        <v>3.300882214925061</v>
      </c>
      <c r="F62" s="94">
        <f t="shared" si="6"/>
        <v>0.10286324</v>
      </c>
      <c r="G62" s="95">
        <f t="shared" si="6"/>
        <v>0.04429634183868959</v>
      </c>
      <c r="H62" s="96">
        <f t="shared" si="6"/>
        <v>27948610</v>
      </c>
      <c r="I62" s="13">
        <f t="shared" si="6"/>
        <v>1.0000000000000002</v>
      </c>
      <c r="J62" s="12">
        <f t="shared" si="6"/>
        <v>25000000</v>
      </c>
    </row>
    <row r="63" spans="2:4" ht="12.75">
      <c r="B63" s="22"/>
      <c r="C63" s="22"/>
      <c r="D63" s="12"/>
    </row>
    <row r="64" spans="1:10" ht="12.75">
      <c r="A64" s="2" t="s">
        <v>60</v>
      </c>
      <c r="B64" s="23"/>
      <c r="C64" s="23"/>
      <c r="D64" s="97">
        <f>E5</f>
        <v>25000000</v>
      </c>
      <c r="E64" s="6"/>
      <c r="F64" s="6"/>
      <c r="G64" s="6"/>
      <c r="H64" s="6"/>
      <c r="I64" s="6"/>
      <c r="J64" s="6"/>
    </row>
    <row r="65" spans="1:10" ht="13.5" thickBot="1">
      <c r="A65" s="2" t="s">
        <v>61</v>
      </c>
      <c r="B65" s="23">
        <v>0</v>
      </c>
      <c r="C65" s="23"/>
      <c r="D65" s="6">
        <f>$B$65*D64</f>
        <v>0</v>
      </c>
      <c r="E65" s="6"/>
      <c r="F65" s="6"/>
      <c r="G65" s="6"/>
      <c r="H65" s="6"/>
      <c r="I65" s="6"/>
      <c r="J65" s="6"/>
    </row>
    <row r="66" spans="1:10" ht="13.5" thickTop="1">
      <c r="A66" s="25" t="s">
        <v>62</v>
      </c>
      <c r="B66" s="25"/>
      <c r="C66" s="25"/>
      <c r="D66" s="26">
        <f>(D64-D65)</f>
        <v>25000000</v>
      </c>
      <c r="E66" s="6"/>
      <c r="F66" s="6"/>
      <c r="G66" s="6"/>
      <c r="H66" s="6"/>
      <c r="I66" s="6"/>
      <c r="J66" s="6"/>
    </row>
    <row r="67" spans="2:10" ht="12.75">
      <c r="B67" s="23"/>
      <c r="C67" s="23"/>
      <c r="D67" s="12"/>
      <c r="E67" s="6"/>
      <c r="F67" s="6"/>
      <c r="G67" s="6"/>
      <c r="H67" s="6"/>
      <c r="I67" s="6"/>
      <c r="J67" s="6"/>
    </row>
    <row r="68" spans="1:5" ht="51">
      <c r="A68" s="27" t="s">
        <v>61</v>
      </c>
      <c r="B68" s="27"/>
      <c r="C68" s="27" t="s">
        <v>63</v>
      </c>
      <c r="D68" s="28" t="s">
        <v>193</v>
      </c>
      <c r="E68" s="98" t="s">
        <v>194</v>
      </c>
    </row>
    <row r="69" spans="1:4" ht="12.75">
      <c r="A69" s="29" t="s">
        <v>65</v>
      </c>
      <c r="B69" s="29"/>
      <c r="C69" s="24">
        <v>0.01654258</v>
      </c>
      <c r="D69" s="28">
        <f>ROUND(C69*$D$65,0)</f>
        <v>0</v>
      </c>
    </row>
    <row r="70" spans="1:4" ht="12.75">
      <c r="A70" s="29" t="s">
        <v>66</v>
      </c>
      <c r="B70" s="29"/>
      <c r="C70" s="24">
        <v>0.03626904</v>
      </c>
      <c r="D70" s="28">
        <f>ROUND(C70*$D$65,0)</f>
        <v>0</v>
      </c>
    </row>
    <row r="71" spans="1:4" ht="12.75">
      <c r="A71" s="29" t="s">
        <v>67</v>
      </c>
      <c r="B71" s="29"/>
      <c r="C71" s="24">
        <v>0.01259719</v>
      </c>
      <c r="D71" s="28">
        <f>ROUND(C71*$D$65,0)</f>
        <v>0</v>
      </c>
    </row>
    <row r="72" spans="1:4" ht="12.75">
      <c r="A72" s="29" t="s">
        <v>68</v>
      </c>
      <c r="B72" s="29"/>
      <c r="C72" s="24">
        <v>0.90029483</v>
      </c>
      <c r="D72" s="28">
        <f>ROUND(C72*$D$65,0)</f>
        <v>0</v>
      </c>
    </row>
    <row r="73" spans="1:4" ht="13.5" thickBot="1">
      <c r="A73" s="29" t="s">
        <v>69</v>
      </c>
      <c r="B73" s="29"/>
      <c r="C73" s="24">
        <v>0.03429636</v>
      </c>
      <c r="D73" s="28">
        <f>ROUND(C73*$D$65,0)</f>
        <v>0</v>
      </c>
    </row>
    <row r="74" spans="1:4" ht="13.5" thickTop="1">
      <c r="A74" s="30" t="s">
        <v>70</v>
      </c>
      <c r="B74" s="99" t="s">
        <v>60</v>
      </c>
      <c r="C74" s="30"/>
      <c r="D74" s="31">
        <f>SUM(D69:D73)</f>
        <v>0</v>
      </c>
    </row>
    <row r="75" spans="1:5" ht="12.75">
      <c r="A75" s="32"/>
      <c r="B75" s="27"/>
      <c r="C75" s="27"/>
      <c r="D75" s="29"/>
      <c r="E75" s="100"/>
    </row>
    <row r="76" ht="12.75">
      <c r="A76" s="2" t="s">
        <v>189</v>
      </c>
    </row>
    <row r="78" ht="12.75">
      <c r="A78" s="33" t="s">
        <v>196</v>
      </c>
    </row>
  </sheetData>
  <sheetProtection password="E68A" sheet="1" objects="1" scenarios="1"/>
  <mergeCells count="3">
    <mergeCell ref="A1:J1"/>
    <mergeCell ref="A2:J2"/>
    <mergeCell ref="A5:D5"/>
  </mergeCells>
  <conditionalFormatting sqref="J8">
    <cfRule type="cellIs" priority="1" dxfId="0" operator="equal" stopIfTrue="1">
      <formula>MAX(J$10:J$60)</formula>
    </cfRule>
    <cfRule type="cellIs" priority="2" dxfId="1" operator="equal" stopIfTrue="1">
      <formula>DMIN(J$8:J$60,J$8,J$8:J$9)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C75"/>
  <sheetViews>
    <sheetView workbookViewId="0" topLeftCell="A1">
      <pane xSplit="1" ySplit="7" topLeftCell="B8" activePane="bottomRight" state="frozen"/>
      <selection pane="topLeft" activeCell="A3" sqref="A3:D3"/>
      <selection pane="topRight" activeCell="A3" sqref="A3:D3"/>
      <selection pane="bottomLeft" activeCell="A3" sqref="A3:D3"/>
      <selection pane="bottomRight" activeCell="B8" sqref="B8"/>
    </sheetView>
  </sheetViews>
  <sheetFormatPr defaultColWidth="9.140625" defaultRowHeight="12.75"/>
  <cols>
    <col min="1" max="1" width="27.421875" style="2" customWidth="1"/>
    <col min="2" max="2" width="18.00390625" style="2" customWidth="1"/>
    <col min="3" max="3" width="28.28125" style="2" customWidth="1"/>
    <col min="4" max="16384" width="9.140625" style="2" customWidth="1"/>
  </cols>
  <sheetData>
    <row r="1" spans="1:3" ht="41.25" customHeight="1">
      <c r="A1" s="101" t="str">
        <f>"Low Income Home Energy Assistance Program (LIHEAP) Territory Allocations and Gross State Allocations of "&amp;TEXT(C4/1000000,"$0.00")&amp;" Million in Emergency Contingency Funds by the Old-Formula Block Grant Ratios"</f>
        <v>Low Income Home Energy Assistance Program (LIHEAP) Territory Allocations and Gross State Allocations of $106.17 Million in Emergency Contingency Funds by the Old-Formula Block Grant Ratios</v>
      </c>
      <c r="B1" s="101"/>
      <c r="C1" s="101"/>
    </row>
    <row r="2" spans="1:3" ht="12.75">
      <c r="A2" s="102" t="s">
        <v>195</v>
      </c>
      <c r="B2" s="102"/>
      <c r="C2" s="102"/>
    </row>
    <row r="3" spans="1:3" ht="12.75">
      <c r="A3" s="9" t="str">
        <f>IF(COLUMN()&lt;=26,CHAR(64+COLUMN()),CHAR(64+ROUNDDOWN((COLUMN()-1)/26,0))&amp;CHAR(65+MOD((COLUMN()-1),26)))</f>
        <v>A</v>
      </c>
      <c r="B3" s="9" t="str">
        <f>IF(COLUMN()&lt;=26,CHAR(64+COLUMN()),CHAR(64+ROUNDDOWN((COLUMN()-1)/26,0))&amp;CHAR(65+MOD((COLUMN()-1),26)))</f>
        <v>B</v>
      </c>
      <c r="C3" s="10" t="str">
        <f>IF(COLUMN()&lt;=26,CHAR(64+COLUMN()),CHAR(64+ROUNDDOWN((COLUMN()-1)/26,0))&amp;CHAR(65+MOD((COLUMN()-1),26)))</f>
        <v>C</v>
      </c>
    </row>
    <row r="4" spans="1:3" ht="12.75">
      <c r="A4" s="11" t="s">
        <v>54</v>
      </c>
      <c r="B4" s="9"/>
      <c r="C4" s="12">
        <f>131170000-25000000</f>
        <v>106170000</v>
      </c>
    </row>
    <row r="5" spans="1:3" ht="12.75">
      <c r="A5" s="11" t="s">
        <v>55</v>
      </c>
      <c r="C5" s="13"/>
    </row>
    <row r="6" spans="1:3" ht="12.75">
      <c r="A6" s="11"/>
      <c r="C6" s="14" t="s">
        <v>56</v>
      </c>
    </row>
    <row r="7" spans="2:3" s="15" customFormat="1" ht="33.75">
      <c r="B7" s="16" t="s">
        <v>57</v>
      </c>
      <c r="C7" s="17" t="str">
        <f>"Gross Allocation Based on Old-Formula Block Grant Ratios ("&amp;TEXT(C65/1000000,"$0.00")&amp;" Million X Col. "&amp;B3&amp;")"</f>
        <v>Gross Allocation Based on Old-Formula Block Grant Ratios ($106.03 Million X Col. B)</v>
      </c>
    </row>
    <row r="8" ht="12.75">
      <c r="C8" s="18"/>
    </row>
    <row r="9" spans="1:3" ht="12.75">
      <c r="A9" s="2" t="s">
        <v>2</v>
      </c>
      <c r="B9" s="19">
        <v>0.00860045</v>
      </c>
      <c r="C9" s="12">
        <f>ROUND(B9*$C$65,0)</f>
        <v>911873</v>
      </c>
    </row>
    <row r="10" spans="1:3" ht="12.75">
      <c r="A10" s="2" t="s">
        <v>3</v>
      </c>
      <c r="B10" s="19">
        <v>0.00548986</v>
      </c>
      <c r="C10" s="12">
        <f aca="true" t="shared" si="0" ref="C10:C58">ROUND(B10*$C$65,0)</f>
        <v>582069</v>
      </c>
    </row>
    <row r="11" spans="1:3" ht="12.75">
      <c r="A11" s="2" t="s">
        <v>4</v>
      </c>
      <c r="B11" s="19">
        <v>0.00415928</v>
      </c>
      <c r="C11" s="12">
        <f t="shared" si="0"/>
        <v>440993</v>
      </c>
    </row>
    <row r="12" spans="1:3" ht="12.75">
      <c r="A12" s="2" t="s">
        <v>5</v>
      </c>
      <c r="B12" s="19">
        <v>0.00656255</v>
      </c>
      <c r="C12" s="12">
        <f t="shared" si="0"/>
        <v>695802</v>
      </c>
    </row>
    <row r="13" spans="1:3" ht="12.75">
      <c r="A13" s="2" t="s">
        <v>6</v>
      </c>
      <c r="B13" s="19">
        <v>0.04613891</v>
      </c>
      <c r="C13" s="12">
        <f t="shared" si="0"/>
        <v>4891934</v>
      </c>
    </row>
    <row r="14" spans="1:3" ht="12.75">
      <c r="A14" s="2" t="s">
        <v>7</v>
      </c>
      <c r="B14" s="19">
        <v>0.0160872</v>
      </c>
      <c r="C14" s="12">
        <f t="shared" si="0"/>
        <v>1705665</v>
      </c>
    </row>
    <row r="15" spans="1:3" ht="12.75">
      <c r="A15" s="2" t="s">
        <v>8</v>
      </c>
      <c r="B15" s="19">
        <v>0.02098632</v>
      </c>
      <c r="C15" s="12">
        <f t="shared" si="0"/>
        <v>2225100</v>
      </c>
    </row>
    <row r="16" spans="1:3" ht="12.75">
      <c r="A16" s="2" t="s">
        <v>9</v>
      </c>
      <c r="B16" s="19">
        <v>0.00278553</v>
      </c>
      <c r="C16" s="12">
        <f t="shared" si="0"/>
        <v>295339</v>
      </c>
    </row>
    <row r="17" spans="1:3" ht="12.75">
      <c r="A17" s="3" t="s">
        <v>10</v>
      </c>
      <c r="B17" s="19">
        <v>0.00325921</v>
      </c>
      <c r="C17" s="12">
        <f t="shared" si="0"/>
        <v>345562</v>
      </c>
    </row>
    <row r="18" spans="1:3" ht="12.75">
      <c r="A18" s="2" t="s">
        <v>11</v>
      </c>
      <c r="B18" s="19">
        <v>0.01360848</v>
      </c>
      <c r="C18" s="12">
        <f t="shared" si="0"/>
        <v>1442856</v>
      </c>
    </row>
    <row r="19" spans="1:3" ht="12.75">
      <c r="A19" s="2" t="s">
        <v>12</v>
      </c>
      <c r="B19" s="19">
        <v>0.01075959</v>
      </c>
      <c r="C19" s="12">
        <f t="shared" si="0"/>
        <v>1140799</v>
      </c>
    </row>
    <row r="20" spans="1:3" ht="12.75">
      <c r="A20" s="2" t="s">
        <v>13</v>
      </c>
      <c r="B20" s="19">
        <v>0.00108355</v>
      </c>
      <c r="C20" s="12">
        <f>ROUND(B20*$C$65,0)</f>
        <v>114885</v>
      </c>
    </row>
    <row r="21" spans="1:3" ht="12.75">
      <c r="A21" s="2" t="s">
        <v>14</v>
      </c>
      <c r="B21" s="19">
        <v>0.00627508</v>
      </c>
      <c r="C21" s="12">
        <f t="shared" si="0"/>
        <v>665323</v>
      </c>
    </row>
    <row r="22" spans="1:3" ht="12.75">
      <c r="A22" s="2" t="s">
        <v>15</v>
      </c>
      <c r="B22" s="19">
        <v>0.05808651</v>
      </c>
      <c r="C22" s="12">
        <f t="shared" si="0"/>
        <v>6158693</v>
      </c>
    </row>
    <row r="23" spans="1:3" ht="12.75">
      <c r="A23" s="2" t="s">
        <v>16</v>
      </c>
      <c r="B23" s="19">
        <v>0.02629994</v>
      </c>
      <c r="C23" s="12">
        <f t="shared" si="0"/>
        <v>2788483</v>
      </c>
    </row>
    <row r="24" spans="1:3" ht="12.75">
      <c r="A24" s="2" t="s">
        <v>17</v>
      </c>
      <c r="B24" s="19">
        <v>0.01863912</v>
      </c>
      <c r="C24" s="12">
        <f t="shared" si="0"/>
        <v>1976235</v>
      </c>
    </row>
    <row r="25" spans="1:3" ht="12.75">
      <c r="A25" s="2" t="s">
        <v>18</v>
      </c>
      <c r="B25" s="19">
        <v>0.00855992</v>
      </c>
      <c r="C25" s="12">
        <f t="shared" si="0"/>
        <v>907576</v>
      </c>
    </row>
    <row r="26" spans="1:3" ht="12.75">
      <c r="A26" s="2" t="s">
        <v>19</v>
      </c>
      <c r="B26" s="19">
        <v>0.0136864</v>
      </c>
      <c r="C26" s="12">
        <f t="shared" si="0"/>
        <v>1451117</v>
      </c>
    </row>
    <row r="27" spans="1:3" ht="12.75">
      <c r="A27" s="2" t="s">
        <v>20</v>
      </c>
      <c r="B27" s="19">
        <v>0.00879264</v>
      </c>
      <c r="C27" s="12">
        <f t="shared" si="0"/>
        <v>932250</v>
      </c>
    </row>
    <row r="28" spans="1:3" ht="12.75">
      <c r="A28" s="2" t="s">
        <v>21</v>
      </c>
      <c r="B28" s="19">
        <v>0.01359579</v>
      </c>
      <c r="C28" s="12">
        <f t="shared" si="0"/>
        <v>1441510</v>
      </c>
    </row>
    <row r="29" spans="1:3" ht="12.75">
      <c r="A29" s="2" t="s">
        <v>22</v>
      </c>
      <c r="B29" s="19">
        <v>0.01606896</v>
      </c>
      <c r="C29" s="12">
        <f t="shared" si="0"/>
        <v>1703731</v>
      </c>
    </row>
    <row r="30" spans="1:3" ht="12.75">
      <c r="A30" s="2" t="s">
        <v>23</v>
      </c>
      <c r="B30" s="19">
        <v>0.04197959</v>
      </c>
      <c r="C30" s="12">
        <f t="shared" si="0"/>
        <v>4450937</v>
      </c>
    </row>
    <row r="31" spans="1:3" ht="12.75">
      <c r="A31" s="2" t="s">
        <v>24</v>
      </c>
      <c r="B31" s="19">
        <v>0.05514805</v>
      </c>
      <c r="C31" s="12">
        <f t="shared" si="0"/>
        <v>5847139</v>
      </c>
    </row>
    <row r="32" spans="1:3" ht="12.75">
      <c r="A32" s="2" t="s">
        <v>25</v>
      </c>
      <c r="B32" s="19">
        <v>0.03973105</v>
      </c>
      <c r="C32" s="12">
        <f t="shared" si="0"/>
        <v>4212533</v>
      </c>
    </row>
    <row r="33" spans="1:3" ht="12.75">
      <c r="A33" s="2" t="s">
        <v>26</v>
      </c>
      <c r="B33" s="19">
        <v>0.00737355</v>
      </c>
      <c r="C33" s="12">
        <f t="shared" si="0"/>
        <v>781790</v>
      </c>
    </row>
    <row r="34" spans="1:3" ht="12.75">
      <c r="A34" s="2" t="s">
        <v>27</v>
      </c>
      <c r="B34" s="19">
        <v>0.02320202</v>
      </c>
      <c r="C34" s="12">
        <f t="shared" si="0"/>
        <v>2460022</v>
      </c>
    </row>
    <row r="35" spans="1:3" ht="12.75">
      <c r="A35" s="2" t="s">
        <v>28</v>
      </c>
      <c r="B35" s="19">
        <v>0.00736027</v>
      </c>
      <c r="C35" s="12">
        <f t="shared" si="0"/>
        <v>780382</v>
      </c>
    </row>
    <row r="36" spans="1:3" ht="12.75">
      <c r="A36" s="2" t="s">
        <v>29</v>
      </c>
      <c r="B36" s="19">
        <v>0.00921776</v>
      </c>
      <c r="C36" s="12">
        <f t="shared" si="0"/>
        <v>977324</v>
      </c>
    </row>
    <row r="37" spans="1:3" ht="12.75">
      <c r="A37" s="2" t="s">
        <v>30</v>
      </c>
      <c r="B37" s="19">
        <v>0.00195349</v>
      </c>
      <c r="C37" s="12">
        <f t="shared" si="0"/>
        <v>207121</v>
      </c>
    </row>
    <row r="38" spans="1:3" ht="12.75">
      <c r="A38" s="2" t="s">
        <v>31</v>
      </c>
      <c r="B38" s="19">
        <v>0.00794588</v>
      </c>
      <c r="C38" s="12">
        <f t="shared" si="0"/>
        <v>842472</v>
      </c>
    </row>
    <row r="39" spans="1:3" ht="12.75">
      <c r="A39" s="2" t="s">
        <v>32</v>
      </c>
      <c r="B39" s="19">
        <v>0.03897152</v>
      </c>
      <c r="C39" s="12">
        <f t="shared" si="0"/>
        <v>4132003</v>
      </c>
    </row>
    <row r="40" spans="1:3" ht="12.75">
      <c r="A40" s="2" t="s">
        <v>33</v>
      </c>
      <c r="B40" s="19">
        <v>0.00520713</v>
      </c>
      <c r="C40" s="12">
        <f t="shared" si="0"/>
        <v>552092</v>
      </c>
    </row>
    <row r="41" spans="1:3" ht="12.75">
      <c r="A41" s="2" t="s">
        <v>34</v>
      </c>
      <c r="B41" s="19">
        <v>0.12724791</v>
      </c>
      <c r="C41" s="12">
        <f>ROUND(B41*$C$65,0)</f>
        <v>13491614</v>
      </c>
    </row>
    <row r="42" spans="1:3" ht="12.75">
      <c r="A42" s="2" t="s">
        <v>35</v>
      </c>
      <c r="B42" s="19">
        <v>0.0189638</v>
      </c>
      <c r="C42" s="12">
        <f t="shared" si="0"/>
        <v>2010660</v>
      </c>
    </row>
    <row r="43" spans="1:3" ht="12.75">
      <c r="A43" s="2" t="s">
        <v>36</v>
      </c>
      <c r="B43" s="19">
        <v>0.00799548</v>
      </c>
      <c r="C43" s="12">
        <f t="shared" si="0"/>
        <v>847730</v>
      </c>
    </row>
    <row r="44" spans="1:3" ht="12.75">
      <c r="A44" s="2" t="s">
        <v>37</v>
      </c>
      <c r="B44" s="19">
        <v>0.0513862</v>
      </c>
      <c r="C44" s="12">
        <f t="shared" si="0"/>
        <v>5448284</v>
      </c>
    </row>
    <row r="45" spans="1:3" ht="12.75">
      <c r="A45" s="2" t="s">
        <v>38</v>
      </c>
      <c r="B45" s="19">
        <v>0.00790558</v>
      </c>
      <c r="C45" s="12">
        <f t="shared" si="0"/>
        <v>838199</v>
      </c>
    </row>
    <row r="46" spans="1:3" ht="12.75">
      <c r="A46" s="2" t="s">
        <v>39</v>
      </c>
      <c r="B46" s="19">
        <v>0.01246826</v>
      </c>
      <c r="C46" s="12">
        <f t="shared" si="0"/>
        <v>1321962</v>
      </c>
    </row>
    <row r="47" spans="1:3" ht="12.75">
      <c r="A47" s="2" t="s">
        <v>40</v>
      </c>
      <c r="B47" s="19">
        <v>0.0683509</v>
      </c>
      <c r="C47" s="12">
        <f t="shared" si="0"/>
        <v>7246987</v>
      </c>
    </row>
    <row r="48" spans="1:3" ht="12.75">
      <c r="A48" s="2" t="s">
        <v>41</v>
      </c>
      <c r="B48" s="19">
        <v>0.00691008</v>
      </c>
      <c r="C48" s="12">
        <f t="shared" si="0"/>
        <v>732650</v>
      </c>
    </row>
    <row r="49" spans="1:3" ht="12.75">
      <c r="A49" s="2" t="s">
        <v>42</v>
      </c>
      <c r="B49" s="19">
        <v>0.00683051</v>
      </c>
      <c r="C49" s="12">
        <f t="shared" si="0"/>
        <v>724213</v>
      </c>
    </row>
    <row r="50" spans="1:3" ht="12.75">
      <c r="A50" s="2" t="s">
        <v>43</v>
      </c>
      <c r="B50" s="19">
        <v>0.00649373</v>
      </c>
      <c r="C50" s="12">
        <f t="shared" si="0"/>
        <v>688506</v>
      </c>
    </row>
    <row r="51" spans="1:3" ht="12.75">
      <c r="A51" s="2" t="s">
        <v>44</v>
      </c>
      <c r="B51" s="19">
        <v>0.01386403</v>
      </c>
      <c r="C51" s="12">
        <f t="shared" si="0"/>
        <v>1469951</v>
      </c>
    </row>
    <row r="52" spans="1:3" ht="12.75">
      <c r="A52" s="2" t="s">
        <v>45</v>
      </c>
      <c r="B52" s="19">
        <v>0.02263997</v>
      </c>
      <c r="C52" s="12">
        <f t="shared" si="0"/>
        <v>2400430</v>
      </c>
    </row>
    <row r="53" spans="1:3" ht="12.75">
      <c r="A53" s="2" t="s">
        <v>46</v>
      </c>
      <c r="B53" s="19">
        <v>0.00747576</v>
      </c>
      <c r="C53" s="12">
        <f t="shared" si="0"/>
        <v>792627</v>
      </c>
    </row>
    <row r="54" spans="1:3" ht="12.75">
      <c r="A54" s="2" t="s">
        <v>47</v>
      </c>
      <c r="B54" s="19">
        <v>0.00595572</v>
      </c>
      <c r="C54" s="12">
        <f t="shared" si="0"/>
        <v>631462</v>
      </c>
    </row>
    <row r="55" spans="1:3" ht="12.75">
      <c r="A55" s="2" t="s">
        <v>48</v>
      </c>
      <c r="B55" s="19">
        <v>0.01957379</v>
      </c>
      <c r="C55" s="12">
        <f t="shared" si="0"/>
        <v>2075335</v>
      </c>
    </row>
    <row r="56" spans="1:3" ht="12.75">
      <c r="A56" s="2" t="s">
        <v>49</v>
      </c>
      <c r="B56" s="19">
        <v>0.02050857</v>
      </c>
      <c r="C56" s="12">
        <f t="shared" si="0"/>
        <v>2174446</v>
      </c>
    </row>
    <row r="57" spans="1:3" ht="12.75">
      <c r="A57" s="2" t="s">
        <v>50</v>
      </c>
      <c r="B57" s="19">
        <v>0.00905733</v>
      </c>
      <c r="C57" s="12">
        <f t="shared" si="0"/>
        <v>960314</v>
      </c>
    </row>
    <row r="58" spans="1:3" ht="12.75">
      <c r="A58" s="2" t="s">
        <v>51</v>
      </c>
      <c r="B58" s="19">
        <v>0.03576365</v>
      </c>
      <c r="C58" s="12">
        <f t="shared" si="0"/>
        <v>3791884</v>
      </c>
    </row>
    <row r="59" spans="1:3" ht="12.75">
      <c r="A59" s="2" t="s">
        <v>52</v>
      </c>
      <c r="B59" s="19">
        <v>0.00299313</v>
      </c>
      <c r="C59" s="12">
        <f>ROUND(B59*$C$65,0)+2</f>
        <v>317352</v>
      </c>
    </row>
    <row r="60" spans="2:3" ht="12.75">
      <c r="B60" s="20" t="s">
        <v>58</v>
      </c>
      <c r="C60" s="21"/>
    </row>
    <row r="61" spans="1:3" ht="12.75">
      <c r="A61" s="2" t="s">
        <v>59</v>
      </c>
      <c r="B61" s="22">
        <f>SUM(B9:B59)</f>
        <v>1</v>
      </c>
      <c r="C61" s="12">
        <f>SUM(C9:C59)</f>
        <v>106026216</v>
      </c>
    </row>
    <row r="62" ht="12.75">
      <c r="B62" s="22"/>
    </row>
    <row r="63" spans="1:3" ht="12.75">
      <c r="A63" s="2" t="s">
        <v>60</v>
      </c>
      <c r="B63" s="23"/>
      <c r="C63" s="12">
        <f>C4</f>
        <v>106170000</v>
      </c>
    </row>
    <row r="64" spans="1:3" ht="13.5" thickBot="1">
      <c r="A64" s="2" t="s">
        <v>61</v>
      </c>
      <c r="B64" s="24">
        <v>0.00135428</v>
      </c>
      <c r="C64" s="6">
        <f>ROUND(C63*B64,0)</f>
        <v>143784</v>
      </c>
    </row>
    <row r="65" spans="1:3" ht="13.5" thickTop="1">
      <c r="A65" s="25" t="s">
        <v>62</v>
      </c>
      <c r="B65" s="25"/>
      <c r="C65" s="26">
        <f>C63-C64</f>
        <v>106026216</v>
      </c>
    </row>
    <row r="66" spans="2:3" ht="12.75">
      <c r="B66" s="23"/>
      <c r="C66" s="6"/>
    </row>
    <row r="67" spans="1:3" ht="12.75">
      <c r="A67" s="27" t="s">
        <v>61</v>
      </c>
      <c r="B67" s="27" t="s">
        <v>63</v>
      </c>
      <c r="C67" s="28" t="s">
        <v>64</v>
      </c>
    </row>
    <row r="68" spans="1:3" ht="12.75">
      <c r="A68" s="29" t="s">
        <v>65</v>
      </c>
      <c r="B68" s="24">
        <v>0.01654258</v>
      </c>
      <c r="C68" s="28">
        <f>ROUND(B68*$C$64,0)</f>
        <v>2379</v>
      </c>
    </row>
    <row r="69" spans="1:3" ht="12.75">
      <c r="A69" s="29" t="s">
        <v>66</v>
      </c>
      <c r="B69" s="24">
        <v>0.03626904</v>
      </c>
      <c r="C69" s="28">
        <f>ROUND(B69*$C$64,0)</f>
        <v>5215</v>
      </c>
    </row>
    <row r="70" spans="1:3" ht="12.75">
      <c r="A70" s="29" t="s">
        <v>67</v>
      </c>
      <c r="B70" s="24">
        <v>0.01259719</v>
      </c>
      <c r="C70" s="28">
        <f>ROUND(B70*$C$64,0)+1</f>
        <v>1812</v>
      </c>
    </row>
    <row r="71" spans="1:3" ht="12.75">
      <c r="A71" s="29" t="s">
        <v>68</v>
      </c>
      <c r="B71" s="24">
        <v>0.90029483</v>
      </c>
      <c r="C71" s="28">
        <f>ROUND(B71*$C$64,0)-1</f>
        <v>129447</v>
      </c>
    </row>
    <row r="72" spans="1:3" ht="13.5" thickBot="1">
      <c r="A72" s="29" t="s">
        <v>69</v>
      </c>
      <c r="B72" s="24">
        <v>0.03429636</v>
      </c>
      <c r="C72" s="28">
        <f>ROUND(B72*$C$64,0)</f>
        <v>4931</v>
      </c>
    </row>
    <row r="73" spans="1:3" ht="13.5" thickTop="1">
      <c r="A73" s="30" t="s">
        <v>70</v>
      </c>
      <c r="B73" s="30"/>
      <c r="C73" s="31">
        <f>SUM(C68:C72)</f>
        <v>143784</v>
      </c>
    </row>
    <row r="74" spans="1:2" ht="12.75">
      <c r="A74" s="32"/>
      <c r="B74" s="27"/>
    </row>
    <row r="75" ht="12.75">
      <c r="A75" s="33" t="s">
        <v>196</v>
      </c>
    </row>
  </sheetData>
  <sheetProtection password="E68A" sheet="1" objects="1" scenarios="1"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G63"/>
  <sheetViews>
    <sheetView tabSelected="1" workbookViewId="0" topLeftCell="A1">
      <pane xSplit="1" ySplit="6" topLeftCell="B7" activePane="bottomRight" state="frozen"/>
      <selection pane="topLeft" activeCell="H78" sqref="H78"/>
      <selection pane="topRight" activeCell="H78" sqref="H78"/>
      <selection pane="bottomLeft" activeCell="H78" sqref="H78"/>
      <selection pane="bottomRight" activeCell="E1" sqref="E1"/>
    </sheetView>
  </sheetViews>
  <sheetFormatPr defaultColWidth="9.140625" defaultRowHeight="12.75"/>
  <cols>
    <col min="1" max="1" width="20.00390625" style="0" customWidth="1"/>
    <col min="2" max="3" width="23.57421875" style="0" customWidth="1"/>
    <col min="4" max="4" width="16.7109375" style="0" customWidth="1"/>
  </cols>
  <sheetData>
    <row r="1" spans="1:7" ht="24.75" customHeight="1">
      <c r="A1" s="104" t="s">
        <v>191</v>
      </c>
      <c r="B1" s="104"/>
      <c r="C1" s="104"/>
      <c r="D1" s="105"/>
      <c r="G1" s="125" t="s">
        <v>197</v>
      </c>
    </row>
    <row r="2" spans="1:3" ht="12.75">
      <c r="A2" s="11" t="s">
        <v>54</v>
      </c>
      <c r="C2" s="12">
        <f>'$106M Block '!C4+'$25M Formula'!E5</f>
        <v>131170000</v>
      </c>
    </row>
    <row r="3" spans="1:4" ht="12.75">
      <c r="A3" s="102" t="s">
        <v>195</v>
      </c>
      <c r="B3" s="102"/>
      <c r="C3" s="102"/>
      <c r="D3" s="102"/>
    </row>
    <row r="4" ht="12.75">
      <c r="A4" s="11"/>
    </row>
    <row r="5" spans="2:4" ht="12.75">
      <c r="B5" s="5" t="str">
        <f>TEXT('$25M Formula'!E5/1000000,"$0.00")&amp;" Million"</f>
        <v>$25.00 Million</v>
      </c>
      <c r="C5" s="5" t="str">
        <f>TEXT('$106M Block '!C4/1000000,"$0.00")&amp;" Million"</f>
        <v>$106.17 Million</v>
      </c>
      <c r="D5" s="5" t="str">
        <f>TEXT(('$25M Formula'!E5+'$106M Block '!C4)/1000000,"$0.00")&amp;" Million"</f>
        <v>$131.17 Million</v>
      </c>
    </row>
    <row r="6" spans="1:4" ht="89.25">
      <c r="A6" t="s">
        <v>0</v>
      </c>
      <c r="B6" s="1" t="str">
        <f>"Allocations to States with at least "&amp;TEXT('$25M Formula'!G5,"0.0%")&amp;" LIHH Oil heaters and avg. cooling-season temp. under "&amp;TEXT('$25M Formula'!F5,"0 °F")&amp;" by old-formula BG ratios weighted by % LIHH Oil heaters."</f>
        <v>Allocations to States with at least 30.0% LIHH Oil heaters and avg. cooling-season temp. under 47 °F by old-formula BG ratios weighted by % LIHH Oil heaters.</v>
      </c>
      <c r="C6" s="1" t="s">
        <v>1</v>
      </c>
      <c r="D6" s="8" t="s">
        <v>53</v>
      </c>
    </row>
    <row r="7" spans="1:4" ht="12.75">
      <c r="A7" s="2" t="s">
        <v>2</v>
      </c>
      <c r="B7" s="6">
        <f>'$25M Formula'!J10</f>
        <v>0</v>
      </c>
      <c r="C7" s="6">
        <f>'$106M Block '!C9</f>
        <v>911873</v>
      </c>
      <c r="D7" s="7">
        <f>C7+B7</f>
        <v>911873</v>
      </c>
    </row>
    <row r="8" spans="1:4" ht="12.75">
      <c r="A8" s="2" t="s">
        <v>3</v>
      </c>
      <c r="B8" s="6">
        <f>'$25M Formula'!J11</f>
        <v>1167785</v>
      </c>
      <c r="C8" s="6">
        <f>'$106M Block '!C10</f>
        <v>582069</v>
      </c>
      <c r="D8" s="7">
        <f aca="true" t="shared" si="0" ref="D8:D57">C8+B8</f>
        <v>1749854</v>
      </c>
    </row>
    <row r="9" spans="1:4" ht="12.75">
      <c r="A9" s="2" t="s">
        <v>4</v>
      </c>
      <c r="B9" s="6">
        <f>'$25M Formula'!J12</f>
        <v>0</v>
      </c>
      <c r="C9" s="6">
        <f>'$106M Block '!C11</f>
        <v>440993</v>
      </c>
      <c r="D9" s="7">
        <f t="shared" si="0"/>
        <v>440993</v>
      </c>
    </row>
    <row r="10" spans="1:4" ht="12.75">
      <c r="A10" s="2" t="s">
        <v>5</v>
      </c>
      <c r="B10" s="6">
        <f>'$25M Formula'!J13</f>
        <v>0</v>
      </c>
      <c r="C10" s="6">
        <f>'$106M Block '!C12</f>
        <v>695802</v>
      </c>
      <c r="D10" s="7">
        <f t="shared" si="0"/>
        <v>695802</v>
      </c>
    </row>
    <row r="11" spans="1:4" ht="12.75">
      <c r="A11" s="2" t="s">
        <v>6</v>
      </c>
      <c r="B11" s="6">
        <f>'$25M Formula'!J14</f>
        <v>0</v>
      </c>
      <c r="C11" s="6">
        <f>'$106M Block '!C13</f>
        <v>4891934</v>
      </c>
      <c r="D11" s="7">
        <f t="shared" si="0"/>
        <v>4891934</v>
      </c>
    </row>
    <row r="12" spans="1:4" ht="12.75">
      <c r="A12" s="2" t="s">
        <v>7</v>
      </c>
      <c r="B12" s="6">
        <f>'$25M Formula'!J15</f>
        <v>0</v>
      </c>
      <c r="C12" s="6">
        <f>'$106M Block '!C14</f>
        <v>1705665</v>
      </c>
      <c r="D12" s="7">
        <f t="shared" si="0"/>
        <v>1705665</v>
      </c>
    </row>
    <row r="13" spans="1:4" ht="12.75">
      <c r="A13" s="2" t="s">
        <v>8</v>
      </c>
      <c r="B13" s="6">
        <f>'$25M Formula'!J16</f>
        <v>4956918</v>
      </c>
      <c r="C13" s="6">
        <f>'$106M Block '!C15</f>
        <v>2225100</v>
      </c>
      <c r="D13" s="7">
        <f t="shared" si="0"/>
        <v>7182018</v>
      </c>
    </row>
    <row r="14" spans="1:4" ht="12.75">
      <c r="A14" s="2" t="s">
        <v>9</v>
      </c>
      <c r="B14" s="6">
        <f>'$25M Formula'!J17</f>
        <v>0</v>
      </c>
      <c r="C14" s="6">
        <f>'$106M Block '!C16</f>
        <v>295339</v>
      </c>
      <c r="D14" s="7">
        <f t="shared" si="0"/>
        <v>295339</v>
      </c>
    </row>
    <row r="15" spans="1:4" ht="12.75">
      <c r="A15" s="3" t="s">
        <v>10</v>
      </c>
      <c r="B15" s="6">
        <f>'$25M Formula'!J18</f>
        <v>0</v>
      </c>
      <c r="C15" s="6">
        <f>'$106M Block '!C17</f>
        <v>345562</v>
      </c>
      <c r="D15" s="7">
        <f t="shared" si="0"/>
        <v>345562</v>
      </c>
    </row>
    <row r="16" spans="1:4" ht="12.75">
      <c r="A16" s="2" t="s">
        <v>11</v>
      </c>
      <c r="B16" s="6">
        <f>'$25M Formula'!J19</f>
        <v>0</v>
      </c>
      <c r="C16" s="6">
        <f>'$106M Block '!C18</f>
        <v>1442856</v>
      </c>
      <c r="D16" s="7">
        <f t="shared" si="0"/>
        <v>1442856</v>
      </c>
    </row>
    <row r="17" spans="1:4" ht="12.75">
      <c r="A17" s="2" t="s">
        <v>12</v>
      </c>
      <c r="B17" s="6">
        <f>'$25M Formula'!J20</f>
        <v>0</v>
      </c>
      <c r="C17" s="6">
        <f>'$106M Block '!C19</f>
        <v>1140799</v>
      </c>
      <c r="D17" s="7">
        <f t="shared" si="0"/>
        <v>1140799</v>
      </c>
    </row>
    <row r="18" spans="1:4" ht="12.75">
      <c r="A18" s="2" t="s">
        <v>13</v>
      </c>
      <c r="B18" s="6">
        <f>'$25M Formula'!J21</f>
        <v>0</v>
      </c>
      <c r="C18" s="6">
        <f>'$106M Block '!C20</f>
        <v>114885</v>
      </c>
      <c r="D18" s="7">
        <f t="shared" si="0"/>
        <v>114885</v>
      </c>
    </row>
    <row r="19" spans="1:4" ht="12.75">
      <c r="A19" s="2" t="s">
        <v>14</v>
      </c>
      <c r="B19" s="6">
        <f>'$25M Formula'!J22</f>
        <v>0</v>
      </c>
      <c r="C19" s="6">
        <f>'$106M Block '!C21</f>
        <v>665323</v>
      </c>
      <c r="D19" s="7">
        <f t="shared" si="0"/>
        <v>665323</v>
      </c>
    </row>
    <row r="20" spans="1:4" ht="12.75">
      <c r="A20" s="2" t="s">
        <v>15</v>
      </c>
      <c r="B20" s="6">
        <f>'$25M Formula'!J23</f>
        <v>0</v>
      </c>
      <c r="C20" s="6">
        <f>'$106M Block '!C22</f>
        <v>6158693</v>
      </c>
      <c r="D20" s="7">
        <f t="shared" si="0"/>
        <v>6158693</v>
      </c>
    </row>
    <row r="21" spans="1:4" ht="12.75">
      <c r="A21" s="2" t="s">
        <v>16</v>
      </c>
      <c r="B21" s="6">
        <f>'$25M Formula'!J24</f>
        <v>0</v>
      </c>
      <c r="C21" s="6">
        <f>'$106M Block '!C23</f>
        <v>2788483</v>
      </c>
      <c r="D21" s="7">
        <f t="shared" si="0"/>
        <v>2788483</v>
      </c>
    </row>
    <row r="22" spans="1:4" ht="12.75">
      <c r="A22" s="2" t="s">
        <v>17</v>
      </c>
      <c r="B22" s="6">
        <f>'$25M Formula'!J25</f>
        <v>0</v>
      </c>
      <c r="C22" s="6">
        <f>'$106M Block '!C24</f>
        <v>1976235</v>
      </c>
      <c r="D22" s="7">
        <f t="shared" si="0"/>
        <v>1976235</v>
      </c>
    </row>
    <row r="23" spans="1:4" ht="12.75">
      <c r="A23" s="2" t="s">
        <v>18</v>
      </c>
      <c r="B23" s="6">
        <f>'$25M Formula'!J26</f>
        <v>0</v>
      </c>
      <c r="C23" s="6">
        <f>'$106M Block '!C25</f>
        <v>907576</v>
      </c>
      <c r="D23" s="7">
        <f t="shared" si="0"/>
        <v>907576</v>
      </c>
    </row>
    <row r="24" spans="1:4" ht="12.75">
      <c r="A24" s="2" t="s">
        <v>19</v>
      </c>
      <c r="B24" s="6">
        <f>'$25M Formula'!J27</f>
        <v>0</v>
      </c>
      <c r="C24" s="6">
        <f>'$106M Block '!C26</f>
        <v>1451117</v>
      </c>
      <c r="D24" s="7">
        <f t="shared" si="0"/>
        <v>1451117</v>
      </c>
    </row>
    <row r="25" spans="1:4" ht="12.75">
      <c r="A25" s="2" t="s">
        <v>20</v>
      </c>
      <c r="B25" s="6">
        <f>'$25M Formula'!J28</f>
        <v>0</v>
      </c>
      <c r="C25" s="6">
        <f>'$106M Block '!C27</f>
        <v>932250</v>
      </c>
      <c r="D25" s="7">
        <f t="shared" si="0"/>
        <v>932250</v>
      </c>
    </row>
    <row r="26" spans="1:4" ht="12.75">
      <c r="A26" s="2" t="s">
        <v>21</v>
      </c>
      <c r="B26" s="6">
        <f>'$25M Formula'!J29</f>
        <v>5768233</v>
      </c>
      <c r="C26" s="6">
        <f>'$106M Block '!C28</f>
        <v>1441510</v>
      </c>
      <c r="D26" s="7">
        <f t="shared" si="0"/>
        <v>7209743</v>
      </c>
    </row>
    <row r="27" spans="1:4" ht="12.75">
      <c r="A27" s="2" t="s">
        <v>22</v>
      </c>
      <c r="B27" s="6">
        <f>'$25M Formula'!J30</f>
        <v>0</v>
      </c>
      <c r="C27" s="6">
        <f>'$106M Block '!C29</f>
        <v>1703731</v>
      </c>
      <c r="D27" s="7">
        <f t="shared" si="0"/>
        <v>1703731</v>
      </c>
    </row>
    <row r="28" spans="1:4" ht="12.75">
      <c r="A28" s="2" t="s">
        <v>23</v>
      </c>
      <c r="B28" s="6">
        <f>'$25M Formula'!J31</f>
        <v>7490761</v>
      </c>
      <c r="C28" s="6">
        <f>'$106M Block '!C30</f>
        <v>4450937</v>
      </c>
      <c r="D28" s="7">
        <f t="shared" si="0"/>
        <v>11941698</v>
      </c>
    </row>
    <row r="29" spans="1:4" ht="12.75">
      <c r="A29" s="2" t="s">
        <v>24</v>
      </c>
      <c r="B29" s="6">
        <f>'$25M Formula'!J32</f>
        <v>0</v>
      </c>
      <c r="C29" s="6">
        <f>'$106M Block '!C31</f>
        <v>5847139</v>
      </c>
      <c r="D29" s="7">
        <f t="shared" si="0"/>
        <v>5847139</v>
      </c>
    </row>
    <row r="30" spans="1:4" ht="12.75">
      <c r="A30" s="2" t="s">
        <v>25</v>
      </c>
      <c r="B30" s="6">
        <f>'$25M Formula'!J33</f>
        <v>0</v>
      </c>
      <c r="C30" s="6">
        <f>'$106M Block '!C32</f>
        <v>4212533</v>
      </c>
      <c r="D30" s="7">
        <f t="shared" si="0"/>
        <v>4212533</v>
      </c>
    </row>
    <row r="31" spans="1:4" ht="12.75">
      <c r="A31" s="2" t="s">
        <v>26</v>
      </c>
      <c r="B31" s="6">
        <f>'$25M Formula'!J34</f>
        <v>0</v>
      </c>
      <c r="C31" s="6">
        <f>'$106M Block '!C33</f>
        <v>781790</v>
      </c>
      <c r="D31" s="7">
        <f t="shared" si="0"/>
        <v>781790</v>
      </c>
    </row>
    <row r="32" spans="1:4" ht="12.75">
      <c r="A32" s="2" t="s">
        <v>27</v>
      </c>
      <c r="B32" s="6">
        <f>'$25M Formula'!J35</f>
        <v>0</v>
      </c>
      <c r="C32" s="6">
        <f>'$106M Block '!C34</f>
        <v>2460022</v>
      </c>
      <c r="D32" s="7">
        <f t="shared" si="0"/>
        <v>2460022</v>
      </c>
    </row>
    <row r="33" spans="1:4" ht="12.75">
      <c r="A33" s="2" t="s">
        <v>28</v>
      </c>
      <c r="B33" s="6">
        <f>'$25M Formula'!J36</f>
        <v>0</v>
      </c>
      <c r="C33" s="6">
        <f>'$106M Block '!C35</f>
        <v>780382</v>
      </c>
      <c r="D33" s="7">
        <f t="shared" si="0"/>
        <v>780382</v>
      </c>
    </row>
    <row r="34" spans="1:4" ht="12.75">
      <c r="A34" s="2" t="s">
        <v>29</v>
      </c>
      <c r="B34" s="6">
        <f>'$25M Formula'!J37</f>
        <v>0</v>
      </c>
      <c r="C34" s="6">
        <f>'$106M Block '!C36</f>
        <v>977324</v>
      </c>
      <c r="D34" s="7">
        <f t="shared" si="0"/>
        <v>977324</v>
      </c>
    </row>
    <row r="35" spans="1:4" ht="12.75">
      <c r="A35" s="2" t="s">
        <v>30</v>
      </c>
      <c r="B35" s="6">
        <f>'$25M Formula'!J38</f>
        <v>0</v>
      </c>
      <c r="C35" s="6">
        <f>'$106M Block '!C37</f>
        <v>207121</v>
      </c>
      <c r="D35" s="7">
        <f t="shared" si="0"/>
        <v>207121</v>
      </c>
    </row>
    <row r="36" spans="1:4" ht="12.75">
      <c r="A36" s="2" t="s">
        <v>31</v>
      </c>
      <c r="B36" s="6">
        <f>'$25M Formula'!J39</f>
        <v>2433385</v>
      </c>
      <c r="C36" s="6">
        <f>'$106M Block '!C38</f>
        <v>842472</v>
      </c>
      <c r="D36" s="7">
        <f t="shared" si="0"/>
        <v>3275857</v>
      </c>
    </row>
    <row r="37" spans="1:4" ht="12.75">
      <c r="A37" s="2" t="s">
        <v>32</v>
      </c>
      <c r="B37" s="6">
        <f>'$25M Formula'!J40</f>
        <v>0</v>
      </c>
      <c r="C37" s="6">
        <f>'$106M Block '!C39</f>
        <v>4132003</v>
      </c>
      <c r="D37" s="7">
        <f t="shared" si="0"/>
        <v>4132003</v>
      </c>
    </row>
    <row r="38" spans="1:4" ht="12.75">
      <c r="A38" s="2" t="s">
        <v>33</v>
      </c>
      <c r="B38" s="6">
        <f>'$25M Formula'!J41</f>
        <v>0</v>
      </c>
      <c r="C38" s="6">
        <f>'$106M Block '!C40</f>
        <v>552092</v>
      </c>
      <c r="D38" s="7">
        <f t="shared" si="0"/>
        <v>552092</v>
      </c>
    </row>
    <row r="39" spans="1:4" ht="12.75">
      <c r="A39" s="2" t="s">
        <v>34</v>
      </c>
      <c r="B39" s="6">
        <f>'$25M Formula'!J42</f>
        <v>0</v>
      </c>
      <c r="C39" s="6">
        <f>'$106M Block '!C41</f>
        <v>13491614</v>
      </c>
      <c r="D39" s="7">
        <f t="shared" si="0"/>
        <v>13491614</v>
      </c>
    </row>
    <row r="40" spans="1:4" ht="12.75">
      <c r="A40" s="2" t="s">
        <v>35</v>
      </c>
      <c r="B40" s="6">
        <f>'$25M Formula'!J43</f>
        <v>0</v>
      </c>
      <c r="C40" s="6">
        <f>'$106M Block '!C42</f>
        <v>2010660</v>
      </c>
      <c r="D40" s="7">
        <f t="shared" si="0"/>
        <v>2010660</v>
      </c>
    </row>
    <row r="41" spans="1:4" ht="12.75">
      <c r="A41" s="2" t="s">
        <v>36</v>
      </c>
      <c r="B41" s="6">
        <f>'$25M Formula'!J44</f>
        <v>0</v>
      </c>
      <c r="C41" s="6">
        <f>'$106M Block '!C43</f>
        <v>847730</v>
      </c>
      <c r="D41" s="7">
        <f t="shared" si="0"/>
        <v>847730</v>
      </c>
    </row>
    <row r="42" spans="1:4" ht="12.75">
      <c r="A42" s="2" t="s">
        <v>37</v>
      </c>
      <c r="B42" s="6">
        <f>'$25M Formula'!J45</f>
        <v>0</v>
      </c>
      <c r="C42" s="6">
        <f>'$106M Block '!C44</f>
        <v>5448284</v>
      </c>
      <c r="D42" s="7">
        <f t="shared" si="0"/>
        <v>5448284</v>
      </c>
    </row>
    <row r="43" spans="1:4" ht="12.75">
      <c r="A43" s="2" t="s">
        <v>38</v>
      </c>
      <c r="B43" s="6">
        <f>'$25M Formula'!J46</f>
        <v>0</v>
      </c>
      <c r="C43" s="6">
        <f>'$106M Block '!C45</f>
        <v>838199</v>
      </c>
      <c r="D43" s="7">
        <f t="shared" si="0"/>
        <v>838199</v>
      </c>
    </row>
    <row r="44" spans="1:4" ht="12.75">
      <c r="A44" s="2" t="s">
        <v>39</v>
      </c>
      <c r="B44" s="6">
        <f>'$25M Formula'!J47</f>
        <v>0</v>
      </c>
      <c r="C44" s="6">
        <f>'$106M Block '!C46</f>
        <v>1321962</v>
      </c>
      <c r="D44" s="7">
        <f t="shared" si="0"/>
        <v>1321962</v>
      </c>
    </row>
    <row r="45" spans="1:4" ht="12.75">
      <c r="A45" s="2" t="s">
        <v>40</v>
      </c>
      <c r="B45" s="6">
        <f>'$25M Formula'!J48</f>
        <v>0</v>
      </c>
      <c r="C45" s="6">
        <f>'$106M Block '!C47</f>
        <v>7246987</v>
      </c>
      <c r="D45" s="7">
        <f t="shared" si="0"/>
        <v>7246987</v>
      </c>
    </row>
    <row r="46" spans="1:4" ht="12.75">
      <c r="A46" s="2" t="s">
        <v>41</v>
      </c>
      <c r="B46" s="6">
        <f>'$25M Formula'!J49</f>
        <v>1265202</v>
      </c>
      <c r="C46" s="6">
        <f>'$106M Block '!C48</f>
        <v>732650</v>
      </c>
      <c r="D46" s="7">
        <f t="shared" si="0"/>
        <v>1997852</v>
      </c>
    </row>
    <row r="47" spans="1:4" ht="12.75">
      <c r="A47" s="2" t="s">
        <v>42</v>
      </c>
      <c r="B47" s="6">
        <f>'$25M Formula'!J50</f>
        <v>0</v>
      </c>
      <c r="C47" s="6">
        <f>'$106M Block '!C49</f>
        <v>724213</v>
      </c>
      <c r="D47" s="7">
        <f t="shared" si="0"/>
        <v>724213</v>
      </c>
    </row>
    <row r="48" spans="1:4" ht="12.75">
      <c r="A48" s="2" t="s">
        <v>43</v>
      </c>
      <c r="B48" s="6">
        <f>'$25M Formula'!J51</f>
        <v>0</v>
      </c>
      <c r="C48" s="6">
        <f>'$106M Block '!C50</f>
        <v>688506</v>
      </c>
      <c r="D48" s="7">
        <f t="shared" si="0"/>
        <v>688506</v>
      </c>
    </row>
    <row r="49" spans="1:4" ht="12.75">
      <c r="A49" s="2" t="s">
        <v>44</v>
      </c>
      <c r="B49" s="6">
        <f>'$25M Formula'!J52</f>
        <v>0</v>
      </c>
      <c r="C49" s="6">
        <f>'$106M Block '!C51</f>
        <v>1469951</v>
      </c>
      <c r="D49" s="7">
        <f t="shared" si="0"/>
        <v>1469951</v>
      </c>
    </row>
    <row r="50" spans="1:4" ht="12.75">
      <c r="A50" s="2" t="s">
        <v>45</v>
      </c>
      <c r="B50" s="6">
        <f>'$25M Formula'!J53</f>
        <v>0</v>
      </c>
      <c r="C50" s="6">
        <f>'$106M Block '!C52</f>
        <v>2400430</v>
      </c>
      <c r="D50" s="7">
        <f t="shared" si="0"/>
        <v>2400430</v>
      </c>
    </row>
    <row r="51" spans="1:4" ht="12.75">
      <c r="A51" s="2" t="s">
        <v>46</v>
      </c>
      <c r="B51" s="6">
        <f>'$25M Formula'!J54</f>
        <v>0</v>
      </c>
      <c r="C51" s="6">
        <f>'$106M Block '!C53</f>
        <v>792627</v>
      </c>
      <c r="D51" s="7">
        <f t="shared" si="0"/>
        <v>792627</v>
      </c>
    </row>
    <row r="52" spans="1:4" ht="12.75">
      <c r="A52" s="2" t="s">
        <v>47</v>
      </c>
      <c r="B52" s="6">
        <f>'$25M Formula'!J55</f>
        <v>1917716</v>
      </c>
      <c r="C52" s="6">
        <f>'$106M Block '!C54</f>
        <v>631462</v>
      </c>
      <c r="D52" s="7">
        <f t="shared" si="0"/>
        <v>2549178</v>
      </c>
    </row>
    <row r="53" spans="1:4" ht="12.75">
      <c r="A53" s="2" t="s">
        <v>48</v>
      </c>
      <c r="B53" s="6">
        <f>'$25M Formula'!J56</f>
        <v>0</v>
      </c>
      <c r="C53" s="6">
        <f>'$106M Block '!C55</f>
        <v>2075335</v>
      </c>
      <c r="D53" s="7">
        <f t="shared" si="0"/>
        <v>2075335</v>
      </c>
    </row>
    <row r="54" spans="1:4" ht="12.75">
      <c r="A54" s="2" t="s">
        <v>49</v>
      </c>
      <c r="B54" s="6">
        <f>'$25M Formula'!J57</f>
        <v>0</v>
      </c>
      <c r="C54" s="6">
        <f>'$106M Block '!C56</f>
        <v>2174446</v>
      </c>
      <c r="D54" s="7">
        <f t="shared" si="0"/>
        <v>2174446</v>
      </c>
    </row>
    <row r="55" spans="1:4" ht="12.75">
      <c r="A55" s="2" t="s">
        <v>50</v>
      </c>
      <c r="B55" s="6">
        <f>'$25M Formula'!J58</f>
        <v>0</v>
      </c>
      <c r="C55" s="6">
        <f>'$106M Block '!C57</f>
        <v>960314</v>
      </c>
      <c r="D55" s="7">
        <f t="shared" si="0"/>
        <v>960314</v>
      </c>
    </row>
    <row r="56" spans="1:4" ht="12.75">
      <c r="A56" s="2" t="s">
        <v>51</v>
      </c>
      <c r="B56" s="6">
        <f>'$25M Formula'!J59</f>
        <v>0</v>
      </c>
      <c r="C56" s="6">
        <f>'$106M Block '!C58</f>
        <v>3791884</v>
      </c>
      <c r="D56" s="7">
        <f t="shared" si="0"/>
        <v>3791884</v>
      </c>
    </row>
    <row r="57" spans="1:4" ht="12.75">
      <c r="A57" s="2" t="s">
        <v>52</v>
      </c>
      <c r="B57" s="6">
        <f>'$25M Formula'!J60</f>
        <v>0</v>
      </c>
      <c r="C57" s="6">
        <f>'$106M Block '!C59</f>
        <v>317352</v>
      </c>
      <c r="D57" s="7">
        <f t="shared" si="0"/>
        <v>317352</v>
      </c>
    </row>
    <row r="58" spans="1:4" ht="13.5" thickBot="1">
      <c r="A58" s="2"/>
      <c r="B58" s="6"/>
      <c r="C58" s="6"/>
      <c r="D58" s="7"/>
    </row>
    <row r="59" spans="1:4" ht="13.5" thickTop="1">
      <c r="A59" s="4" t="s">
        <v>71</v>
      </c>
      <c r="B59" s="34">
        <f>SUM(B7:B57)</f>
        <v>25000000</v>
      </c>
      <c r="C59" s="34">
        <f>SUM(C7:C57)</f>
        <v>106026216</v>
      </c>
      <c r="D59" s="35">
        <f>B59+C59</f>
        <v>131026216</v>
      </c>
    </row>
    <row r="60" spans="1:4" ht="12.75">
      <c r="A60" s="9" t="s">
        <v>61</v>
      </c>
      <c r="B60" s="36">
        <v>0</v>
      </c>
      <c r="C60" s="36">
        <f>'$106M Block '!C73</f>
        <v>143784</v>
      </c>
      <c r="D60" s="37">
        <f>B60+C60</f>
        <v>143784</v>
      </c>
    </row>
    <row r="61" spans="1:4" ht="12.75">
      <c r="A61" s="9" t="s">
        <v>53</v>
      </c>
      <c r="B61" s="37">
        <f>B59+B60</f>
        <v>25000000</v>
      </c>
      <c r="C61" s="37">
        <f>C59+C60</f>
        <v>106170000</v>
      </c>
      <c r="D61" s="37">
        <f>D59+D60</f>
        <v>131170000</v>
      </c>
    </row>
    <row r="63" ht="12.75">
      <c r="A63" s="33" t="s">
        <v>196</v>
      </c>
    </row>
  </sheetData>
  <sheetProtection password="E68A" sheet="1" objects="1" scenarios="1"/>
  <mergeCells count="2">
    <mergeCell ref="A1:D1"/>
    <mergeCell ref="A3:D3"/>
  </mergeCells>
  <printOptions gridLines="1"/>
  <pageMargins left="0.75" right="0.75" top="0.37" bottom="0.38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:K1"/>
    </sheetView>
  </sheetViews>
  <sheetFormatPr defaultColWidth="9.140625" defaultRowHeight="12.75"/>
  <cols>
    <col min="1" max="1" width="24.57421875" style="46" bestFit="1" customWidth="1"/>
    <col min="2" max="2" width="10.7109375" style="46" customWidth="1"/>
    <col min="3" max="3" width="10.140625" style="46" bestFit="1" customWidth="1"/>
    <col min="4" max="4" width="17.140625" style="46" bestFit="1" customWidth="1"/>
    <col min="5" max="5" width="9.140625" style="46" bestFit="1" customWidth="1"/>
    <col min="6" max="6" width="16.7109375" style="46" bestFit="1" customWidth="1"/>
    <col min="7" max="7" width="9.7109375" style="46" bestFit="1" customWidth="1"/>
    <col min="8" max="8" width="7.57421875" style="46" bestFit="1" customWidth="1"/>
    <col min="9" max="9" width="10.00390625" style="46" bestFit="1" customWidth="1"/>
    <col min="10" max="10" width="9.140625" style="46" customWidth="1"/>
    <col min="11" max="11" width="9.8515625" style="46" bestFit="1" customWidth="1"/>
    <col min="12" max="16384" width="9.140625" style="46" customWidth="1"/>
  </cols>
  <sheetData>
    <row r="1" spans="1:11" s="38" customFormat="1" ht="31.5" customHeight="1" thickBot="1">
      <c r="A1" s="117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9" customFormat="1" ht="13.5" customHeight="1" thickBot="1">
      <c r="A2" s="110" t="s">
        <v>73</v>
      </c>
      <c r="B2" s="112" t="s">
        <v>74</v>
      </c>
      <c r="C2" s="114" t="s">
        <v>75</v>
      </c>
      <c r="D2" s="115"/>
      <c r="E2" s="115"/>
      <c r="F2" s="115"/>
      <c r="G2" s="115"/>
      <c r="H2" s="115"/>
      <c r="I2" s="115"/>
      <c r="J2" s="115"/>
      <c r="K2" s="116"/>
    </row>
    <row r="3" spans="1:11" s="39" customFormat="1" ht="12" customHeight="1" thickBot="1">
      <c r="A3" s="111"/>
      <c r="B3" s="113"/>
      <c r="C3" s="40" t="s">
        <v>76</v>
      </c>
      <c r="D3" s="40" t="s">
        <v>77</v>
      </c>
      <c r="E3" s="40" t="s">
        <v>78</v>
      </c>
      <c r="F3" s="40" t="s">
        <v>79</v>
      </c>
      <c r="G3" s="40" t="s">
        <v>80</v>
      </c>
      <c r="H3" s="40" t="s">
        <v>81</v>
      </c>
      <c r="I3" s="40" t="s">
        <v>82</v>
      </c>
      <c r="J3" s="40" t="s">
        <v>83</v>
      </c>
      <c r="K3" s="40" t="s">
        <v>84</v>
      </c>
    </row>
    <row r="4" spans="1:11" s="39" customFormat="1" ht="12.75">
      <c r="A4" s="41"/>
      <c r="B4" s="42"/>
      <c r="C4" s="43"/>
      <c r="D4" s="43"/>
      <c r="E4" s="43"/>
      <c r="F4" s="43"/>
      <c r="G4" s="43"/>
      <c r="H4" s="43"/>
      <c r="I4" s="43"/>
      <c r="J4" s="43"/>
      <c r="K4" s="43"/>
    </row>
    <row r="5" spans="1:11" ht="12.75">
      <c r="A5" s="44" t="s">
        <v>85</v>
      </c>
      <c r="B5" s="45">
        <v>28048665</v>
      </c>
      <c r="C5" s="45">
        <v>13246035</v>
      </c>
      <c r="D5" s="45">
        <v>2099670</v>
      </c>
      <c r="E5" s="45">
        <v>9135825</v>
      </c>
      <c r="F5" s="45">
        <v>2477075</v>
      </c>
      <c r="G5" s="45">
        <v>52030</v>
      </c>
      <c r="H5" s="45">
        <v>550830</v>
      </c>
      <c r="I5" s="45">
        <v>16440</v>
      </c>
      <c r="J5" s="45">
        <v>163315</v>
      </c>
      <c r="K5" s="45">
        <v>307445</v>
      </c>
    </row>
    <row r="6" spans="1:11" ht="12.75">
      <c r="A6" s="44" t="s">
        <v>86</v>
      </c>
      <c r="B6" s="45">
        <v>5648225</v>
      </c>
      <c r="C6" s="45">
        <v>2767115</v>
      </c>
      <c r="D6" s="45">
        <v>209295</v>
      </c>
      <c r="E6" s="45">
        <v>816470</v>
      </c>
      <c r="F6" s="45">
        <v>1671345</v>
      </c>
      <c r="G6" s="45">
        <v>22640</v>
      </c>
      <c r="H6" s="45">
        <v>65305</v>
      </c>
      <c r="I6" s="45">
        <v>1925</v>
      </c>
      <c r="J6" s="45">
        <v>52430</v>
      </c>
      <c r="K6" s="45">
        <v>41700</v>
      </c>
    </row>
    <row r="7" spans="1:11" ht="12.75">
      <c r="A7" s="44" t="s">
        <v>87</v>
      </c>
      <c r="B7" s="45">
        <v>6321115</v>
      </c>
      <c r="C7" s="45">
        <v>4097960</v>
      </c>
      <c r="D7" s="45">
        <v>581885</v>
      </c>
      <c r="E7" s="45">
        <v>1216645</v>
      </c>
      <c r="F7" s="45">
        <v>218660</v>
      </c>
      <c r="G7" s="45">
        <v>4390</v>
      </c>
      <c r="H7" s="45">
        <v>108525</v>
      </c>
      <c r="I7" s="45">
        <v>1420</v>
      </c>
      <c r="J7" s="45">
        <v>56080</v>
      </c>
      <c r="K7" s="45">
        <v>35555</v>
      </c>
    </row>
    <row r="8" spans="1:11" ht="12.75">
      <c r="A8" s="44" t="s">
        <v>88</v>
      </c>
      <c r="B8" s="45">
        <v>10357525</v>
      </c>
      <c r="C8" s="45">
        <v>3343400</v>
      </c>
      <c r="D8" s="45">
        <v>1023215</v>
      </c>
      <c r="E8" s="45">
        <v>5160800</v>
      </c>
      <c r="F8" s="45">
        <v>498305</v>
      </c>
      <c r="G8" s="45">
        <v>20240</v>
      </c>
      <c r="H8" s="45">
        <v>196155</v>
      </c>
      <c r="I8" s="45">
        <v>3640</v>
      </c>
      <c r="J8" s="45">
        <v>26980</v>
      </c>
      <c r="K8" s="45">
        <v>84790</v>
      </c>
    </row>
    <row r="9" spans="1:11" ht="12.75">
      <c r="A9" s="44" t="s">
        <v>89</v>
      </c>
      <c r="B9" s="45">
        <v>5721800</v>
      </c>
      <c r="C9" s="45">
        <v>3037565</v>
      </c>
      <c r="D9" s="45">
        <v>285280</v>
      </c>
      <c r="E9" s="45">
        <v>1941905</v>
      </c>
      <c r="F9" s="45">
        <v>88770</v>
      </c>
      <c r="G9" s="45">
        <v>4760</v>
      </c>
      <c r="H9" s="45">
        <v>180845</v>
      </c>
      <c r="I9" s="45">
        <v>9450</v>
      </c>
      <c r="J9" s="45">
        <v>27825</v>
      </c>
      <c r="K9" s="45">
        <v>145395</v>
      </c>
    </row>
    <row r="10" spans="1:11" ht="12.75">
      <c r="A10" s="44" t="s">
        <v>90</v>
      </c>
      <c r="B10" s="45">
        <v>1453365</v>
      </c>
      <c r="C10" s="45">
        <v>519240</v>
      </c>
      <c r="D10" s="45">
        <v>61555</v>
      </c>
      <c r="E10" s="45">
        <v>239630</v>
      </c>
      <c r="F10" s="45">
        <v>592060</v>
      </c>
      <c r="G10" s="45">
        <v>1185</v>
      </c>
      <c r="H10" s="45">
        <v>23500</v>
      </c>
      <c r="I10" s="45">
        <v>290</v>
      </c>
      <c r="J10" s="45">
        <v>8605</v>
      </c>
      <c r="K10" s="45">
        <v>7295</v>
      </c>
    </row>
    <row r="11" spans="1:11" ht="12.75">
      <c r="A11" s="44" t="s">
        <v>91</v>
      </c>
      <c r="B11" s="45">
        <v>4194865</v>
      </c>
      <c r="C11" s="45">
        <v>2247875</v>
      </c>
      <c r="D11" s="45">
        <v>147740</v>
      </c>
      <c r="E11" s="45">
        <v>576845</v>
      </c>
      <c r="F11" s="45">
        <v>1079285</v>
      </c>
      <c r="G11" s="45">
        <v>21455</v>
      </c>
      <c r="H11" s="45">
        <v>41805</v>
      </c>
      <c r="I11" s="45">
        <v>1635</v>
      </c>
      <c r="J11" s="45">
        <v>43825</v>
      </c>
      <c r="K11" s="45">
        <v>34405</v>
      </c>
    </row>
    <row r="12" spans="1:11" ht="12.75">
      <c r="A12" s="44" t="s">
        <v>92</v>
      </c>
      <c r="B12" s="45">
        <v>4413970</v>
      </c>
      <c r="C12" s="45">
        <v>3032075</v>
      </c>
      <c r="D12" s="45">
        <v>318065</v>
      </c>
      <c r="E12" s="45">
        <v>783975</v>
      </c>
      <c r="F12" s="45">
        <v>152675</v>
      </c>
      <c r="G12" s="45">
        <v>3315</v>
      </c>
      <c r="H12" s="45">
        <v>58900</v>
      </c>
      <c r="I12" s="45">
        <v>1000</v>
      </c>
      <c r="J12" s="45">
        <v>38030</v>
      </c>
      <c r="K12" s="45">
        <v>25925</v>
      </c>
    </row>
    <row r="13" spans="1:11" ht="12.75">
      <c r="A13" s="44" t="s">
        <v>93</v>
      </c>
      <c r="B13" s="45">
        <v>1907145</v>
      </c>
      <c r="C13" s="45">
        <v>1065885</v>
      </c>
      <c r="D13" s="45">
        <v>263820</v>
      </c>
      <c r="E13" s="45">
        <v>432670</v>
      </c>
      <c r="F13" s="45">
        <v>65980</v>
      </c>
      <c r="G13" s="45">
        <v>1075</v>
      </c>
      <c r="H13" s="45">
        <v>49620</v>
      </c>
      <c r="I13" s="45">
        <v>420</v>
      </c>
      <c r="J13" s="45">
        <v>18050</v>
      </c>
      <c r="K13" s="45">
        <v>9630</v>
      </c>
    </row>
    <row r="14" spans="1:11" ht="12.75">
      <c r="A14" s="44" t="s">
        <v>94</v>
      </c>
      <c r="B14" s="45">
        <v>5216235</v>
      </c>
      <c r="C14" s="45">
        <v>1257555</v>
      </c>
      <c r="D14" s="45">
        <v>452135</v>
      </c>
      <c r="E14" s="45">
        <v>2874715</v>
      </c>
      <c r="F14" s="45">
        <v>450150</v>
      </c>
      <c r="G14" s="45">
        <v>9465</v>
      </c>
      <c r="H14" s="45">
        <v>98490</v>
      </c>
      <c r="I14" s="45">
        <v>2080</v>
      </c>
      <c r="J14" s="45">
        <v>15135</v>
      </c>
      <c r="K14" s="45">
        <v>56520</v>
      </c>
    </row>
    <row r="15" spans="1:11" ht="12.75">
      <c r="A15" s="44" t="s">
        <v>95</v>
      </c>
      <c r="B15" s="45">
        <v>1973600</v>
      </c>
      <c r="C15" s="45">
        <v>675390</v>
      </c>
      <c r="D15" s="45">
        <v>273790</v>
      </c>
      <c r="E15" s="45">
        <v>898905</v>
      </c>
      <c r="F15" s="45">
        <v>43880</v>
      </c>
      <c r="G15" s="45">
        <v>10525</v>
      </c>
      <c r="H15" s="45">
        <v>59120</v>
      </c>
      <c r="I15" s="45">
        <v>355</v>
      </c>
      <c r="J15" s="45">
        <v>4370</v>
      </c>
      <c r="K15" s="45">
        <v>7265</v>
      </c>
    </row>
    <row r="16" spans="1:11" ht="12.75">
      <c r="A16" s="44" t="s">
        <v>96</v>
      </c>
      <c r="B16" s="45">
        <v>3167690</v>
      </c>
      <c r="C16" s="45">
        <v>1410455</v>
      </c>
      <c r="D16" s="45">
        <v>297290</v>
      </c>
      <c r="E16" s="45">
        <v>1387185</v>
      </c>
      <c r="F16" s="45">
        <v>4275</v>
      </c>
      <c r="G16" s="45">
        <v>250</v>
      </c>
      <c r="H16" s="45">
        <v>38545</v>
      </c>
      <c r="I16" s="45">
        <v>1210</v>
      </c>
      <c r="J16" s="45">
        <v>7475</v>
      </c>
      <c r="K16" s="45">
        <v>21005</v>
      </c>
    </row>
    <row r="17" spans="1:11" ht="12.75">
      <c r="A17" s="44" t="s">
        <v>97</v>
      </c>
      <c r="B17" s="45">
        <v>1585795</v>
      </c>
      <c r="C17" s="45">
        <v>839475</v>
      </c>
      <c r="D17" s="45">
        <v>130065</v>
      </c>
      <c r="E17" s="45">
        <v>511100</v>
      </c>
      <c r="F17" s="45">
        <v>14930</v>
      </c>
      <c r="G17" s="45">
        <v>3845</v>
      </c>
      <c r="H17" s="45">
        <v>65790</v>
      </c>
      <c r="I17" s="45">
        <v>1305</v>
      </c>
      <c r="J17" s="45">
        <v>10030</v>
      </c>
      <c r="K17" s="45">
        <v>9255</v>
      </c>
    </row>
    <row r="18" spans="1:11" ht="12.75">
      <c r="A18" s="44" t="s">
        <v>98</v>
      </c>
      <c r="B18" s="45">
        <v>4136005</v>
      </c>
      <c r="C18" s="45">
        <v>2198090</v>
      </c>
      <c r="D18" s="45">
        <v>155210</v>
      </c>
      <c r="E18" s="45">
        <v>1430805</v>
      </c>
      <c r="F18" s="45">
        <v>73835</v>
      </c>
      <c r="G18" s="45">
        <v>915</v>
      </c>
      <c r="H18" s="45">
        <v>115060</v>
      </c>
      <c r="I18" s="45">
        <v>8150</v>
      </c>
      <c r="J18" s="45">
        <v>17795</v>
      </c>
      <c r="K18" s="45">
        <v>136140</v>
      </c>
    </row>
    <row r="19" spans="1:11" ht="12.7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2.75">
      <c r="A20" s="44" t="s">
        <v>2</v>
      </c>
      <c r="B20" s="45">
        <v>551965</v>
      </c>
      <c r="C20" s="45">
        <v>202990</v>
      </c>
      <c r="D20" s="45">
        <v>97295</v>
      </c>
      <c r="E20" s="45">
        <v>236090</v>
      </c>
      <c r="F20" s="45">
        <v>3940</v>
      </c>
      <c r="G20" s="45">
        <v>260</v>
      </c>
      <c r="H20" s="45">
        <v>8620</v>
      </c>
      <c r="I20" s="45">
        <v>65</v>
      </c>
      <c r="J20" s="45">
        <v>815</v>
      </c>
      <c r="K20" s="45">
        <v>1895</v>
      </c>
    </row>
    <row r="21" spans="1:11" ht="12.75">
      <c r="A21" s="44" t="s">
        <v>3</v>
      </c>
      <c r="B21" s="45">
        <v>49270</v>
      </c>
      <c r="C21" s="45">
        <v>16565</v>
      </c>
      <c r="D21" s="45">
        <v>1315</v>
      </c>
      <c r="E21" s="45">
        <v>7580</v>
      </c>
      <c r="F21" s="45">
        <v>18570</v>
      </c>
      <c r="G21" s="45">
        <v>365</v>
      </c>
      <c r="H21" s="45">
        <v>3465</v>
      </c>
      <c r="I21" s="45">
        <v>25</v>
      </c>
      <c r="J21" s="45">
        <v>915</v>
      </c>
      <c r="K21" s="45">
        <v>465</v>
      </c>
    </row>
    <row r="22" spans="1:11" ht="12.75">
      <c r="A22" s="44" t="s">
        <v>4</v>
      </c>
      <c r="B22" s="45">
        <v>439345</v>
      </c>
      <c r="C22" s="45">
        <v>162545</v>
      </c>
      <c r="D22" s="45">
        <v>31550</v>
      </c>
      <c r="E22" s="45">
        <v>218400</v>
      </c>
      <c r="F22" s="45">
        <v>605</v>
      </c>
      <c r="G22" s="45">
        <v>660</v>
      </c>
      <c r="H22" s="45">
        <v>19550</v>
      </c>
      <c r="I22" s="45">
        <v>370</v>
      </c>
      <c r="J22" s="45">
        <v>795</v>
      </c>
      <c r="K22" s="45">
        <v>4870</v>
      </c>
    </row>
    <row r="23" spans="1:11" ht="12.75">
      <c r="A23" s="44" t="s">
        <v>5</v>
      </c>
      <c r="B23" s="45">
        <v>275395</v>
      </c>
      <c r="C23" s="45">
        <v>126790</v>
      </c>
      <c r="D23" s="45">
        <v>44565</v>
      </c>
      <c r="E23" s="45">
        <v>87490</v>
      </c>
      <c r="F23" s="45">
        <v>430</v>
      </c>
      <c r="G23" s="45">
        <v>20</v>
      </c>
      <c r="H23" s="45">
        <v>14520</v>
      </c>
      <c r="I23" s="45">
        <v>120</v>
      </c>
      <c r="J23" s="45">
        <v>710</v>
      </c>
      <c r="K23" s="45">
        <v>760</v>
      </c>
    </row>
    <row r="24" spans="1:11" ht="12.75">
      <c r="A24" s="44" t="s">
        <v>6</v>
      </c>
      <c r="B24" s="45">
        <v>3084760</v>
      </c>
      <c r="C24" s="45">
        <v>1988975</v>
      </c>
      <c r="D24" s="45">
        <v>127755</v>
      </c>
      <c r="E24" s="45">
        <v>793615</v>
      </c>
      <c r="F24" s="45">
        <v>10940</v>
      </c>
      <c r="G24" s="45">
        <v>315</v>
      </c>
      <c r="H24" s="45">
        <v>55120</v>
      </c>
      <c r="I24" s="45">
        <v>6810</v>
      </c>
      <c r="J24" s="45">
        <v>9755</v>
      </c>
      <c r="K24" s="45">
        <v>91475</v>
      </c>
    </row>
    <row r="25" spans="1:11" ht="12.75">
      <c r="A25" s="44" t="s">
        <v>7</v>
      </c>
      <c r="B25" s="45">
        <v>392125</v>
      </c>
      <c r="C25" s="45">
        <v>264430</v>
      </c>
      <c r="D25" s="45">
        <v>27465</v>
      </c>
      <c r="E25" s="45">
        <v>84850</v>
      </c>
      <c r="F25" s="45">
        <v>715</v>
      </c>
      <c r="G25" s="45">
        <v>725</v>
      </c>
      <c r="H25" s="45">
        <v>7105</v>
      </c>
      <c r="I25" s="45">
        <v>350</v>
      </c>
      <c r="J25" s="45">
        <v>4590</v>
      </c>
      <c r="K25" s="45">
        <v>1900</v>
      </c>
    </row>
    <row r="26" spans="1:11" ht="12.75">
      <c r="A26" s="44" t="s">
        <v>8</v>
      </c>
      <c r="B26" s="45">
        <v>364175</v>
      </c>
      <c r="C26" s="45">
        <v>122775</v>
      </c>
      <c r="D26" s="45">
        <v>11270</v>
      </c>
      <c r="E26" s="45">
        <v>71840</v>
      </c>
      <c r="F26" s="45">
        <v>152410</v>
      </c>
      <c r="G26" s="45">
        <v>260</v>
      </c>
      <c r="H26" s="45">
        <v>2245</v>
      </c>
      <c r="I26" s="45">
        <v>75</v>
      </c>
      <c r="J26" s="45">
        <v>1890</v>
      </c>
      <c r="K26" s="45">
        <v>1410</v>
      </c>
    </row>
    <row r="27" spans="1:11" ht="12.75">
      <c r="A27" s="44" t="s">
        <v>9</v>
      </c>
      <c r="B27" s="45">
        <v>78935</v>
      </c>
      <c r="C27" s="45">
        <v>24465</v>
      </c>
      <c r="D27" s="45">
        <v>8525</v>
      </c>
      <c r="E27" s="45">
        <v>22490</v>
      </c>
      <c r="F27" s="45">
        <v>22190</v>
      </c>
      <c r="G27" s="45">
        <v>105</v>
      </c>
      <c r="H27" s="45">
        <v>600</v>
      </c>
      <c r="I27" s="45">
        <v>30</v>
      </c>
      <c r="J27" s="45">
        <v>340</v>
      </c>
      <c r="K27" s="45">
        <v>190</v>
      </c>
    </row>
    <row r="28" spans="1:11" ht="12.75">
      <c r="A28" s="44" t="s">
        <v>10</v>
      </c>
      <c r="B28" s="45">
        <v>74520</v>
      </c>
      <c r="C28" s="45">
        <v>45120</v>
      </c>
      <c r="D28" s="45">
        <v>1735</v>
      </c>
      <c r="E28" s="45">
        <v>21100</v>
      </c>
      <c r="F28" s="45">
        <v>4500</v>
      </c>
      <c r="G28" s="45">
        <v>25</v>
      </c>
      <c r="H28" s="45">
        <v>45</v>
      </c>
      <c r="I28" s="45">
        <v>35</v>
      </c>
      <c r="J28" s="45">
        <v>620</v>
      </c>
      <c r="K28" s="45">
        <v>1340</v>
      </c>
    </row>
    <row r="29" spans="1:11" ht="12.75">
      <c r="A29" s="44" t="s">
        <v>11</v>
      </c>
      <c r="B29" s="45">
        <v>1603440</v>
      </c>
      <c r="C29" s="45">
        <v>103615</v>
      </c>
      <c r="D29" s="45">
        <v>89595</v>
      </c>
      <c r="E29" s="45">
        <v>1339160</v>
      </c>
      <c r="F29" s="45">
        <v>22765</v>
      </c>
      <c r="G29" s="45">
        <v>105</v>
      </c>
      <c r="H29" s="45">
        <v>5550</v>
      </c>
      <c r="I29" s="45">
        <v>720</v>
      </c>
      <c r="J29" s="45">
        <v>1870</v>
      </c>
      <c r="K29" s="45">
        <v>40055</v>
      </c>
    </row>
    <row r="30" spans="1:11" ht="12.75">
      <c r="A30" s="44" t="s">
        <v>12</v>
      </c>
      <c r="B30" s="45">
        <v>786340</v>
      </c>
      <c r="C30" s="45">
        <v>320440</v>
      </c>
      <c r="D30" s="45">
        <v>118870</v>
      </c>
      <c r="E30" s="45">
        <v>321860</v>
      </c>
      <c r="F30" s="45">
        <v>8705</v>
      </c>
      <c r="G30" s="45">
        <v>80</v>
      </c>
      <c r="H30" s="45">
        <v>10980</v>
      </c>
      <c r="I30" s="45">
        <v>370</v>
      </c>
      <c r="J30" s="45">
        <v>1100</v>
      </c>
      <c r="K30" s="45">
        <v>3935</v>
      </c>
    </row>
    <row r="31" spans="1:11" ht="12.75">
      <c r="A31" s="44" t="s">
        <v>13</v>
      </c>
      <c r="B31" s="45">
        <v>100410</v>
      </c>
      <c r="C31" s="45">
        <v>4080</v>
      </c>
      <c r="D31" s="45">
        <v>3595</v>
      </c>
      <c r="E31" s="45">
        <v>49850</v>
      </c>
      <c r="F31" s="45">
        <v>165</v>
      </c>
      <c r="G31" s="45">
        <v>10</v>
      </c>
      <c r="H31" s="45">
        <v>480</v>
      </c>
      <c r="I31" s="45">
        <v>1115</v>
      </c>
      <c r="J31" s="45">
        <v>100</v>
      </c>
      <c r="K31" s="45">
        <v>41020</v>
      </c>
    </row>
    <row r="32" spans="1:11" ht="12.75">
      <c r="A32" s="44" t="s">
        <v>14</v>
      </c>
      <c r="B32" s="45">
        <v>112855</v>
      </c>
      <c r="C32" s="45">
        <v>38305</v>
      </c>
      <c r="D32" s="45">
        <v>6795</v>
      </c>
      <c r="E32" s="45">
        <v>49630</v>
      </c>
      <c r="F32" s="45">
        <v>6620</v>
      </c>
      <c r="G32" s="45">
        <v>455</v>
      </c>
      <c r="H32" s="45">
        <v>9795</v>
      </c>
      <c r="I32" s="45">
        <v>25</v>
      </c>
      <c r="J32" s="45">
        <v>820</v>
      </c>
      <c r="K32" s="45">
        <v>415</v>
      </c>
    </row>
    <row r="33" spans="1:11" ht="12.75">
      <c r="A33" s="44" t="s">
        <v>15</v>
      </c>
      <c r="B33" s="45">
        <v>1172320</v>
      </c>
      <c r="C33" s="45">
        <v>879370</v>
      </c>
      <c r="D33" s="45">
        <v>60885</v>
      </c>
      <c r="E33" s="45">
        <v>197910</v>
      </c>
      <c r="F33" s="45">
        <v>8215</v>
      </c>
      <c r="G33" s="45">
        <v>400</v>
      </c>
      <c r="H33" s="45">
        <v>4995</v>
      </c>
      <c r="I33" s="45">
        <v>310</v>
      </c>
      <c r="J33" s="45">
        <v>9755</v>
      </c>
      <c r="K33" s="45">
        <v>10475</v>
      </c>
    </row>
    <row r="34" spans="1:11" ht="12.75">
      <c r="A34" s="44" t="s">
        <v>16</v>
      </c>
      <c r="B34" s="45">
        <v>573840</v>
      </c>
      <c r="C34" s="45">
        <v>354285</v>
      </c>
      <c r="D34" s="45">
        <v>44070</v>
      </c>
      <c r="E34" s="45">
        <v>144180</v>
      </c>
      <c r="F34" s="45">
        <v>16270</v>
      </c>
      <c r="G34" s="45">
        <v>910</v>
      </c>
      <c r="H34" s="45">
        <v>8725</v>
      </c>
      <c r="I34" s="45">
        <v>75</v>
      </c>
      <c r="J34" s="45">
        <v>3130</v>
      </c>
      <c r="K34" s="45">
        <v>2195</v>
      </c>
    </row>
    <row r="35" spans="1:11" ht="12.75">
      <c r="A35" s="44" t="s">
        <v>17</v>
      </c>
      <c r="B35" s="45">
        <v>277130</v>
      </c>
      <c r="C35" s="45">
        <v>170895</v>
      </c>
      <c r="D35" s="45">
        <v>39560</v>
      </c>
      <c r="E35" s="45">
        <v>51995</v>
      </c>
      <c r="F35" s="45">
        <v>6865</v>
      </c>
      <c r="G35" s="45">
        <v>20</v>
      </c>
      <c r="H35" s="45">
        <v>3430</v>
      </c>
      <c r="I35" s="45">
        <v>60</v>
      </c>
      <c r="J35" s="45">
        <v>2750</v>
      </c>
      <c r="K35" s="45">
        <v>1550</v>
      </c>
    </row>
    <row r="36" spans="1:11" ht="12.75">
      <c r="A36" s="44" t="s">
        <v>18</v>
      </c>
      <c r="B36" s="45">
        <v>262115</v>
      </c>
      <c r="C36" s="45">
        <v>179465</v>
      </c>
      <c r="D36" s="45">
        <v>22635</v>
      </c>
      <c r="E36" s="45">
        <v>54550</v>
      </c>
      <c r="F36" s="45">
        <v>420</v>
      </c>
      <c r="G36" s="45">
        <v>15</v>
      </c>
      <c r="H36" s="45">
        <v>3505</v>
      </c>
      <c r="I36" s="45">
        <v>30</v>
      </c>
      <c r="J36" s="45">
        <v>1010</v>
      </c>
      <c r="K36" s="45">
        <v>485</v>
      </c>
    </row>
    <row r="37" spans="1:11" ht="12.75">
      <c r="A37" s="44" t="s">
        <v>19</v>
      </c>
      <c r="B37" s="45">
        <v>472560</v>
      </c>
      <c r="C37" s="45">
        <v>171880</v>
      </c>
      <c r="D37" s="45">
        <v>49195</v>
      </c>
      <c r="E37" s="45">
        <v>198465</v>
      </c>
      <c r="F37" s="45">
        <v>19455</v>
      </c>
      <c r="G37" s="45">
        <v>8595</v>
      </c>
      <c r="H37" s="45">
        <v>21455</v>
      </c>
      <c r="I37" s="45">
        <v>75</v>
      </c>
      <c r="J37" s="45">
        <v>1835</v>
      </c>
      <c r="K37" s="45">
        <v>1615</v>
      </c>
    </row>
    <row r="38" spans="1:11" ht="12.75">
      <c r="A38" s="44" t="s">
        <v>20</v>
      </c>
      <c r="B38" s="45">
        <v>539620</v>
      </c>
      <c r="C38" s="45">
        <v>254135</v>
      </c>
      <c r="D38" s="45">
        <v>35370</v>
      </c>
      <c r="E38" s="45">
        <v>240050</v>
      </c>
      <c r="F38" s="45">
        <v>1215</v>
      </c>
      <c r="G38" s="45">
        <v>40</v>
      </c>
      <c r="H38" s="45">
        <v>4620</v>
      </c>
      <c r="I38" s="45">
        <v>170</v>
      </c>
      <c r="J38" s="45">
        <v>1070</v>
      </c>
      <c r="K38" s="45">
        <v>2935</v>
      </c>
    </row>
    <row r="39" spans="1:11" ht="12.75">
      <c r="A39" s="44" t="s">
        <v>21</v>
      </c>
      <c r="B39" s="45">
        <v>128775</v>
      </c>
      <c r="C39" s="45">
        <v>5260</v>
      </c>
      <c r="D39" s="45">
        <v>6375</v>
      </c>
      <c r="E39" s="45">
        <v>11180</v>
      </c>
      <c r="F39" s="45">
        <v>96805</v>
      </c>
      <c r="G39" s="45">
        <v>185</v>
      </c>
      <c r="H39" s="45">
        <v>8065</v>
      </c>
      <c r="I39" s="45">
        <v>45</v>
      </c>
      <c r="J39" s="45">
        <v>515</v>
      </c>
      <c r="K39" s="45">
        <v>345</v>
      </c>
    </row>
    <row r="40" spans="1:11" ht="12.75">
      <c r="A40" s="44" t="s">
        <v>22</v>
      </c>
      <c r="B40" s="45">
        <v>492800</v>
      </c>
      <c r="C40" s="45">
        <v>231095</v>
      </c>
      <c r="D40" s="45">
        <v>17820</v>
      </c>
      <c r="E40" s="45">
        <v>148445</v>
      </c>
      <c r="F40" s="45">
        <v>83295</v>
      </c>
      <c r="G40" s="45">
        <v>990</v>
      </c>
      <c r="H40" s="45">
        <v>5010</v>
      </c>
      <c r="I40" s="45">
        <v>175</v>
      </c>
      <c r="J40" s="45">
        <v>3300</v>
      </c>
      <c r="K40" s="45">
        <v>2660</v>
      </c>
    </row>
    <row r="41" spans="1:11" ht="12.75">
      <c r="A41" s="44" t="s">
        <v>23</v>
      </c>
      <c r="B41" s="45">
        <v>669015</v>
      </c>
      <c r="C41" s="45">
        <v>298065</v>
      </c>
      <c r="D41" s="45">
        <v>22030</v>
      </c>
      <c r="E41" s="45">
        <v>124235</v>
      </c>
      <c r="F41" s="45">
        <v>211520</v>
      </c>
      <c r="G41" s="45">
        <v>455</v>
      </c>
      <c r="H41" s="45">
        <v>3650</v>
      </c>
      <c r="I41" s="45">
        <v>105</v>
      </c>
      <c r="J41" s="45">
        <v>4520</v>
      </c>
      <c r="K41" s="45">
        <v>4440</v>
      </c>
    </row>
    <row r="42" spans="1:11" ht="12.75">
      <c r="A42" s="44" t="s">
        <v>24</v>
      </c>
      <c r="B42" s="45">
        <v>973060</v>
      </c>
      <c r="C42" s="45">
        <v>720640</v>
      </c>
      <c r="D42" s="45">
        <v>90315</v>
      </c>
      <c r="E42" s="45">
        <v>96680</v>
      </c>
      <c r="F42" s="45">
        <v>35360</v>
      </c>
      <c r="G42" s="45">
        <v>325</v>
      </c>
      <c r="H42" s="45">
        <v>15950</v>
      </c>
      <c r="I42" s="45">
        <v>220</v>
      </c>
      <c r="J42" s="45">
        <v>8240</v>
      </c>
      <c r="K42" s="45">
        <v>5325</v>
      </c>
    </row>
    <row r="43" spans="1:11" ht="12.75">
      <c r="A43" s="44" t="s">
        <v>25</v>
      </c>
      <c r="B43" s="45">
        <v>454100</v>
      </c>
      <c r="C43" s="45">
        <v>253940</v>
      </c>
      <c r="D43" s="45">
        <v>54100</v>
      </c>
      <c r="E43" s="45">
        <v>83030</v>
      </c>
      <c r="F43" s="45">
        <v>39220</v>
      </c>
      <c r="G43" s="45">
        <v>205</v>
      </c>
      <c r="H43" s="45">
        <v>11030</v>
      </c>
      <c r="I43" s="45">
        <v>90</v>
      </c>
      <c r="J43" s="45">
        <v>8260</v>
      </c>
      <c r="K43" s="45">
        <v>4220</v>
      </c>
    </row>
    <row r="44" spans="1:11" ht="12.75">
      <c r="A44" s="44" t="s">
        <v>26</v>
      </c>
      <c r="B44" s="45">
        <v>330980</v>
      </c>
      <c r="C44" s="45">
        <v>119795</v>
      </c>
      <c r="D44" s="45">
        <v>79730</v>
      </c>
      <c r="E44" s="45">
        <v>121630</v>
      </c>
      <c r="F44" s="45">
        <v>875</v>
      </c>
      <c r="G44" s="45">
        <v>40</v>
      </c>
      <c r="H44" s="45">
        <v>6665</v>
      </c>
      <c r="I44" s="45">
        <v>95</v>
      </c>
      <c r="J44" s="45">
        <v>620</v>
      </c>
      <c r="K44" s="45">
        <v>1525</v>
      </c>
    </row>
    <row r="45" spans="1:11" ht="12.75">
      <c r="A45" s="44" t="s">
        <v>27</v>
      </c>
      <c r="B45" s="45">
        <v>603425</v>
      </c>
      <c r="C45" s="45">
        <v>306070</v>
      </c>
      <c r="D45" s="45">
        <v>96585</v>
      </c>
      <c r="E45" s="45">
        <v>165175</v>
      </c>
      <c r="F45" s="45">
        <v>4220</v>
      </c>
      <c r="G45" s="45">
        <v>55</v>
      </c>
      <c r="H45" s="45">
        <v>27420</v>
      </c>
      <c r="I45" s="45">
        <v>140</v>
      </c>
      <c r="J45" s="45">
        <v>2120</v>
      </c>
      <c r="K45" s="45">
        <v>1640</v>
      </c>
    </row>
    <row r="46" spans="1:11" ht="12.75">
      <c r="A46" s="44" t="s">
        <v>28</v>
      </c>
      <c r="B46" s="45">
        <v>92570</v>
      </c>
      <c r="C46" s="45">
        <v>47915</v>
      </c>
      <c r="D46" s="45">
        <v>12055</v>
      </c>
      <c r="E46" s="45">
        <v>20255</v>
      </c>
      <c r="F46" s="45">
        <v>3200</v>
      </c>
      <c r="G46" s="45">
        <v>370</v>
      </c>
      <c r="H46" s="45">
        <v>7145</v>
      </c>
      <c r="I46" s="45">
        <v>50</v>
      </c>
      <c r="J46" s="45">
        <v>1255</v>
      </c>
      <c r="K46" s="45">
        <v>330</v>
      </c>
    </row>
    <row r="47" spans="1:11" ht="12.75">
      <c r="A47" s="44" t="s">
        <v>29</v>
      </c>
      <c r="B47" s="45">
        <v>170485</v>
      </c>
      <c r="C47" s="45">
        <v>106725</v>
      </c>
      <c r="D47" s="45">
        <v>20545</v>
      </c>
      <c r="E47" s="45">
        <v>36305</v>
      </c>
      <c r="F47" s="45">
        <v>2610</v>
      </c>
      <c r="G47" s="45">
        <v>30</v>
      </c>
      <c r="H47" s="45">
        <v>2360</v>
      </c>
      <c r="I47" s="45">
        <v>45</v>
      </c>
      <c r="J47" s="45">
        <v>1385</v>
      </c>
      <c r="K47" s="45">
        <v>470</v>
      </c>
    </row>
    <row r="48" spans="1:11" ht="12.75">
      <c r="A48" s="44" t="s">
        <v>30</v>
      </c>
      <c r="B48" s="45">
        <v>168855</v>
      </c>
      <c r="C48" s="45">
        <v>72430</v>
      </c>
      <c r="D48" s="45">
        <v>9145</v>
      </c>
      <c r="E48" s="45">
        <v>81720</v>
      </c>
      <c r="F48" s="45">
        <v>2015</v>
      </c>
      <c r="G48" s="45">
        <v>45</v>
      </c>
      <c r="H48" s="45">
        <v>1950</v>
      </c>
      <c r="I48" s="45">
        <v>130</v>
      </c>
      <c r="J48" s="45">
        <v>735</v>
      </c>
      <c r="K48" s="45">
        <v>685</v>
      </c>
    </row>
    <row r="49" spans="1:11" ht="12.75">
      <c r="A49" s="44" t="s">
        <v>31</v>
      </c>
      <c r="B49" s="45">
        <v>104115</v>
      </c>
      <c r="C49" s="45">
        <v>19630</v>
      </c>
      <c r="D49" s="45">
        <v>9590</v>
      </c>
      <c r="E49" s="45">
        <v>12805</v>
      </c>
      <c r="F49" s="45">
        <v>56495</v>
      </c>
      <c r="G49" s="45">
        <v>105</v>
      </c>
      <c r="H49" s="45">
        <v>4220</v>
      </c>
      <c r="I49" s="45">
        <v>25</v>
      </c>
      <c r="J49" s="45">
        <v>860</v>
      </c>
      <c r="K49" s="45">
        <v>380</v>
      </c>
    </row>
    <row r="50" spans="1:11" ht="12.75">
      <c r="A50" s="44" t="s">
        <v>32</v>
      </c>
      <c r="B50" s="45">
        <v>793000</v>
      </c>
      <c r="C50" s="45">
        <v>479615</v>
      </c>
      <c r="D50" s="45">
        <v>25425</v>
      </c>
      <c r="E50" s="45">
        <v>119280</v>
      </c>
      <c r="F50" s="45">
        <v>155130</v>
      </c>
      <c r="G50" s="45">
        <v>325</v>
      </c>
      <c r="H50" s="45">
        <v>1405</v>
      </c>
      <c r="I50" s="45">
        <v>195</v>
      </c>
      <c r="J50" s="45">
        <v>6165</v>
      </c>
      <c r="K50" s="45">
        <v>5455</v>
      </c>
    </row>
    <row r="51" spans="1:11" ht="12.75">
      <c r="A51" s="44" t="s">
        <v>33</v>
      </c>
      <c r="B51" s="45">
        <v>181180</v>
      </c>
      <c r="C51" s="45">
        <v>109505</v>
      </c>
      <c r="D51" s="45">
        <v>31230</v>
      </c>
      <c r="E51" s="45">
        <v>22765</v>
      </c>
      <c r="F51" s="45">
        <v>340</v>
      </c>
      <c r="G51" s="45">
        <v>355</v>
      </c>
      <c r="H51" s="45">
        <v>15520</v>
      </c>
      <c r="I51" s="45">
        <v>295</v>
      </c>
      <c r="J51" s="45">
        <v>605</v>
      </c>
      <c r="K51" s="45">
        <v>570</v>
      </c>
    </row>
    <row r="52" spans="1:11" ht="12.75">
      <c r="A52" s="44" t="s">
        <v>34</v>
      </c>
      <c r="B52" s="45">
        <v>2054625</v>
      </c>
      <c r="C52" s="45">
        <v>1051045</v>
      </c>
      <c r="D52" s="45">
        <v>80135</v>
      </c>
      <c r="E52" s="45">
        <v>243210</v>
      </c>
      <c r="F52" s="45">
        <v>602940</v>
      </c>
      <c r="G52" s="45">
        <v>2425</v>
      </c>
      <c r="H52" s="45">
        <v>20370</v>
      </c>
      <c r="I52" s="45">
        <v>1210</v>
      </c>
      <c r="J52" s="45">
        <v>29535</v>
      </c>
      <c r="K52" s="45">
        <v>23755</v>
      </c>
    </row>
    <row r="53" spans="1:11" ht="12.75">
      <c r="A53" s="44" t="s">
        <v>35</v>
      </c>
      <c r="B53" s="45">
        <v>852555</v>
      </c>
      <c r="C53" s="45">
        <v>158935</v>
      </c>
      <c r="D53" s="45">
        <v>115240</v>
      </c>
      <c r="E53" s="45">
        <v>411325</v>
      </c>
      <c r="F53" s="45">
        <v>136520</v>
      </c>
      <c r="G53" s="45">
        <v>180</v>
      </c>
      <c r="H53" s="45">
        <v>24360</v>
      </c>
      <c r="I53" s="45">
        <v>340</v>
      </c>
      <c r="J53" s="45">
        <v>2565</v>
      </c>
      <c r="K53" s="45">
        <v>3095</v>
      </c>
    </row>
    <row r="54" spans="1:11" ht="12.75">
      <c r="A54" s="44" t="s">
        <v>36</v>
      </c>
      <c r="B54" s="45">
        <v>65825</v>
      </c>
      <c r="C54" s="45">
        <v>22430</v>
      </c>
      <c r="D54" s="45">
        <v>11180</v>
      </c>
      <c r="E54" s="45">
        <v>22155</v>
      </c>
      <c r="F54" s="45">
        <v>6805</v>
      </c>
      <c r="G54" s="45">
        <v>625</v>
      </c>
      <c r="H54" s="45">
        <v>370</v>
      </c>
      <c r="I54" s="45">
        <v>20</v>
      </c>
      <c r="J54" s="45">
        <v>1515</v>
      </c>
      <c r="K54" s="45">
        <v>730</v>
      </c>
    </row>
    <row r="55" spans="1:11" ht="12.75">
      <c r="A55" s="44" t="s">
        <v>37</v>
      </c>
      <c r="B55" s="45">
        <v>1195015</v>
      </c>
      <c r="C55" s="45">
        <v>783180</v>
      </c>
      <c r="D55" s="45">
        <v>69105</v>
      </c>
      <c r="E55" s="45">
        <v>256095</v>
      </c>
      <c r="F55" s="45">
        <v>53255</v>
      </c>
      <c r="G55" s="45">
        <v>1530</v>
      </c>
      <c r="H55" s="45">
        <v>14225</v>
      </c>
      <c r="I55" s="45">
        <v>295</v>
      </c>
      <c r="J55" s="45">
        <v>11790</v>
      </c>
      <c r="K55" s="45">
        <v>5540</v>
      </c>
    </row>
    <row r="56" spans="1:11" ht="12.75">
      <c r="A56" s="44" t="s">
        <v>38</v>
      </c>
      <c r="B56" s="45">
        <v>369600</v>
      </c>
      <c r="C56" s="45">
        <v>207605</v>
      </c>
      <c r="D56" s="45">
        <v>47465</v>
      </c>
      <c r="E56" s="45">
        <v>103000</v>
      </c>
      <c r="F56" s="45">
        <v>445</v>
      </c>
      <c r="G56" s="45">
        <v>10</v>
      </c>
      <c r="H56" s="45">
        <v>8525</v>
      </c>
      <c r="I56" s="45">
        <v>75</v>
      </c>
      <c r="J56" s="45">
        <v>1420</v>
      </c>
      <c r="K56" s="45">
        <v>1055</v>
      </c>
    </row>
    <row r="57" spans="1:11" ht="12.75">
      <c r="A57" s="44" t="s">
        <v>39</v>
      </c>
      <c r="B57" s="45">
        <v>350335</v>
      </c>
      <c r="C57" s="45">
        <v>78435</v>
      </c>
      <c r="D57" s="45">
        <v>8040</v>
      </c>
      <c r="E57" s="45">
        <v>213545</v>
      </c>
      <c r="F57" s="45">
        <v>19180</v>
      </c>
      <c r="G57" s="45">
        <v>45</v>
      </c>
      <c r="H57" s="45">
        <v>27015</v>
      </c>
      <c r="I57" s="45">
        <v>110</v>
      </c>
      <c r="J57" s="45">
        <v>2800</v>
      </c>
      <c r="K57" s="45">
        <v>1165</v>
      </c>
    </row>
    <row r="58" spans="1:11" ht="12.75">
      <c r="A58" s="44" t="s">
        <v>40</v>
      </c>
      <c r="B58" s="45">
        <v>1347235</v>
      </c>
      <c r="C58" s="45">
        <v>717210</v>
      </c>
      <c r="D58" s="45">
        <v>42175</v>
      </c>
      <c r="E58" s="45">
        <v>214355</v>
      </c>
      <c r="F58" s="45">
        <v>321215</v>
      </c>
      <c r="G58" s="45">
        <v>18705</v>
      </c>
      <c r="H58" s="45">
        <v>20030</v>
      </c>
      <c r="I58" s="45">
        <v>230</v>
      </c>
      <c r="J58" s="45">
        <v>8125</v>
      </c>
      <c r="K58" s="45">
        <v>5195</v>
      </c>
    </row>
    <row r="59" spans="1:11" ht="12.75">
      <c r="A59" s="44" t="s">
        <v>41</v>
      </c>
      <c r="B59" s="45">
        <v>130110</v>
      </c>
      <c r="C59" s="45">
        <v>67415</v>
      </c>
      <c r="D59" s="45">
        <v>4225</v>
      </c>
      <c r="E59" s="45">
        <v>14520</v>
      </c>
      <c r="F59" s="45">
        <v>42210</v>
      </c>
      <c r="G59" s="45">
        <v>80</v>
      </c>
      <c r="H59" s="45">
        <v>525</v>
      </c>
      <c r="I59" s="45">
        <v>25</v>
      </c>
      <c r="J59" s="45">
        <v>585</v>
      </c>
      <c r="K59" s="45">
        <v>525</v>
      </c>
    </row>
    <row r="60" spans="1:11" ht="12.75">
      <c r="A60" s="44" t="s">
        <v>42</v>
      </c>
      <c r="B60" s="45">
        <v>438445</v>
      </c>
      <c r="C60" s="45">
        <v>104515</v>
      </c>
      <c r="D60" s="45">
        <v>49100</v>
      </c>
      <c r="E60" s="45">
        <v>237860</v>
      </c>
      <c r="F60" s="45">
        <v>35875</v>
      </c>
      <c r="G60" s="45">
        <v>75</v>
      </c>
      <c r="H60" s="45">
        <v>8045</v>
      </c>
      <c r="I60" s="45">
        <v>175</v>
      </c>
      <c r="J60" s="45">
        <v>935</v>
      </c>
      <c r="K60" s="45">
        <v>1865</v>
      </c>
    </row>
    <row r="61" spans="1:11" ht="12.75">
      <c r="A61" s="44" t="s">
        <v>43</v>
      </c>
      <c r="B61" s="45">
        <v>74065</v>
      </c>
      <c r="C61" s="45">
        <v>26350</v>
      </c>
      <c r="D61" s="45">
        <v>19215</v>
      </c>
      <c r="E61" s="45">
        <v>19460</v>
      </c>
      <c r="F61" s="45">
        <v>5840</v>
      </c>
      <c r="G61" s="45">
        <v>125</v>
      </c>
      <c r="H61" s="45">
        <v>1505</v>
      </c>
      <c r="I61" s="45">
        <v>30</v>
      </c>
      <c r="J61" s="45">
        <v>1010</v>
      </c>
      <c r="K61" s="45">
        <v>535</v>
      </c>
    </row>
    <row r="62" spans="1:11" ht="12.75">
      <c r="A62" s="44" t="s">
        <v>44</v>
      </c>
      <c r="B62" s="45">
        <v>618095</v>
      </c>
      <c r="C62" s="45">
        <v>180725</v>
      </c>
      <c r="D62" s="45">
        <v>47570</v>
      </c>
      <c r="E62" s="45">
        <v>342720</v>
      </c>
      <c r="F62" s="45">
        <v>19610</v>
      </c>
      <c r="G62" s="45">
        <v>1635</v>
      </c>
      <c r="H62" s="45">
        <v>22380</v>
      </c>
      <c r="I62" s="45">
        <v>120</v>
      </c>
      <c r="J62" s="45">
        <v>1100</v>
      </c>
      <c r="K62" s="45">
        <v>2235</v>
      </c>
    </row>
    <row r="63" spans="1:11" ht="12.75">
      <c r="A63" s="44" t="s">
        <v>45</v>
      </c>
      <c r="B63" s="45">
        <v>1983080</v>
      </c>
      <c r="C63" s="45">
        <v>821925</v>
      </c>
      <c r="D63" s="45">
        <v>169885</v>
      </c>
      <c r="E63" s="45">
        <v>956640</v>
      </c>
      <c r="F63" s="45">
        <v>2185</v>
      </c>
      <c r="G63" s="45">
        <v>180</v>
      </c>
      <c r="H63" s="45">
        <v>10880</v>
      </c>
      <c r="I63" s="45">
        <v>845</v>
      </c>
      <c r="J63" s="45">
        <v>4280</v>
      </c>
      <c r="K63" s="45">
        <v>16260</v>
      </c>
    </row>
    <row r="64" spans="1:11" ht="12.75">
      <c r="A64" s="44" t="s">
        <v>46</v>
      </c>
      <c r="B64" s="45">
        <v>150515</v>
      </c>
      <c r="C64" s="45">
        <v>114910</v>
      </c>
      <c r="D64" s="45">
        <v>6490</v>
      </c>
      <c r="E64" s="45">
        <v>22895</v>
      </c>
      <c r="F64" s="45">
        <v>1310</v>
      </c>
      <c r="G64" s="45">
        <v>900</v>
      </c>
      <c r="H64" s="45">
        <v>2870</v>
      </c>
      <c r="I64" s="45">
        <v>70</v>
      </c>
      <c r="J64" s="45">
        <v>745</v>
      </c>
      <c r="K64" s="45">
        <v>325</v>
      </c>
    </row>
    <row r="65" spans="1:11" ht="12.75">
      <c r="A65" s="44" t="s">
        <v>47</v>
      </c>
      <c r="B65" s="45">
        <v>57175</v>
      </c>
      <c r="C65" s="45">
        <v>6095</v>
      </c>
      <c r="D65" s="45">
        <v>8065</v>
      </c>
      <c r="E65" s="45">
        <v>5050</v>
      </c>
      <c r="F65" s="45">
        <v>32620</v>
      </c>
      <c r="G65" s="45">
        <v>95</v>
      </c>
      <c r="H65" s="45">
        <v>4795</v>
      </c>
      <c r="I65" s="45">
        <v>20</v>
      </c>
      <c r="J65" s="45">
        <v>235</v>
      </c>
      <c r="K65" s="45">
        <v>195</v>
      </c>
    </row>
    <row r="66" spans="1:11" ht="12.75">
      <c r="A66" s="44" t="s">
        <v>48</v>
      </c>
      <c r="B66" s="45">
        <v>656520</v>
      </c>
      <c r="C66" s="45">
        <v>167365</v>
      </c>
      <c r="D66" s="45">
        <v>37375</v>
      </c>
      <c r="E66" s="45">
        <v>295515</v>
      </c>
      <c r="F66" s="45">
        <v>118735</v>
      </c>
      <c r="G66" s="45">
        <v>3420</v>
      </c>
      <c r="H66" s="45">
        <v>28145</v>
      </c>
      <c r="I66" s="45">
        <v>220</v>
      </c>
      <c r="J66" s="45">
        <v>2895</v>
      </c>
      <c r="K66" s="45">
        <v>2850</v>
      </c>
    </row>
    <row r="67" spans="1:11" ht="12.75">
      <c r="A67" s="44" t="s">
        <v>49</v>
      </c>
      <c r="B67" s="45">
        <v>551230</v>
      </c>
      <c r="C67" s="45">
        <v>110035</v>
      </c>
      <c r="D67" s="45">
        <v>14505</v>
      </c>
      <c r="E67" s="45">
        <v>366220</v>
      </c>
      <c r="F67" s="45">
        <v>24980</v>
      </c>
      <c r="G67" s="45">
        <v>185</v>
      </c>
      <c r="H67" s="45">
        <v>28975</v>
      </c>
      <c r="I67" s="45">
        <v>85</v>
      </c>
      <c r="J67" s="45">
        <v>4230</v>
      </c>
      <c r="K67" s="45">
        <v>2015</v>
      </c>
    </row>
    <row r="68" spans="1:11" ht="12.75">
      <c r="A68" s="44" t="s">
        <v>50</v>
      </c>
      <c r="B68" s="45">
        <v>232685</v>
      </c>
      <c r="C68" s="45">
        <v>102000</v>
      </c>
      <c r="D68" s="45">
        <v>13870</v>
      </c>
      <c r="E68" s="45">
        <v>76960</v>
      </c>
      <c r="F68" s="45">
        <v>17565</v>
      </c>
      <c r="G68" s="45">
        <v>4480</v>
      </c>
      <c r="H68" s="45">
        <v>15755</v>
      </c>
      <c r="I68" s="45">
        <v>20</v>
      </c>
      <c r="J68" s="45">
        <v>1510</v>
      </c>
      <c r="K68" s="45">
        <v>535</v>
      </c>
    </row>
    <row r="69" spans="1:11" ht="12.75">
      <c r="A69" s="44" t="s">
        <v>51</v>
      </c>
      <c r="B69" s="45">
        <v>499735</v>
      </c>
      <c r="C69" s="45">
        <v>294600</v>
      </c>
      <c r="D69" s="45">
        <v>53690</v>
      </c>
      <c r="E69" s="45">
        <v>89100</v>
      </c>
      <c r="F69" s="45">
        <v>39580</v>
      </c>
      <c r="G69" s="45">
        <v>155</v>
      </c>
      <c r="H69" s="45">
        <v>15005</v>
      </c>
      <c r="I69" s="45">
        <v>100</v>
      </c>
      <c r="J69" s="45">
        <v>5115</v>
      </c>
      <c r="K69" s="45">
        <v>2390</v>
      </c>
    </row>
    <row r="70" spans="1:11" ht="12.75">
      <c r="A70" s="44" t="s">
        <v>52</v>
      </c>
      <c r="B70" s="45">
        <v>48345</v>
      </c>
      <c r="C70" s="45">
        <v>29430</v>
      </c>
      <c r="D70" s="45">
        <v>5345</v>
      </c>
      <c r="E70" s="45">
        <v>10580</v>
      </c>
      <c r="F70" s="45">
        <v>130</v>
      </c>
      <c r="G70" s="45">
        <v>340</v>
      </c>
      <c r="H70" s="45">
        <v>1855</v>
      </c>
      <c r="I70" s="45">
        <v>15</v>
      </c>
      <c r="J70" s="45">
        <v>485</v>
      </c>
      <c r="K70" s="45">
        <v>165</v>
      </c>
    </row>
    <row r="71" spans="1:11" ht="12.75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75">
      <c r="A72" s="106" t="s">
        <v>99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12.75" customHeight="1">
      <c r="A73" s="107" t="s">
        <v>100</v>
      </c>
      <c r="B73" s="108"/>
      <c r="C73" s="108"/>
      <c r="D73" s="108"/>
      <c r="E73" s="108"/>
      <c r="F73" s="108"/>
      <c r="G73" s="108"/>
      <c r="H73" s="108"/>
      <c r="I73" s="108"/>
      <c r="J73" s="105"/>
      <c r="K73" s="105"/>
    </row>
    <row r="74" spans="1:11" ht="39" customHeight="1">
      <c r="A74" s="107" t="s">
        <v>101</v>
      </c>
      <c r="B74" s="108"/>
      <c r="C74" s="108"/>
      <c r="D74" s="108"/>
      <c r="E74" s="108"/>
      <c r="F74" s="108"/>
      <c r="G74" s="108"/>
      <c r="H74" s="108"/>
      <c r="I74" s="108"/>
      <c r="J74" s="105"/>
      <c r="K74" s="105"/>
    </row>
    <row r="75" spans="1:11" ht="12.75">
      <c r="A75" s="106" t="s">
        <v>102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s="38" customFormat="1" ht="31.5" customHeight="1" thickBot="1">
      <c r="A76" s="109" t="s">
        <v>103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s="39" customFormat="1" ht="13.5" customHeight="1" thickBot="1">
      <c r="A77" s="110" t="s">
        <v>73</v>
      </c>
      <c r="B77" s="112" t="s">
        <v>74</v>
      </c>
      <c r="C77" s="114" t="s">
        <v>75</v>
      </c>
      <c r="D77" s="115"/>
      <c r="E77" s="115"/>
      <c r="F77" s="115"/>
      <c r="G77" s="115"/>
      <c r="H77" s="115"/>
      <c r="I77" s="115"/>
      <c r="J77" s="115"/>
      <c r="K77" s="116"/>
    </row>
    <row r="78" spans="1:11" s="39" customFormat="1" ht="12" customHeight="1" thickBot="1">
      <c r="A78" s="111"/>
      <c r="B78" s="113"/>
      <c r="C78" s="40" t="s">
        <v>76</v>
      </c>
      <c r="D78" s="40" t="s">
        <v>77</v>
      </c>
      <c r="E78" s="40" t="s">
        <v>78</v>
      </c>
      <c r="F78" s="40" t="s">
        <v>79</v>
      </c>
      <c r="G78" s="40" t="s">
        <v>80</v>
      </c>
      <c r="H78" s="40" t="s">
        <v>81</v>
      </c>
      <c r="I78" s="40" t="s">
        <v>82</v>
      </c>
      <c r="J78" s="40" t="s">
        <v>83</v>
      </c>
      <c r="K78" s="40" t="s">
        <v>84</v>
      </c>
    </row>
    <row r="79" spans="1:11" s="39" customFormat="1" ht="12.75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</row>
    <row r="80" spans="1:11" ht="12.75">
      <c r="A80" s="44" t="s">
        <v>85</v>
      </c>
      <c r="B80" s="45">
        <v>28048665</v>
      </c>
      <c r="C80" s="47">
        <f aca="true" t="shared" si="0" ref="C80:K93">C5/$B5</f>
        <v>0.4722518879240777</v>
      </c>
      <c r="D80" s="47">
        <f t="shared" si="0"/>
        <v>0.07485810822012384</v>
      </c>
      <c r="E80" s="47">
        <f t="shared" si="0"/>
        <v>0.3257133628284983</v>
      </c>
      <c r="F80" s="47">
        <f t="shared" si="0"/>
        <v>0.08831347231677515</v>
      </c>
      <c r="G80" s="47">
        <f t="shared" si="0"/>
        <v>0.0018549902464163625</v>
      </c>
      <c r="H80" s="47">
        <f t="shared" si="0"/>
        <v>0.019638367815366615</v>
      </c>
      <c r="I80" s="47">
        <f t="shared" si="0"/>
        <v>0.0005861241524329233</v>
      </c>
      <c r="J80" s="47">
        <f t="shared" si="0"/>
        <v>0.0058225587563614884</v>
      </c>
      <c r="K80" s="47">
        <f t="shared" si="0"/>
        <v>0.010961127739947694</v>
      </c>
    </row>
    <row r="81" spans="1:11" ht="12.75">
      <c r="A81" s="44" t="s">
        <v>86</v>
      </c>
      <c r="B81" s="45">
        <v>5648225</v>
      </c>
      <c r="C81" s="47">
        <f t="shared" si="0"/>
        <v>0.4899087766510718</v>
      </c>
      <c r="D81" s="47">
        <f t="shared" si="0"/>
        <v>0.0370550040056832</v>
      </c>
      <c r="E81" s="47">
        <f t="shared" si="0"/>
        <v>0.1445533773884716</v>
      </c>
      <c r="F81" s="47">
        <f t="shared" si="0"/>
        <v>0.2959062360299032</v>
      </c>
      <c r="G81" s="47">
        <f t="shared" si="0"/>
        <v>0.004008338902929682</v>
      </c>
      <c r="H81" s="47">
        <f t="shared" si="0"/>
        <v>0.011562039401758959</v>
      </c>
      <c r="I81" s="47">
        <f t="shared" si="0"/>
        <v>0.0003408150348118214</v>
      </c>
      <c r="J81" s="47">
        <f t="shared" si="0"/>
        <v>0.0092825622208747</v>
      </c>
      <c r="K81" s="47">
        <f t="shared" si="0"/>
        <v>0.007382850364495041</v>
      </c>
    </row>
    <row r="82" spans="1:11" ht="12.75">
      <c r="A82" s="44" t="s">
        <v>87</v>
      </c>
      <c r="B82" s="45">
        <v>6321115</v>
      </c>
      <c r="C82" s="47">
        <f t="shared" si="0"/>
        <v>0.6482970172192722</v>
      </c>
      <c r="D82" s="47">
        <f t="shared" si="0"/>
        <v>0.09205417082271086</v>
      </c>
      <c r="E82" s="47">
        <f t="shared" si="0"/>
        <v>0.1924731633580468</v>
      </c>
      <c r="F82" s="47">
        <f t="shared" si="0"/>
        <v>0.034591998405344625</v>
      </c>
      <c r="G82" s="47">
        <f t="shared" si="0"/>
        <v>0.0006944977270623932</v>
      </c>
      <c r="H82" s="47">
        <f t="shared" si="0"/>
        <v>0.017168648252721238</v>
      </c>
      <c r="I82" s="47">
        <f t="shared" si="0"/>
        <v>0.0002246439117149427</v>
      </c>
      <c r="J82" s="47">
        <f t="shared" si="0"/>
        <v>0.008871852513361962</v>
      </c>
      <c r="K82" s="47">
        <f t="shared" si="0"/>
        <v>0.005624798789454075</v>
      </c>
    </row>
    <row r="83" spans="1:11" ht="12.75">
      <c r="A83" s="44" t="s">
        <v>88</v>
      </c>
      <c r="B83" s="45">
        <v>10357525</v>
      </c>
      <c r="C83" s="47">
        <f t="shared" si="0"/>
        <v>0.3227991243081721</v>
      </c>
      <c r="D83" s="47">
        <f t="shared" si="0"/>
        <v>0.09878952742088482</v>
      </c>
      <c r="E83" s="47">
        <f t="shared" si="0"/>
        <v>0.49826575364288284</v>
      </c>
      <c r="F83" s="47">
        <f t="shared" si="0"/>
        <v>0.048110431787516804</v>
      </c>
      <c r="G83" s="47">
        <f t="shared" si="0"/>
        <v>0.001954134795716158</v>
      </c>
      <c r="H83" s="47">
        <f t="shared" si="0"/>
        <v>0.018938404686447776</v>
      </c>
      <c r="I83" s="47">
        <f t="shared" si="0"/>
        <v>0.00035143530911100864</v>
      </c>
      <c r="J83" s="47">
        <f t="shared" si="0"/>
        <v>0.002604869406542586</v>
      </c>
      <c r="K83" s="47">
        <f t="shared" si="0"/>
        <v>0.008186318642725942</v>
      </c>
    </row>
    <row r="84" spans="1:11" ht="12.75">
      <c r="A84" s="44" t="s">
        <v>89</v>
      </c>
      <c r="B84" s="45">
        <v>5721800</v>
      </c>
      <c r="C84" s="47">
        <f t="shared" si="0"/>
        <v>0.5308757733580342</v>
      </c>
      <c r="D84" s="47">
        <f t="shared" si="0"/>
        <v>0.049858436156454265</v>
      </c>
      <c r="E84" s="47">
        <f t="shared" si="0"/>
        <v>0.3393870809885001</v>
      </c>
      <c r="F84" s="47">
        <f t="shared" si="0"/>
        <v>0.015514348631549513</v>
      </c>
      <c r="G84" s="47">
        <f t="shared" si="0"/>
        <v>0.0008319060435527281</v>
      </c>
      <c r="H84" s="47">
        <f t="shared" si="0"/>
        <v>0.03160631269880108</v>
      </c>
      <c r="I84" s="47">
        <f t="shared" si="0"/>
        <v>0.0016515781747002691</v>
      </c>
      <c r="J84" s="47">
        <f t="shared" si="0"/>
        <v>0.004862980181061904</v>
      </c>
      <c r="K84" s="47">
        <f t="shared" si="0"/>
        <v>0.025410709916459856</v>
      </c>
    </row>
    <row r="85" spans="1:11" ht="12.75">
      <c r="A85" s="44" t="s">
        <v>90</v>
      </c>
      <c r="B85" s="45">
        <v>1453365</v>
      </c>
      <c r="C85" s="47">
        <f t="shared" si="0"/>
        <v>0.35726744486071976</v>
      </c>
      <c r="D85" s="47">
        <f t="shared" si="0"/>
        <v>0.042353434959559365</v>
      </c>
      <c r="E85" s="47">
        <f t="shared" si="0"/>
        <v>0.16487943496643995</v>
      </c>
      <c r="F85" s="47">
        <f t="shared" si="0"/>
        <v>0.40737185772328355</v>
      </c>
      <c r="G85" s="47">
        <f t="shared" si="0"/>
        <v>0.0008153492068406767</v>
      </c>
      <c r="H85" s="47">
        <f t="shared" si="0"/>
        <v>0.016169372456334093</v>
      </c>
      <c r="I85" s="47">
        <f t="shared" si="0"/>
        <v>0.0001995369366951867</v>
      </c>
      <c r="J85" s="47">
        <f t="shared" si="0"/>
        <v>0.005920742552627867</v>
      </c>
      <c r="K85" s="47">
        <f t="shared" si="0"/>
        <v>0.005019386045487541</v>
      </c>
    </row>
    <row r="86" spans="1:11" ht="12.75">
      <c r="A86" s="44" t="s">
        <v>91</v>
      </c>
      <c r="B86" s="45">
        <v>4194865</v>
      </c>
      <c r="C86" s="47">
        <f t="shared" si="0"/>
        <v>0.5358634902434286</v>
      </c>
      <c r="D86" s="47">
        <f t="shared" si="0"/>
        <v>0.03521925020233071</v>
      </c>
      <c r="E86" s="47">
        <f t="shared" si="0"/>
        <v>0.137512172620573</v>
      </c>
      <c r="F86" s="47">
        <f t="shared" si="0"/>
        <v>0.25728718325857924</v>
      </c>
      <c r="G86" s="47">
        <f t="shared" si="0"/>
        <v>0.005114586524238563</v>
      </c>
      <c r="H86" s="47">
        <f t="shared" si="0"/>
        <v>0.009965755751376981</v>
      </c>
      <c r="I86" s="47">
        <f t="shared" si="0"/>
        <v>0.0003897622450305314</v>
      </c>
      <c r="J86" s="47">
        <f t="shared" si="0"/>
        <v>0.0104472968736777</v>
      </c>
      <c r="K86" s="47">
        <f t="shared" si="0"/>
        <v>0.008201694214235737</v>
      </c>
    </row>
    <row r="87" spans="1:11" ht="12.75">
      <c r="A87" s="44" t="s">
        <v>92</v>
      </c>
      <c r="B87" s="45">
        <v>4413970</v>
      </c>
      <c r="C87" s="47">
        <f t="shared" si="0"/>
        <v>0.6869269614428735</v>
      </c>
      <c r="D87" s="47">
        <f t="shared" si="0"/>
        <v>0.07205871358436963</v>
      </c>
      <c r="E87" s="47">
        <f t="shared" si="0"/>
        <v>0.1776122175728426</v>
      </c>
      <c r="F87" s="47">
        <f t="shared" si="0"/>
        <v>0.034589043423494045</v>
      </c>
      <c r="G87" s="47">
        <f t="shared" si="0"/>
        <v>0.0007510245878426904</v>
      </c>
      <c r="H87" s="47">
        <f t="shared" si="0"/>
        <v>0.013343996447642371</v>
      </c>
      <c r="I87" s="47">
        <f t="shared" si="0"/>
        <v>0.0002265534201637075</v>
      </c>
      <c r="J87" s="47">
        <f t="shared" si="0"/>
        <v>0.008615826568825796</v>
      </c>
      <c r="K87" s="47">
        <f t="shared" si="0"/>
        <v>0.005873397417744117</v>
      </c>
    </row>
    <row r="88" spans="1:11" ht="12.75">
      <c r="A88" s="44" t="s">
        <v>93</v>
      </c>
      <c r="B88" s="45">
        <v>1907145</v>
      </c>
      <c r="C88" s="47">
        <f t="shared" si="0"/>
        <v>0.5588903832692322</v>
      </c>
      <c r="D88" s="47">
        <f t="shared" si="0"/>
        <v>0.1383324288399676</v>
      </c>
      <c r="E88" s="47">
        <f t="shared" si="0"/>
        <v>0.22686790988624359</v>
      </c>
      <c r="F88" s="47">
        <f t="shared" si="0"/>
        <v>0.034596215809495345</v>
      </c>
      <c r="G88" s="47">
        <f t="shared" si="0"/>
        <v>0.0005636697786481888</v>
      </c>
      <c r="H88" s="47">
        <f t="shared" si="0"/>
        <v>0.026017948294440117</v>
      </c>
      <c r="I88" s="47">
        <f t="shared" si="0"/>
        <v>0.00022022447165789702</v>
      </c>
      <c r="J88" s="47">
        <f t="shared" si="0"/>
        <v>0.009464408841488194</v>
      </c>
      <c r="K88" s="47">
        <f t="shared" si="0"/>
        <v>0.005049432528727496</v>
      </c>
    </row>
    <row r="89" spans="1:11" ht="12.75">
      <c r="A89" s="44" t="s">
        <v>94</v>
      </c>
      <c r="B89" s="45">
        <v>5216235</v>
      </c>
      <c r="C89" s="47">
        <f t="shared" si="0"/>
        <v>0.2410848054200012</v>
      </c>
      <c r="D89" s="47">
        <f t="shared" si="0"/>
        <v>0.08667841843781962</v>
      </c>
      <c r="E89" s="47">
        <f t="shared" si="0"/>
        <v>0.5511091812389588</v>
      </c>
      <c r="F89" s="47">
        <f t="shared" si="0"/>
        <v>0.0862978757667168</v>
      </c>
      <c r="G89" s="47">
        <f t="shared" si="0"/>
        <v>0.0018145271445784172</v>
      </c>
      <c r="H89" s="47">
        <f t="shared" si="0"/>
        <v>0.01888143459794277</v>
      </c>
      <c r="I89" s="47">
        <f t="shared" si="0"/>
        <v>0.00039875504075257345</v>
      </c>
      <c r="J89" s="47">
        <f t="shared" si="0"/>
        <v>0.002901518048937596</v>
      </c>
      <c r="K89" s="47">
        <f t="shared" si="0"/>
        <v>0.010835401395834351</v>
      </c>
    </row>
    <row r="90" spans="1:11" ht="12.75">
      <c r="A90" s="44" t="s">
        <v>95</v>
      </c>
      <c r="B90" s="45">
        <v>1973600</v>
      </c>
      <c r="C90" s="47">
        <f t="shared" si="0"/>
        <v>0.34221220105391165</v>
      </c>
      <c r="D90" s="47">
        <f t="shared" si="0"/>
        <v>0.13872618565058775</v>
      </c>
      <c r="E90" s="47">
        <f t="shared" si="0"/>
        <v>0.4554646331576814</v>
      </c>
      <c r="F90" s="47">
        <f t="shared" si="0"/>
        <v>0.02223348196189704</v>
      </c>
      <c r="G90" s="47">
        <f t="shared" si="0"/>
        <v>0.005332894203486016</v>
      </c>
      <c r="H90" s="47">
        <f t="shared" si="0"/>
        <v>0.02995541143088772</v>
      </c>
      <c r="I90" s="47">
        <f t="shared" si="0"/>
        <v>0.000179874341305229</v>
      </c>
      <c r="J90" s="47">
        <f t="shared" si="0"/>
        <v>0.002214227807053101</v>
      </c>
      <c r="K90" s="47">
        <f t="shared" si="0"/>
        <v>0.0036810903931901095</v>
      </c>
    </row>
    <row r="91" spans="1:11" ht="12.75">
      <c r="A91" s="44" t="s">
        <v>96</v>
      </c>
      <c r="B91" s="45">
        <v>3167690</v>
      </c>
      <c r="C91" s="47">
        <f t="shared" si="0"/>
        <v>0.44526295186713344</v>
      </c>
      <c r="D91" s="47">
        <f t="shared" si="0"/>
        <v>0.09385072402918215</v>
      </c>
      <c r="E91" s="47">
        <f t="shared" si="0"/>
        <v>0.4379169047476237</v>
      </c>
      <c r="F91" s="47">
        <f t="shared" si="0"/>
        <v>0.0013495638777784441</v>
      </c>
      <c r="G91" s="47">
        <f t="shared" si="0"/>
        <v>7.892186419756984E-05</v>
      </c>
      <c r="H91" s="47">
        <f t="shared" si="0"/>
        <v>0.012168173021981317</v>
      </c>
      <c r="I91" s="47">
        <f t="shared" si="0"/>
        <v>0.000381981822716238</v>
      </c>
      <c r="J91" s="47">
        <f t="shared" si="0"/>
        <v>0.002359763739507338</v>
      </c>
      <c r="K91" s="47">
        <f t="shared" si="0"/>
        <v>0.006631015029879818</v>
      </c>
    </row>
    <row r="92" spans="1:11" ht="12.75">
      <c r="A92" s="44" t="s">
        <v>97</v>
      </c>
      <c r="B92" s="45">
        <v>1585795</v>
      </c>
      <c r="C92" s="47">
        <f t="shared" si="0"/>
        <v>0.5293717031520467</v>
      </c>
      <c r="D92" s="47">
        <f t="shared" si="0"/>
        <v>0.08201879814225672</v>
      </c>
      <c r="E92" s="47">
        <f t="shared" si="0"/>
        <v>0.3222989100104364</v>
      </c>
      <c r="F92" s="47">
        <f t="shared" si="0"/>
        <v>0.009414836091676414</v>
      </c>
      <c r="G92" s="47">
        <f t="shared" si="0"/>
        <v>0.0024246513578362904</v>
      </c>
      <c r="H92" s="47">
        <f t="shared" si="0"/>
        <v>0.041487077459570754</v>
      </c>
      <c r="I92" s="47">
        <f t="shared" si="0"/>
        <v>0.0008229310850393651</v>
      </c>
      <c r="J92" s="47">
        <f t="shared" si="0"/>
        <v>0.006324903281950063</v>
      </c>
      <c r="K92" s="47">
        <f t="shared" si="0"/>
        <v>0.005836189419187222</v>
      </c>
    </row>
    <row r="93" spans="1:11" ht="12.75">
      <c r="A93" s="44" t="s">
        <v>98</v>
      </c>
      <c r="B93" s="45">
        <v>4136005</v>
      </c>
      <c r="C93" s="47">
        <f t="shared" si="0"/>
        <v>0.5314524523060297</v>
      </c>
      <c r="D93" s="47">
        <f t="shared" si="0"/>
        <v>0.03752655037892846</v>
      </c>
      <c r="E93" s="47">
        <f t="shared" si="0"/>
        <v>0.3459388951415678</v>
      </c>
      <c r="F93" s="47">
        <f t="shared" si="0"/>
        <v>0.01785176758732158</v>
      </c>
      <c r="G93" s="47">
        <f t="shared" si="0"/>
        <v>0.00022122797240332158</v>
      </c>
      <c r="H93" s="47">
        <f t="shared" si="0"/>
        <v>0.02781911530571167</v>
      </c>
      <c r="I93" s="47">
        <f t="shared" si="0"/>
        <v>0.001970500519220842</v>
      </c>
      <c r="J93" s="47">
        <f t="shared" si="0"/>
        <v>0.004302460949636182</v>
      </c>
      <c r="K93" s="47">
        <f t="shared" si="0"/>
        <v>0.0329158209431565</v>
      </c>
    </row>
    <row r="94" spans="1:11" ht="12.75">
      <c r="A94" s="44"/>
      <c r="B94" s="45"/>
      <c r="C94" s="47"/>
      <c r="D94" s="47"/>
      <c r="E94" s="47"/>
      <c r="F94" s="47"/>
      <c r="G94" s="47"/>
      <c r="H94" s="47"/>
      <c r="I94" s="47"/>
      <c r="J94" s="47"/>
      <c r="K94" s="47"/>
    </row>
    <row r="95" spans="1:11" ht="12.75">
      <c r="A95" s="44" t="s">
        <v>2</v>
      </c>
      <c r="B95" s="45">
        <v>551965</v>
      </c>
      <c r="C95" s="47">
        <f aca="true" t="shared" si="1" ref="C95:K110">C20/$B20</f>
        <v>0.36775882528783527</v>
      </c>
      <c r="D95" s="47">
        <f t="shared" si="1"/>
        <v>0.17627023452573987</v>
      </c>
      <c r="E95" s="47">
        <f t="shared" si="1"/>
        <v>0.42772639569537924</v>
      </c>
      <c r="F95" s="47">
        <f t="shared" si="1"/>
        <v>0.007138133758481063</v>
      </c>
      <c r="G95" s="47">
        <f t="shared" si="1"/>
        <v>0.0004710443596967199</v>
      </c>
      <c r="H95" s="47">
        <f t="shared" si="1"/>
        <v>0.015616932233022022</v>
      </c>
      <c r="I95" s="47">
        <f t="shared" si="1"/>
        <v>0.00011776108992417997</v>
      </c>
      <c r="J95" s="47">
        <f t="shared" si="1"/>
        <v>0.0014765428967416412</v>
      </c>
      <c r="K95" s="47">
        <f t="shared" si="1"/>
        <v>0.0034331886985587852</v>
      </c>
    </row>
    <row r="96" spans="1:11" ht="12.75">
      <c r="A96" s="44" t="s">
        <v>3</v>
      </c>
      <c r="B96" s="45">
        <v>49270</v>
      </c>
      <c r="C96" s="47">
        <f t="shared" si="1"/>
        <v>0.33620864623503144</v>
      </c>
      <c r="D96" s="47">
        <f t="shared" si="1"/>
        <v>0.02668966916988025</v>
      </c>
      <c r="E96" s="47">
        <f t="shared" si="1"/>
        <v>0.15384615384615385</v>
      </c>
      <c r="F96" s="47">
        <f t="shared" si="1"/>
        <v>0.376902780596712</v>
      </c>
      <c r="G96" s="47">
        <f t="shared" si="1"/>
        <v>0.007408159123198701</v>
      </c>
      <c r="H96" s="47">
        <f t="shared" si="1"/>
        <v>0.07032677085447533</v>
      </c>
      <c r="I96" s="47">
        <f t="shared" si="1"/>
        <v>0.0005074081591231987</v>
      </c>
      <c r="J96" s="47">
        <f t="shared" si="1"/>
        <v>0.01857113862390907</v>
      </c>
      <c r="K96" s="47">
        <f t="shared" si="1"/>
        <v>0.009437791759691496</v>
      </c>
    </row>
    <row r="97" spans="1:11" ht="12.75">
      <c r="A97" s="44" t="s">
        <v>4</v>
      </c>
      <c r="B97" s="45">
        <v>439345</v>
      </c>
      <c r="C97" s="47">
        <f t="shared" si="1"/>
        <v>0.36997120713789844</v>
      </c>
      <c r="D97" s="47">
        <f t="shared" si="1"/>
        <v>0.0718114465852576</v>
      </c>
      <c r="E97" s="47">
        <f t="shared" si="1"/>
        <v>0.49710364292298764</v>
      </c>
      <c r="F97" s="47">
        <f t="shared" si="1"/>
        <v>0.0013770499265952725</v>
      </c>
      <c r="G97" s="47">
        <f t="shared" si="1"/>
        <v>0.001502236283558479</v>
      </c>
      <c r="H97" s="47">
        <f t="shared" si="1"/>
        <v>0.04449805961146707</v>
      </c>
      <c r="I97" s="47">
        <f t="shared" si="1"/>
        <v>0.0008421627650252079</v>
      </c>
      <c r="J97" s="47">
        <f t="shared" si="1"/>
        <v>0.0018095118870136225</v>
      </c>
      <c r="K97" s="47">
        <f t="shared" si="1"/>
        <v>0.011084682880196657</v>
      </c>
    </row>
    <row r="98" spans="1:11" ht="12.75">
      <c r="A98" s="44" t="s">
        <v>5</v>
      </c>
      <c r="B98" s="45">
        <v>275395</v>
      </c>
      <c r="C98" s="47">
        <f t="shared" si="1"/>
        <v>0.46039325332703934</v>
      </c>
      <c r="D98" s="47">
        <f t="shared" si="1"/>
        <v>0.1618221100600955</v>
      </c>
      <c r="E98" s="47">
        <f t="shared" si="1"/>
        <v>0.3176891374207956</v>
      </c>
      <c r="F98" s="47">
        <f t="shared" si="1"/>
        <v>0.001561393634597578</v>
      </c>
      <c r="G98" s="47">
        <f t="shared" si="1"/>
        <v>7.262295974872456E-05</v>
      </c>
      <c r="H98" s="47">
        <f t="shared" si="1"/>
        <v>0.05272426877757403</v>
      </c>
      <c r="I98" s="47">
        <f t="shared" si="1"/>
        <v>0.00043573775849234733</v>
      </c>
      <c r="J98" s="47">
        <f t="shared" si="1"/>
        <v>0.0025781150710797217</v>
      </c>
      <c r="K98" s="47">
        <f t="shared" si="1"/>
        <v>0.002759672470451533</v>
      </c>
    </row>
    <row r="99" spans="1:11" ht="12.75">
      <c r="A99" s="44" t="s">
        <v>6</v>
      </c>
      <c r="B99" s="45">
        <v>3084760</v>
      </c>
      <c r="C99" s="47">
        <f t="shared" si="1"/>
        <v>0.6447746340071837</v>
      </c>
      <c r="D99" s="47">
        <f t="shared" si="1"/>
        <v>0.04141489127193039</v>
      </c>
      <c r="E99" s="47">
        <f t="shared" si="1"/>
        <v>0.2572696093050999</v>
      </c>
      <c r="F99" s="47">
        <f t="shared" si="1"/>
        <v>0.0035464671481736016</v>
      </c>
      <c r="G99" s="47">
        <f t="shared" si="1"/>
        <v>0.0001021149133157847</v>
      </c>
      <c r="H99" s="47">
        <f t="shared" si="1"/>
        <v>0.017868488958622388</v>
      </c>
      <c r="I99" s="47">
        <f t="shared" si="1"/>
        <v>0.002207627173588869</v>
      </c>
      <c r="J99" s="47">
        <f t="shared" si="1"/>
        <v>0.0031623205695094593</v>
      </c>
      <c r="K99" s="47">
        <f t="shared" si="1"/>
        <v>0.02965384665257589</v>
      </c>
    </row>
    <row r="100" spans="1:11" ht="12.75">
      <c r="A100" s="44" t="s">
        <v>7</v>
      </c>
      <c r="B100" s="45">
        <v>392125</v>
      </c>
      <c r="C100" s="47">
        <f t="shared" si="1"/>
        <v>0.6743512910423972</v>
      </c>
      <c r="D100" s="47">
        <f t="shared" si="1"/>
        <v>0.07004144086707045</v>
      </c>
      <c r="E100" s="47">
        <f t="shared" si="1"/>
        <v>0.21638508128785464</v>
      </c>
      <c r="F100" s="47">
        <f t="shared" si="1"/>
        <v>0.001823398151099777</v>
      </c>
      <c r="G100" s="47">
        <f t="shared" si="1"/>
        <v>0.0018489002231431304</v>
      </c>
      <c r="H100" s="47">
        <f t="shared" si="1"/>
        <v>0.01811922218680268</v>
      </c>
      <c r="I100" s="47">
        <f t="shared" si="1"/>
        <v>0.0008925725215173732</v>
      </c>
      <c r="J100" s="47">
        <f t="shared" si="1"/>
        <v>0.011705451067899266</v>
      </c>
      <c r="K100" s="47">
        <f t="shared" si="1"/>
        <v>0.0048453936882371694</v>
      </c>
    </row>
    <row r="101" spans="1:11" ht="12.75">
      <c r="A101" s="44" t="s">
        <v>8</v>
      </c>
      <c r="B101" s="45">
        <v>364175</v>
      </c>
      <c r="C101" s="47">
        <f t="shared" si="1"/>
        <v>0.3371318734125077</v>
      </c>
      <c r="D101" s="47">
        <f t="shared" si="1"/>
        <v>0.03094666025949063</v>
      </c>
      <c r="E101" s="47">
        <f t="shared" si="1"/>
        <v>0.19726779707558179</v>
      </c>
      <c r="F101" s="47">
        <f t="shared" si="1"/>
        <v>0.41850758563877255</v>
      </c>
      <c r="G101" s="47">
        <f t="shared" si="1"/>
        <v>0.0007139424727122949</v>
      </c>
      <c r="H101" s="47">
        <f t="shared" si="1"/>
        <v>0.006164618658611931</v>
      </c>
      <c r="I101" s="47">
        <f t="shared" si="1"/>
        <v>0.00020594494405162353</v>
      </c>
      <c r="J101" s="47">
        <f t="shared" si="1"/>
        <v>0.005189812590100913</v>
      </c>
      <c r="K101" s="47">
        <f t="shared" si="1"/>
        <v>0.0038717649481705223</v>
      </c>
    </row>
    <row r="102" spans="1:11" ht="12.75">
      <c r="A102" s="44" t="s">
        <v>9</v>
      </c>
      <c r="B102" s="45">
        <v>78935</v>
      </c>
      <c r="C102" s="47">
        <f t="shared" si="1"/>
        <v>0.309938557040603</v>
      </c>
      <c r="D102" s="47">
        <f t="shared" si="1"/>
        <v>0.10800025337302845</v>
      </c>
      <c r="E102" s="47">
        <f t="shared" si="1"/>
        <v>0.2849179704820422</v>
      </c>
      <c r="F102" s="47">
        <f t="shared" si="1"/>
        <v>0.28111737505542533</v>
      </c>
      <c r="G102" s="47">
        <f t="shared" si="1"/>
        <v>0.001330208399315893</v>
      </c>
      <c r="H102" s="47">
        <f t="shared" si="1"/>
        <v>0.007601190853233674</v>
      </c>
      <c r="I102" s="47">
        <f t="shared" si="1"/>
        <v>0.0003800595426616837</v>
      </c>
      <c r="J102" s="47">
        <f t="shared" si="1"/>
        <v>0.004307341483499081</v>
      </c>
      <c r="K102" s="47">
        <f t="shared" si="1"/>
        <v>0.002407043770190663</v>
      </c>
    </row>
    <row r="103" spans="1:11" ht="12.75">
      <c r="A103" s="44" t="s">
        <v>10</v>
      </c>
      <c r="B103" s="45">
        <v>74520</v>
      </c>
      <c r="C103" s="47">
        <f t="shared" si="1"/>
        <v>0.605475040257649</v>
      </c>
      <c r="D103" s="47">
        <f t="shared" si="1"/>
        <v>0.023282340311325818</v>
      </c>
      <c r="E103" s="47">
        <f t="shared" si="1"/>
        <v>0.2831454643048846</v>
      </c>
      <c r="F103" s="47">
        <f t="shared" si="1"/>
        <v>0.06038647342995169</v>
      </c>
      <c r="G103" s="47">
        <f t="shared" si="1"/>
        <v>0.0003354804079441761</v>
      </c>
      <c r="H103" s="47">
        <f t="shared" si="1"/>
        <v>0.0006038647342995169</v>
      </c>
      <c r="I103" s="47">
        <f t="shared" si="1"/>
        <v>0.0004696725711218465</v>
      </c>
      <c r="J103" s="47">
        <f t="shared" si="1"/>
        <v>0.008319914117015567</v>
      </c>
      <c r="K103" s="47">
        <f t="shared" si="1"/>
        <v>0.017981749865807837</v>
      </c>
    </row>
    <row r="104" spans="1:11" ht="12.75">
      <c r="A104" s="44" t="s">
        <v>11</v>
      </c>
      <c r="B104" s="45">
        <v>1603440</v>
      </c>
      <c r="C104" s="47">
        <f t="shared" si="1"/>
        <v>0.06462044105173877</v>
      </c>
      <c r="D104" s="47">
        <f t="shared" si="1"/>
        <v>0.05587674000898069</v>
      </c>
      <c r="E104" s="47">
        <f t="shared" si="1"/>
        <v>0.8351793643666118</v>
      </c>
      <c r="F104" s="47">
        <f t="shared" si="1"/>
        <v>0.014197600159656739</v>
      </c>
      <c r="G104" s="47">
        <f t="shared" si="1"/>
        <v>6.548420895075588E-05</v>
      </c>
      <c r="H104" s="47">
        <f t="shared" si="1"/>
        <v>0.0034613081873970963</v>
      </c>
      <c r="I104" s="47">
        <f t="shared" si="1"/>
        <v>0.000449034575662326</v>
      </c>
      <c r="J104" s="47">
        <f t="shared" si="1"/>
        <v>0.001166242578456319</v>
      </c>
      <c r="K104" s="47">
        <f t="shared" si="1"/>
        <v>0.024980666566881204</v>
      </c>
    </row>
    <row r="105" spans="1:11" ht="12.75">
      <c r="A105" s="44" t="s">
        <v>12</v>
      </c>
      <c r="B105" s="45">
        <v>786340</v>
      </c>
      <c r="C105" s="47">
        <f t="shared" si="1"/>
        <v>0.40750820255868964</v>
      </c>
      <c r="D105" s="47">
        <f t="shared" si="1"/>
        <v>0.15116870564895593</v>
      </c>
      <c r="E105" s="47">
        <f t="shared" si="1"/>
        <v>0.4093140371849327</v>
      </c>
      <c r="F105" s="47">
        <f t="shared" si="1"/>
        <v>0.011070274944680419</v>
      </c>
      <c r="G105" s="47">
        <f t="shared" si="1"/>
        <v>0.00010173716204186484</v>
      </c>
      <c r="H105" s="47">
        <f t="shared" si="1"/>
        <v>0.01396342549024595</v>
      </c>
      <c r="I105" s="47">
        <f t="shared" si="1"/>
        <v>0.0004705343744436249</v>
      </c>
      <c r="J105" s="47">
        <f t="shared" si="1"/>
        <v>0.0013988859780756416</v>
      </c>
      <c r="K105" s="47">
        <f t="shared" si="1"/>
        <v>0.005004196657934227</v>
      </c>
    </row>
    <row r="106" spans="1:11" ht="12.75">
      <c r="A106" s="44" t="s">
        <v>13</v>
      </c>
      <c r="B106" s="45">
        <v>100410</v>
      </c>
      <c r="C106" s="47">
        <f t="shared" si="1"/>
        <v>0.04063340304750523</v>
      </c>
      <c r="D106" s="47">
        <f t="shared" si="1"/>
        <v>0.03580320685190718</v>
      </c>
      <c r="E106" s="47">
        <f t="shared" si="1"/>
        <v>0.4964644955681705</v>
      </c>
      <c r="F106" s="47">
        <f t="shared" si="1"/>
        <v>0.0016432626232446967</v>
      </c>
      <c r="G106" s="47">
        <f t="shared" si="1"/>
        <v>9.959167413604223E-05</v>
      </c>
      <c r="H106" s="47">
        <f t="shared" si="1"/>
        <v>0.004780400358530027</v>
      </c>
      <c r="I106" s="47">
        <f t="shared" si="1"/>
        <v>0.011104471666168708</v>
      </c>
      <c r="J106" s="47">
        <f t="shared" si="1"/>
        <v>0.0009959167413604222</v>
      </c>
      <c r="K106" s="47">
        <f t="shared" si="1"/>
        <v>0.4085250473060452</v>
      </c>
    </row>
    <row r="107" spans="1:11" ht="12.75">
      <c r="A107" s="44" t="s">
        <v>14</v>
      </c>
      <c r="B107" s="45">
        <v>112855</v>
      </c>
      <c r="C107" s="47">
        <f t="shared" si="1"/>
        <v>0.33941783704753886</v>
      </c>
      <c r="D107" s="47">
        <f t="shared" si="1"/>
        <v>0.06021000398741748</v>
      </c>
      <c r="E107" s="47">
        <f t="shared" si="1"/>
        <v>0.4397678436932347</v>
      </c>
      <c r="F107" s="47">
        <f t="shared" si="1"/>
        <v>0.05865934163306898</v>
      </c>
      <c r="G107" s="47">
        <f t="shared" si="1"/>
        <v>0.0040317221213061</v>
      </c>
      <c r="H107" s="47">
        <f t="shared" si="1"/>
        <v>0.08679278720482035</v>
      </c>
      <c r="I107" s="47">
        <f t="shared" si="1"/>
        <v>0.0002215231934783572</v>
      </c>
      <c r="J107" s="47">
        <f t="shared" si="1"/>
        <v>0.007265960746090116</v>
      </c>
      <c r="K107" s="47">
        <f t="shared" si="1"/>
        <v>0.0036772850117407292</v>
      </c>
    </row>
    <row r="108" spans="1:11" ht="12.75">
      <c r="A108" s="44" t="s">
        <v>15</v>
      </c>
      <c r="B108" s="45">
        <v>1172320</v>
      </c>
      <c r="C108" s="47">
        <f t="shared" si="1"/>
        <v>0.7501108912242391</v>
      </c>
      <c r="D108" s="47">
        <f t="shared" si="1"/>
        <v>0.05193547836768118</v>
      </c>
      <c r="E108" s="47">
        <f t="shared" si="1"/>
        <v>0.16881909376279514</v>
      </c>
      <c r="F108" s="47">
        <f t="shared" si="1"/>
        <v>0.007007472362494882</v>
      </c>
      <c r="G108" s="47">
        <f t="shared" si="1"/>
        <v>0.00034120376688958644</v>
      </c>
      <c r="H108" s="47">
        <f t="shared" si="1"/>
        <v>0.004260782039033711</v>
      </c>
      <c r="I108" s="47">
        <f t="shared" si="1"/>
        <v>0.0002644329193394295</v>
      </c>
      <c r="J108" s="47">
        <f t="shared" si="1"/>
        <v>0.00832110686501979</v>
      </c>
      <c r="K108" s="47">
        <f t="shared" si="1"/>
        <v>0.008935273645421045</v>
      </c>
    </row>
    <row r="109" spans="1:11" ht="12.75">
      <c r="A109" s="44" t="s">
        <v>16</v>
      </c>
      <c r="B109" s="45">
        <v>573840</v>
      </c>
      <c r="C109" s="47">
        <f t="shared" si="1"/>
        <v>0.6173933500627352</v>
      </c>
      <c r="D109" s="47">
        <f t="shared" si="1"/>
        <v>0.07679841070681723</v>
      </c>
      <c r="E109" s="47">
        <f t="shared" si="1"/>
        <v>0.2512547051442911</v>
      </c>
      <c r="F109" s="47">
        <f t="shared" si="1"/>
        <v>0.028352850968911193</v>
      </c>
      <c r="G109" s="47">
        <f t="shared" si="1"/>
        <v>0.0015858078907012407</v>
      </c>
      <c r="H109" s="47">
        <f t="shared" si="1"/>
        <v>0.015204586644360798</v>
      </c>
      <c r="I109" s="47">
        <f t="shared" si="1"/>
        <v>0.00013069845253032205</v>
      </c>
      <c r="J109" s="47">
        <f t="shared" si="1"/>
        <v>0.005454482085598773</v>
      </c>
      <c r="K109" s="47">
        <f t="shared" si="1"/>
        <v>0.0038251080440540918</v>
      </c>
    </row>
    <row r="110" spans="1:11" ht="12.75">
      <c r="A110" s="44" t="s">
        <v>17</v>
      </c>
      <c r="B110" s="45">
        <v>277130</v>
      </c>
      <c r="C110" s="47">
        <f t="shared" si="1"/>
        <v>0.6166600512394905</v>
      </c>
      <c r="D110" s="47">
        <f t="shared" si="1"/>
        <v>0.14274889041244182</v>
      </c>
      <c r="E110" s="47">
        <f t="shared" si="1"/>
        <v>0.18761952874102406</v>
      </c>
      <c r="F110" s="47">
        <f t="shared" si="1"/>
        <v>0.02477176776242197</v>
      </c>
      <c r="G110" s="47">
        <f t="shared" si="1"/>
        <v>7.21682964673619E-05</v>
      </c>
      <c r="H110" s="47">
        <f t="shared" si="1"/>
        <v>0.012376862844152564</v>
      </c>
      <c r="I110" s="47">
        <f t="shared" si="1"/>
        <v>0.00021650488940208566</v>
      </c>
      <c r="J110" s="47">
        <f t="shared" si="1"/>
        <v>0.00992314076426226</v>
      </c>
      <c r="K110" s="47">
        <f t="shared" si="1"/>
        <v>0.005593042976220547</v>
      </c>
    </row>
    <row r="111" spans="1:11" ht="12.75">
      <c r="A111" s="44" t="s">
        <v>18</v>
      </c>
      <c r="B111" s="45">
        <v>262115</v>
      </c>
      <c r="C111" s="47">
        <f aca="true" t="shared" si="2" ref="C111:K126">C36/$B36</f>
        <v>0.6846803883791466</v>
      </c>
      <c r="D111" s="47">
        <f t="shared" si="2"/>
        <v>0.08635522575968563</v>
      </c>
      <c r="E111" s="47">
        <f t="shared" si="2"/>
        <v>0.20811475878908112</v>
      </c>
      <c r="F111" s="47">
        <f t="shared" si="2"/>
        <v>0.0016023501134997996</v>
      </c>
      <c r="G111" s="47">
        <f t="shared" si="2"/>
        <v>5.722678976784999E-05</v>
      </c>
      <c r="H111" s="47">
        <f t="shared" si="2"/>
        <v>0.013371993209087614</v>
      </c>
      <c r="I111" s="47">
        <f t="shared" si="2"/>
        <v>0.00011445357953569998</v>
      </c>
      <c r="J111" s="47">
        <f t="shared" si="2"/>
        <v>0.0038532705110352326</v>
      </c>
      <c r="K111" s="47">
        <f t="shared" si="2"/>
        <v>0.001850332869160483</v>
      </c>
    </row>
    <row r="112" spans="1:11" ht="12.75">
      <c r="A112" s="44" t="s">
        <v>19</v>
      </c>
      <c r="B112" s="45">
        <v>472560</v>
      </c>
      <c r="C112" s="47">
        <f t="shared" si="2"/>
        <v>0.3637210089724056</v>
      </c>
      <c r="D112" s="47">
        <f t="shared" si="2"/>
        <v>0.10410318266463518</v>
      </c>
      <c r="E112" s="47">
        <f t="shared" si="2"/>
        <v>0.4199784154393093</v>
      </c>
      <c r="F112" s="47">
        <f t="shared" si="2"/>
        <v>0.04116937531742001</v>
      </c>
      <c r="G112" s="47">
        <f t="shared" si="2"/>
        <v>0.01818816658202133</v>
      </c>
      <c r="H112" s="47">
        <f t="shared" si="2"/>
        <v>0.04540164211951921</v>
      </c>
      <c r="I112" s="47">
        <f t="shared" si="2"/>
        <v>0.00015871000507872016</v>
      </c>
      <c r="J112" s="47">
        <f t="shared" si="2"/>
        <v>0.00388310479092602</v>
      </c>
      <c r="K112" s="47">
        <f t="shared" si="2"/>
        <v>0.0034175554426951076</v>
      </c>
    </row>
    <row r="113" spans="1:11" ht="12.75">
      <c r="A113" s="44" t="s">
        <v>20</v>
      </c>
      <c r="B113" s="45">
        <v>539620</v>
      </c>
      <c r="C113" s="47">
        <f t="shared" si="2"/>
        <v>0.4709517808828435</v>
      </c>
      <c r="D113" s="47">
        <f t="shared" si="2"/>
        <v>0.06554612505096179</v>
      </c>
      <c r="E113" s="47">
        <f t="shared" si="2"/>
        <v>0.4448500796857048</v>
      </c>
      <c r="F113" s="47">
        <f t="shared" si="2"/>
        <v>0.002251584448315481</v>
      </c>
      <c r="G113" s="47">
        <f t="shared" si="2"/>
        <v>7.412623698157963E-05</v>
      </c>
      <c r="H113" s="47">
        <f t="shared" si="2"/>
        <v>0.008561580371372448</v>
      </c>
      <c r="I113" s="47">
        <f t="shared" si="2"/>
        <v>0.0003150365071717134</v>
      </c>
      <c r="J113" s="47">
        <f t="shared" si="2"/>
        <v>0.001982876839257255</v>
      </c>
      <c r="K113" s="47">
        <f t="shared" si="2"/>
        <v>0.005439012638523405</v>
      </c>
    </row>
    <row r="114" spans="1:11" ht="12.75">
      <c r="A114" s="44" t="s">
        <v>21</v>
      </c>
      <c r="B114" s="45">
        <v>128775</v>
      </c>
      <c r="C114" s="47">
        <f t="shared" si="2"/>
        <v>0.04084643758493496</v>
      </c>
      <c r="D114" s="47">
        <f t="shared" si="2"/>
        <v>0.04950495049504951</v>
      </c>
      <c r="E114" s="47">
        <f t="shared" si="2"/>
        <v>0.08681809357406328</v>
      </c>
      <c r="F114" s="47">
        <f t="shared" si="2"/>
        <v>0.7517375266938459</v>
      </c>
      <c r="G114" s="47">
        <f t="shared" si="2"/>
        <v>0.0014366142496602603</v>
      </c>
      <c r="H114" s="47">
        <f t="shared" si="2"/>
        <v>0.06262861580275675</v>
      </c>
      <c r="I114" s="47">
        <f t="shared" si="2"/>
        <v>0.00034944670937682004</v>
      </c>
      <c r="J114" s="47">
        <f t="shared" si="2"/>
        <v>0.0039992234517569406</v>
      </c>
      <c r="K114" s="47">
        <f t="shared" si="2"/>
        <v>0.0026790914385556204</v>
      </c>
    </row>
    <row r="115" spans="1:11" ht="12.75">
      <c r="A115" s="44" t="s">
        <v>22</v>
      </c>
      <c r="B115" s="45">
        <v>492800</v>
      </c>
      <c r="C115" s="47">
        <f t="shared" si="2"/>
        <v>0.46894277597402595</v>
      </c>
      <c r="D115" s="47">
        <f t="shared" si="2"/>
        <v>0.03616071428571429</v>
      </c>
      <c r="E115" s="47">
        <f t="shared" si="2"/>
        <v>0.30122767857142857</v>
      </c>
      <c r="F115" s="47">
        <f t="shared" si="2"/>
        <v>0.1690239448051948</v>
      </c>
      <c r="G115" s="47">
        <f t="shared" si="2"/>
        <v>0.0020089285714285712</v>
      </c>
      <c r="H115" s="47">
        <f t="shared" si="2"/>
        <v>0.010166396103896105</v>
      </c>
      <c r="I115" s="47">
        <f t="shared" si="2"/>
        <v>0.0003551136363636364</v>
      </c>
      <c r="J115" s="47">
        <f t="shared" si="2"/>
        <v>0.006696428571428571</v>
      </c>
      <c r="K115" s="47">
        <f t="shared" si="2"/>
        <v>0.005397727272727273</v>
      </c>
    </row>
    <row r="116" spans="1:11" ht="12.75">
      <c r="A116" s="44" t="s">
        <v>23</v>
      </c>
      <c r="B116" s="45">
        <v>669015</v>
      </c>
      <c r="C116" s="47">
        <f t="shared" si="2"/>
        <v>0.4455281271720365</v>
      </c>
      <c r="D116" s="47">
        <f t="shared" si="2"/>
        <v>0.032929007570831746</v>
      </c>
      <c r="E116" s="47">
        <f t="shared" si="2"/>
        <v>0.1856983774653782</v>
      </c>
      <c r="F116" s="47">
        <f t="shared" si="2"/>
        <v>0.31616630419347846</v>
      </c>
      <c r="G116" s="47">
        <f t="shared" si="2"/>
        <v>0.0006801043324888081</v>
      </c>
      <c r="H116" s="47">
        <f t="shared" si="2"/>
        <v>0.005455782007877252</v>
      </c>
      <c r="I116" s="47">
        <f t="shared" si="2"/>
        <v>0.00015694715365126342</v>
      </c>
      <c r="J116" s="47">
        <f t="shared" si="2"/>
        <v>0.006756201280987721</v>
      </c>
      <c r="K116" s="47">
        <f t="shared" si="2"/>
        <v>0.006636622497253425</v>
      </c>
    </row>
    <row r="117" spans="1:11" ht="12.75">
      <c r="A117" s="44" t="s">
        <v>24</v>
      </c>
      <c r="B117" s="45">
        <v>973060</v>
      </c>
      <c r="C117" s="47">
        <f t="shared" si="2"/>
        <v>0.7405915359792818</v>
      </c>
      <c r="D117" s="47">
        <f t="shared" si="2"/>
        <v>0.09281544817380223</v>
      </c>
      <c r="E117" s="47">
        <f t="shared" si="2"/>
        <v>0.09935666865352599</v>
      </c>
      <c r="F117" s="47">
        <f t="shared" si="2"/>
        <v>0.03633897190306867</v>
      </c>
      <c r="G117" s="47">
        <f t="shared" si="2"/>
        <v>0.00033399790352085177</v>
      </c>
      <c r="H117" s="47">
        <f t="shared" si="2"/>
        <v>0.016391589418946417</v>
      </c>
      <c r="I117" s="47">
        <f t="shared" si="2"/>
        <v>0.00022609088853719196</v>
      </c>
      <c r="J117" s="47">
        <f t="shared" si="2"/>
        <v>0.008468131461574826</v>
      </c>
      <c r="K117" s="47">
        <f t="shared" si="2"/>
        <v>0.005472427188457032</v>
      </c>
    </row>
    <row r="118" spans="1:11" ht="12.75">
      <c r="A118" s="44" t="s">
        <v>25</v>
      </c>
      <c r="B118" s="45">
        <v>454100</v>
      </c>
      <c r="C118" s="47">
        <f t="shared" si="2"/>
        <v>0.5592160317110768</v>
      </c>
      <c r="D118" s="47">
        <f t="shared" si="2"/>
        <v>0.11913675401893856</v>
      </c>
      <c r="E118" s="47">
        <f t="shared" si="2"/>
        <v>0.18284518828451882</v>
      </c>
      <c r="F118" s="47">
        <f t="shared" si="2"/>
        <v>0.08636864126844307</v>
      </c>
      <c r="G118" s="47">
        <f t="shared" si="2"/>
        <v>0.00045144241356529397</v>
      </c>
      <c r="H118" s="47">
        <f t="shared" si="2"/>
        <v>0.024289804007927768</v>
      </c>
      <c r="I118" s="47">
        <f t="shared" si="2"/>
        <v>0.00019819423034573883</v>
      </c>
      <c r="J118" s="47">
        <f t="shared" si="2"/>
        <v>0.01818982602950892</v>
      </c>
      <c r="K118" s="47">
        <f t="shared" si="2"/>
        <v>0.009293107245100199</v>
      </c>
    </row>
    <row r="119" spans="1:11" ht="12.75">
      <c r="A119" s="44" t="s">
        <v>26</v>
      </c>
      <c r="B119" s="45">
        <v>330980</v>
      </c>
      <c r="C119" s="47">
        <f t="shared" si="2"/>
        <v>0.3619402985074627</v>
      </c>
      <c r="D119" s="47">
        <f t="shared" si="2"/>
        <v>0.2408906882591093</v>
      </c>
      <c r="E119" s="47">
        <f t="shared" si="2"/>
        <v>0.3674844401474409</v>
      </c>
      <c r="F119" s="47">
        <f t="shared" si="2"/>
        <v>0.0026436642697443952</v>
      </c>
      <c r="G119" s="47">
        <f t="shared" si="2"/>
        <v>0.0001208532237597438</v>
      </c>
      <c r="H119" s="47">
        <f t="shared" si="2"/>
        <v>0.02013716840896731</v>
      </c>
      <c r="I119" s="47">
        <f t="shared" si="2"/>
        <v>0.0002870264064293915</v>
      </c>
      <c r="J119" s="47">
        <f t="shared" si="2"/>
        <v>0.0018732249682760287</v>
      </c>
      <c r="K119" s="47">
        <f t="shared" si="2"/>
        <v>0.004607529155840232</v>
      </c>
    </row>
    <row r="120" spans="1:11" ht="12.75">
      <c r="A120" s="44" t="s">
        <v>27</v>
      </c>
      <c r="B120" s="45">
        <v>603425</v>
      </c>
      <c r="C120" s="47">
        <f t="shared" si="2"/>
        <v>0.5072212785350292</v>
      </c>
      <c r="D120" s="47">
        <f t="shared" si="2"/>
        <v>0.1600613166507851</v>
      </c>
      <c r="E120" s="47">
        <f t="shared" si="2"/>
        <v>0.27372912955213985</v>
      </c>
      <c r="F120" s="47">
        <f t="shared" si="2"/>
        <v>0.006993412603057547</v>
      </c>
      <c r="G120" s="47">
        <f t="shared" si="2"/>
        <v>9.114637278866471E-05</v>
      </c>
      <c r="H120" s="47">
        <f t="shared" si="2"/>
        <v>0.0454406098520943</v>
      </c>
      <c r="I120" s="47">
        <f t="shared" si="2"/>
        <v>0.00023200894891660108</v>
      </c>
      <c r="J120" s="47">
        <f t="shared" si="2"/>
        <v>0.0035132783693085303</v>
      </c>
      <c r="K120" s="47">
        <f t="shared" si="2"/>
        <v>0.002717819115880184</v>
      </c>
    </row>
    <row r="121" spans="1:11" ht="12.75">
      <c r="A121" s="44" t="s">
        <v>28</v>
      </c>
      <c r="B121" s="45">
        <v>92570</v>
      </c>
      <c r="C121" s="47">
        <f t="shared" si="2"/>
        <v>0.5176082964243275</v>
      </c>
      <c r="D121" s="47">
        <f t="shared" si="2"/>
        <v>0.13022577508912175</v>
      </c>
      <c r="E121" s="47">
        <f t="shared" si="2"/>
        <v>0.2188073890029167</v>
      </c>
      <c r="F121" s="47">
        <f t="shared" si="2"/>
        <v>0.03456843469806633</v>
      </c>
      <c r="G121" s="47">
        <f t="shared" si="2"/>
        <v>0.003996975261963919</v>
      </c>
      <c r="H121" s="47">
        <f t="shared" si="2"/>
        <v>0.07718483309927622</v>
      </c>
      <c r="I121" s="47">
        <f t="shared" si="2"/>
        <v>0.0005401317921572864</v>
      </c>
      <c r="J121" s="47">
        <f t="shared" si="2"/>
        <v>0.013557307983147889</v>
      </c>
      <c r="K121" s="47">
        <f t="shared" si="2"/>
        <v>0.00356486982823809</v>
      </c>
    </row>
    <row r="122" spans="1:11" ht="12.75">
      <c r="A122" s="44" t="s">
        <v>29</v>
      </c>
      <c r="B122" s="45">
        <v>170485</v>
      </c>
      <c r="C122" s="47">
        <f t="shared" si="2"/>
        <v>0.6260081532099598</v>
      </c>
      <c r="D122" s="47">
        <f t="shared" si="2"/>
        <v>0.12050913570108807</v>
      </c>
      <c r="E122" s="47">
        <f t="shared" si="2"/>
        <v>0.21295128603689475</v>
      </c>
      <c r="F122" s="47">
        <f t="shared" si="2"/>
        <v>0.015309264744698948</v>
      </c>
      <c r="G122" s="47">
        <f t="shared" si="2"/>
        <v>0.00017596856028389595</v>
      </c>
      <c r="H122" s="47">
        <f t="shared" si="2"/>
        <v>0.01384286007566648</v>
      </c>
      <c r="I122" s="47">
        <f t="shared" si="2"/>
        <v>0.0002639528404258439</v>
      </c>
      <c r="J122" s="47">
        <f t="shared" si="2"/>
        <v>0.008123881866439862</v>
      </c>
      <c r="K122" s="47">
        <f t="shared" si="2"/>
        <v>0.0027568407777810366</v>
      </c>
    </row>
    <row r="123" spans="1:11" ht="12.75">
      <c r="A123" s="44" t="s">
        <v>30</v>
      </c>
      <c r="B123" s="45">
        <v>168855</v>
      </c>
      <c r="C123" s="47">
        <f t="shared" si="2"/>
        <v>0.4289479138906162</v>
      </c>
      <c r="D123" s="47">
        <f t="shared" si="2"/>
        <v>0.05415889372538569</v>
      </c>
      <c r="E123" s="47">
        <f t="shared" si="2"/>
        <v>0.4839655325575198</v>
      </c>
      <c r="F123" s="47">
        <f t="shared" si="2"/>
        <v>0.011933315566610406</v>
      </c>
      <c r="G123" s="47">
        <f t="shared" si="2"/>
        <v>0.00026650084391933906</v>
      </c>
      <c r="H123" s="47">
        <f t="shared" si="2"/>
        <v>0.01154836990317136</v>
      </c>
      <c r="I123" s="47">
        <f t="shared" si="2"/>
        <v>0.0007698913268780907</v>
      </c>
      <c r="J123" s="47">
        <f t="shared" si="2"/>
        <v>0.004352847117349205</v>
      </c>
      <c r="K123" s="47">
        <f t="shared" si="2"/>
        <v>0.00405673506854994</v>
      </c>
    </row>
    <row r="124" spans="1:11" ht="12.75">
      <c r="A124" s="44" t="s">
        <v>31</v>
      </c>
      <c r="B124" s="45">
        <v>104115</v>
      </c>
      <c r="C124" s="47">
        <f t="shared" si="2"/>
        <v>0.18854151659222976</v>
      </c>
      <c r="D124" s="47">
        <f t="shared" si="2"/>
        <v>0.09210968640445662</v>
      </c>
      <c r="E124" s="47">
        <f t="shared" si="2"/>
        <v>0.12298900254526245</v>
      </c>
      <c r="F124" s="47">
        <f t="shared" si="2"/>
        <v>0.5426211400854823</v>
      </c>
      <c r="G124" s="47">
        <f t="shared" si="2"/>
        <v>0.001008500216107189</v>
      </c>
      <c r="H124" s="47">
        <f t="shared" si="2"/>
        <v>0.04053210392354608</v>
      </c>
      <c r="I124" s="47">
        <f t="shared" si="2"/>
        <v>0.00024011909907314027</v>
      </c>
      <c r="J124" s="47">
        <f t="shared" si="2"/>
        <v>0.008260097008116026</v>
      </c>
      <c r="K124" s="47">
        <f t="shared" si="2"/>
        <v>0.003649810305911732</v>
      </c>
    </row>
    <row r="125" spans="1:11" ht="12.75">
      <c r="A125" s="44" t="s">
        <v>32</v>
      </c>
      <c r="B125" s="45">
        <v>793000</v>
      </c>
      <c r="C125" s="47">
        <f t="shared" si="2"/>
        <v>0.6048108448928121</v>
      </c>
      <c r="D125" s="47">
        <f t="shared" si="2"/>
        <v>0.03206179066834804</v>
      </c>
      <c r="E125" s="47">
        <f t="shared" si="2"/>
        <v>0.15041614123581337</v>
      </c>
      <c r="F125" s="47">
        <f t="shared" si="2"/>
        <v>0.19562421185372006</v>
      </c>
      <c r="G125" s="47">
        <f t="shared" si="2"/>
        <v>0.0004098360655737705</v>
      </c>
      <c r="H125" s="47">
        <f t="shared" si="2"/>
        <v>0.001771752837326608</v>
      </c>
      <c r="I125" s="47">
        <f t="shared" si="2"/>
        <v>0.0002459016393442623</v>
      </c>
      <c r="J125" s="47">
        <f t="shared" si="2"/>
        <v>0.0077742749054224465</v>
      </c>
      <c r="K125" s="47">
        <f t="shared" si="2"/>
        <v>0.006878940731399748</v>
      </c>
    </row>
    <row r="126" spans="1:11" ht="12.75">
      <c r="A126" s="44" t="s">
        <v>33</v>
      </c>
      <c r="B126" s="45">
        <v>181180</v>
      </c>
      <c r="C126" s="47">
        <f t="shared" si="2"/>
        <v>0.6043989402803841</v>
      </c>
      <c r="D126" s="47">
        <f t="shared" si="2"/>
        <v>0.1723700187658682</v>
      </c>
      <c r="E126" s="47">
        <f t="shared" si="2"/>
        <v>0.1256485263274092</v>
      </c>
      <c r="F126" s="47">
        <f t="shared" si="2"/>
        <v>0.0018765868197372778</v>
      </c>
      <c r="G126" s="47">
        <f t="shared" si="2"/>
        <v>0.001959377414725687</v>
      </c>
      <c r="H126" s="47">
        <f t="shared" si="2"/>
        <v>0.0856606689480075</v>
      </c>
      <c r="I126" s="47">
        <f t="shared" si="2"/>
        <v>0.00162821503477205</v>
      </c>
      <c r="J126" s="47">
        <f t="shared" si="2"/>
        <v>0.0033392206645325093</v>
      </c>
      <c r="K126" s="47">
        <f t="shared" si="2"/>
        <v>0.0031460426095595542</v>
      </c>
    </row>
    <row r="127" spans="1:11" ht="12.75">
      <c r="A127" s="44" t="s">
        <v>34</v>
      </c>
      <c r="B127" s="45">
        <v>2054625</v>
      </c>
      <c r="C127" s="47">
        <f aca="true" t="shared" si="3" ref="C127:K142">C52/$B52</f>
        <v>0.5115507696051591</v>
      </c>
      <c r="D127" s="47">
        <f t="shared" si="3"/>
        <v>0.0390022510190424</v>
      </c>
      <c r="E127" s="47">
        <f t="shared" si="3"/>
        <v>0.11837196568716919</v>
      </c>
      <c r="F127" s="47">
        <f t="shared" si="3"/>
        <v>0.29345501003832813</v>
      </c>
      <c r="G127" s="47">
        <f t="shared" si="3"/>
        <v>0.0011802640384498387</v>
      </c>
      <c r="H127" s="47">
        <f t="shared" si="3"/>
        <v>0.009914217922978646</v>
      </c>
      <c r="I127" s="47">
        <f t="shared" si="3"/>
        <v>0.0005889152521749711</v>
      </c>
      <c r="J127" s="47">
        <f t="shared" si="3"/>
        <v>0.014374885928089068</v>
      </c>
      <c r="K127" s="47">
        <f t="shared" si="3"/>
        <v>0.011561720508608627</v>
      </c>
    </row>
    <row r="128" spans="1:11" ht="12.75">
      <c r="A128" s="44" t="s">
        <v>35</v>
      </c>
      <c r="B128" s="45">
        <v>852555</v>
      </c>
      <c r="C128" s="47">
        <f t="shared" si="3"/>
        <v>0.18642199037012275</v>
      </c>
      <c r="D128" s="47">
        <f t="shared" si="3"/>
        <v>0.13517016497469372</v>
      </c>
      <c r="E128" s="47">
        <f t="shared" si="3"/>
        <v>0.48246154207059955</v>
      </c>
      <c r="F128" s="47">
        <f t="shared" si="3"/>
        <v>0.16013043146776454</v>
      </c>
      <c r="G128" s="47">
        <f t="shared" si="3"/>
        <v>0.0002111300737195841</v>
      </c>
      <c r="H128" s="47">
        <f t="shared" si="3"/>
        <v>0.02857293664338371</v>
      </c>
      <c r="I128" s="47">
        <f t="shared" si="3"/>
        <v>0.0003988012503592144</v>
      </c>
      <c r="J128" s="47">
        <f t="shared" si="3"/>
        <v>0.003008603550504073</v>
      </c>
      <c r="K128" s="47">
        <f t="shared" si="3"/>
        <v>0.0036302643231228486</v>
      </c>
    </row>
    <row r="129" spans="1:11" ht="12.75">
      <c r="A129" s="44" t="s">
        <v>36</v>
      </c>
      <c r="B129" s="45">
        <v>65825</v>
      </c>
      <c r="C129" s="47">
        <f t="shared" si="3"/>
        <v>0.3407519939232814</v>
      </c>
      <c r="D129" s="47">
        <f t="shared" si="3"/>
        <v>0.16984428408659324</v>
      </c>
      <c r="E129" s="47">
        <f t="shared" si="3"/>
        <v>0.33657424990505125</v>
      </c>
      <c r="F129" s="47">
        <f t="shared" si="3"/>
        <v>0.10338017470565894</v>
      </c>
      <c r="G129" s="47">
        <f t="shared" si="3"/>
        <v>0.0094948727687049</v>
      </c>
      <c r="H129" s="47">
        <f t="shared" si="3"/>
        <v>0.0056209646790733</v>
      </c>
      <c r="I129" s="47">
        <f t="shared" si="3"/>
        <v>0.0003038359285985568</v>
      </c>
      <c r="J129" s="47">
        <f t="shared" si="3"/>
        <v>0.023015571591340676</v>
      </c>
      <c r="K129" s="47">
        <f t="shared" si="3"/>
        <v>0.011090011393847323</v>
      </c>
    </row>
    <row r="130" spans="1:11" ht="12.75">
      <c r="A130" s="44" t="s">
        <v>37</v>
      </c>
      <c r="B130" s="45">
        <v>1195015</v>
      </c>
      <c r="C130" s="47">
        <f t="shared" si="3"/>
        <v>0.6553725267046857</v>
      </c>
      <c r="D130" s="47">
        <f t="shared" si="3"/>
        <v>0.057827726011807384</v>
      </c>
      <c r="E130" s="47">
        <f t="shared" si="3"/>
        <v>0.2143027493378744</v>
      </c>
      <c r="F130" s="47">
        <f t="shared" si="3"/>
        <v>0.04456429417203968</v>
      </c>
      <c r="G130" s="47">
        <f t="shared" si="3"/>
        <v>0.0012803186570879864</v>
      </c>
      <c r="H130" s="47">
        <f t="shared" si="3"/>
        <v>0.011903616272599088</v>
      </c>
      <c r="I130" s="47">
        <f t="shared" si="3"/>
        <v>0.0002468588260398405</v>
      </c>
      <c r="J130" s="47">
        <f t="shared" si="3"/>
        <v>0.00986598494579566</v>
      </c>
      <c r="K130" s="47">
        <f t="shared" si="3"/>
        <v>0.004635925072070225</v>
      </c>
    </row>
    <row r="131" spans="1:11" ht="12.75">
      <c r="A131" s="44" t="s">
        <v>38</v>
      </c>
      <c r="B131" s="45">
        <v>369600</v>
      </c>
      <c r="C131" s="47">
        <f t="shared" si="3"/>
        <v>0.5617018398268399</v>
      </c>
      <c r="D131" s="47">
        <f t="shared" si="3"/>
        <v>0.12842261904761904</v>
      </c>
      <c r="E131" s="47">
        <f t="shared" si="3"/>
        <v>0.2786796536796537</v>
      </c>
      <c r="F131" s="47">
        <f t="shared" si="3"/>
        <v>0.001204004329004329</v>
      </c>
      <c r="G131" s="47">
        <f t="shared" si="3"/>
        <v>2.7056277056277056E-05</v>
      </c>
      <c r="H131" s="47">
        <f t="shared" si="3"/>
        <v>0.023065476190476192</v>
      </c>
      <c r="I131" s="47">
        <f t="shared" si="3"/>
        <v>0.00020292207792207794</v>
      </c>
      <c r="J131" s="47">
        <f t="shared" si="3"/>
        <v>0.003841991341991342</v>
      </c>
      <c r="K131" s="47">
        <f t="shared" si="3"/>
        <v>0.0028544372294372292</v>
      </c>
    </row>
    <row r="132" spans="1:11" ht="12.75">
      <c r="A132" s="44" t="s">
        <v>39</v>
      </c>
      <c r="B132" s="45">
        <v>350335</v>
      </c>
      <c r="C132" s="47">
        <f t="shared" si="3"/>
        <v>0.22388570939243865</v>
      </c>
      <c r="D132" s="47">
        <f t="shared" si="3"/>
        <v>0.022949462657170995</v>
      </c>
      <c r="E132" s="47">
        <f t="shared" si="3"/>
        <v>0.6095451496424851</v>
      </c>
      <c r="F132" s="47">
        <f t="shared" si="3"/>
        <v>0.05474759872693279</v>
      </c>
      <c r="G132" s="47">
        <f t="shared" si="3"/>
        <v>0.00012844848502147944</v>
      </c>
      <c r="H132" s="47">
        <f t="shared" si="3"/>
        <v>0.0771119071745615</v>
      </c>
      <c r="I132" s="47">
        <f t="shared" si="3"/>
        <v>0.00031398518560806085</v>
      </c>
      <c r="J132" s="47">
        <f t="shared" si="3"/>
        <v>0.007992350179114276</v>
      </c>
      <c r="K132" s="47">
        <f t="shared" si="3"/>
        <v>0.00332538855666719</v>
      </c>
    </row>
    <row r="133" spans="1:11" ht="12.75">
      <c r="A133" s="44" t="s">
        <v>40</v>
      </c>
      <c r="B133" s="45">
        <v>1347235</v>
      </c>
      <c r="C133" s="47">
        <f t="shared" si="3"/>
        <v>0.5323570126963745</v>
      </c>
      <c r="D133" s="47">
        <f t="shared" si="3"/>
        <v>0.03130485772712259</v>
      </c>
      <c r="E133" s="47">
        <f t="shared" si="3"/>
        <v>0.15910735691991376</v>
      </c>
      <c r="F133" s="47">
        <f t="shared" si="3"/>
        <v>0.23842536751197824</v>
      </c>
      <c r="G133" s="47">
        <f t="shared" si="3"/>
        <v>0.013883992028116847</v>
      </c>
      <c r="H133" s="47">
        <f t="shared" si="3"/>
        <v>0.014867487854754367</v>
      </c>
      <c r="I133" s="47">
        <f t="shared" si="3"/>
        <v>0.00017072003028424884</v>
      </c>
      <c r="J133" s="47">
        <f t="shared" si="3"/>
        <v>0.0060308706350413995</v>
      </c>
      <c r="K133" s="47">
        <f t="shared" si="3"/>
        <v>0.003856045901420316</v>
      </c>
    </row>
    <row r="134" spans="1:11" ht="12.75">
      <c r="A134" s="44" t="s">
        <v>41</v>
      </c>
      <c r="B134" s="45">
        <v>130110</v>
      </c>
      <c r="C134" s="47">
        <f t="shared" si="3"/>
        <v>0.518138498193836</v>
      </c>
      <c r="D134" s="47">
        <f t="shared" si="3"/>
        <v>0.032472523249558065</v>
      </c>
      <c r="E134" s="47">
        <f t="shared" si="3"/>
        <v>0.11159787871800785</v>
      </c>
      <c r="F134" s="47">
        <f t="shared" si="3"/>
        <v>0.32441780032280376</v>
      </c>
      <c r="G134" s="47">
        <f t="shared" si="3"/>
        <v>0.0006148643455537622</v>
      </c>
      <c r="H134" s="47">
        <f t="shared" si="3"/>
        <v>0.0040350472676965645</v>
      </c>
      <c r="I134" s="47">
        <f t="shared" si="3"/>
        <v>0.0001921451079855507</v>
      </c>
      <c r="J134" s="47">
        <f t="shared" si="3"/>
        <v>0.004496195526861886</v>
      </c>
      <c r="K134" s="47">
        <f t="shared" si="3"/>
        <v>0.0040350472676965645</v>
      </c>
    </row>
    <row r="135" spans="1:11" ht="12.75">
      <c r="A135" s="44" t="s">
        <v>42</v>
      </c>
      <c r="B135" s="45">
        <v>438445</v>
      </c>
      <c r="C135" s="47">
        <f t="shared" si="3"/>
        <v>0.23837653525527716</v>
      </c>
      <c r="D135" s="47">
        <f t="shared" si="3"/>
        <v>0.11198668019934085</v>
      </c>
      <c r="E135" s="47">
        <f t="shared" si="3"/>
        <v>0.5425081823261755</v>
      </c>
      <c r="F135" s="47">
        <f t="shared" si="3"/>
        <v>0.08182326175461004</v>
      </c>
      <c r="G135" s="47">
        <f t="shared" si="3"/>
        <v>0.00017105908380754713</v>
      </c>
      <c r="H135" s="47">
        <f t="shared" si="3"/>
        <v>0.018348937723089556</v>
      </c>
      <c r="I135" s="47">
        <f t="shared" si="3"/>
        <v>0.00039913786221760996</v>
      </c>
      <c r="J135" s="47">
        <f t="shared" si="3"/>
        <v>0.0021325365781340875</v>
      </c>
      <c r="K135" s="47">
        <f t="shared" si="3"/>
        <v>0.004253669217347672</v>
      </c>
    </row>
    <row r="136" spans="1:11" ht="12.75">
      <c r="A136" s="44" t="s">
        <v>43</v>
      </c>
      <c r="B136" s="45">
        <v>74065</v>
      </c>
      <c r="C136" s="47">
        <f t="shared" si="3"/>
        <v>0.3557685816512523</v>
      </c>
      <c r="D136" s="47">
        <f t="shared" si="3"/>
        <v>0.2594342806993857</v>
      </c>
      <c r="E136" s="47">
        <f t="shared" si="3"/>
        <v>0.26274218591777493</v>
      </c>
      <c r="F136" s="47">
        <f t="shared" si="3"/>
        <v>0.0788496590832377</v>
      </c>
      <c r="G136" s="47">
        <f t="shared" si="3"/>
        <v>0.0016877067440761494</v>
      </c>
      <c r="H136" s="47">
        <f t="shared" si="3"/>
        <v>0.02031998919867684</v>
      </c>
      <c r="I136" s="47">
        <f t="shared" si="3"/>
        <v>0.00040504961857827583</v>
      </c>
      <c r="J136" s="47">
        <f t="shared" si="3"/>
        <v>0.013636670492135287</v>
      </c>
      <c r="K136" s="47">
        <f t="shared" si="3"/>
        <v>0.007223384864645919</v>
      </c>
    </row>
    <row r="137" spans="1:11" ht="12.75">
      <c r="A137" s="44" t="s">
        <v>44</v>
      </c>
      <c r="B137" s="45">
        <v>618095</v>
      </c>
      <c r="C137" s="47">
        <f t="shared" si="3"/>
        <v>0.2923903283475841</v>
      </c>
      <c r="D137" s="47">
        <f t="shared" si="3"/>
        <v>0.0769622792612786</v>
      </c>
      <c r="E137" s="47">
        <f t="shared" si="3"/>
        <v>0.5544778715246038</v>
      </c>
      <c r="F137" s="47">
        <f t="shared" si="3"/>
        <v>0.03172651453255568</v>
      </c>
      <c r="G137" s="47">
        <f t="shared" si="3"/>
        <v>0.002645224439608798</v>
      </c>
      <c r="H137" s="47">
        <f t="shared" si="3"/>
        <v>0.03620802627427822</v>
      </c>
      <c r="I137" s="47">
        <f t="shared" si="3"/>
        <v>0.00019414491299881087</v>
      </c>
      <c r="J137" s="47">
        <f t="shared" si="3"/>
        <v>0.0017796617024890995</v>
      </c>
      <c r="K137" s="47">
        <f t="shared" si="3"/>
        <v>0.003615949004602852</v>
      </c>
    </row>
    <row r="138" spans="1:11" ht="12.75">
      <c r="A138" s="44" t="s">
        <v>45</v>
      </c>
      <c r="B138" s="45">
        <v>1983080</v>
      </c>
      <c r="C138" s="47">
        <f t="shared" si="3"/>
        <v>0.41446890695282085</v>
      </c>
      <c r="D138" s="47">
        <f t="shared" si="3"/>
        <v>0.0856672448917845</v>
      </c>
      <c r="E138" s="47">
        <f t="shared" si="3"/>
        <v>0.48240111341952924</v>
      </c>
      <c r="F138" s="47">
        <f t="shared" si="3"/>
        <v>0.0011018214091211651</v>
      </c>
      <c r="G138" s="47">
        <f t="shared" si="3"/>
        <v>9.076789640357423E-05</v>
      </c>
      <c r="H138" s="47">
        <f t="shared" si="3"/>
        <v>0.005486415071504932</v>
      </c>
      <c r="I138" s="47">
        <f t="shared" si="3"/>
        <v>0.0004261048470056679</v>
      </c>
      <c r="J138" s="47">
        <f t="shared" si="3"/>
        <v>0.002158258870040543</v>
      </c>
      <c r="K138" s="47">
        <f t="shared" si="3"/>
        <v>0.00819936664178954</v>
      </c>
    </row>
    <row r="139" spans="1:11" ht="12.75">
      <c r="A139" s="44" t="s">
        <v>46</v>
      </c>
      <c r="B139" s="45">
        <v>150515</v>
      </c>
      <c r="C139" s="47">
        <f t="shared" si="3"/>
        <v>0.7634455037703883</v>
      </c>
      <c r="D139" s="47">
        <f t="shared" si="3"/>
        <v>0.043118626050559744</v>
      </c>
      <c r="E139" s="47">
        <f t="shared" si="3"/>
        <v>0.15211108527389297</v>
      </c>
      <c r="F139" s="47">
        <f t="shared" si="3"/>
        <v>0.008703451483240874</v>
      </c>
      <c r="G139" s="47">
        <f t="shared" si="3"/>
        <v>0.005979470484669302</v>
      </c>
      <c r="H139" s="47">
        <f t="shared" si="3"/>
        <v>0.019067866990000997</v>
      </c>
      <c r="I139" s="47">
        <f t="shared" si="3"/>
        <v>0.00046506992658539015</v>
      </c>
      <c r="J139" s="47">
        <f t="shared" si="3"/>
        <v>0.004949672790087367</v>
      </c>
      <c r="K139" s="47">
        <f t="shared" si="3"/>
        <v>0.002159253230575026</v>
      </c>
    </row>
    <row r="140" spans="1:11" ht="12.75">
      <c r="A140" s="44" t="s">
        <v>47</v>
      </c>
      <c r="B140" s="45">
        <v>57175</v>
      </c>
      <c r="C140" s="47">
        <f t="shared" si="3"/>
        <v>0.10660253607345868</v>
      </c>
      <c r="D140" s="47">
        <f t="shared" si="3"/>
        <v>0.1410581547879318</v>
      </c>
      <c r="E140" s="47">
        <f t="shared" si="3"/>
        <v>0.08832531700918234</v>
      </c>
      <c r="F140" s="47">
        <f t="shared" si="3"/>
        <v>0.5705290773939659</v>
      </c>
      <c r="G140" s="47">
        <f t="shared" si="3"/>
        <v>0.0016615653694796676</v>
      </c>
      <c r="H140" s="47">
        <f t="shared" si="3"/>
        <v>0.08386532575426323</v>
      </c>
      <c r="I140" s="47">
        <f t="shared" si="3"/>
        <v>0.00034980323567993004</v>
      </c>
      <c r="J140" s="47">
        <f t="shared" si="3"/>
        <v>0.004110188019239178</v>
      </c>
      <c r="K140" s="47">
        <f t="shared" si="3"/>
        <v>0.003410581547879318</v>
      </c>
    </row>
    <row r="141" spans="1:11" ht="12.75">
      <c r="A141" s="44" t="s">
        <v>48</v>
      </c>
      <c r="B141" s="45">
        <v>656520</v>
      </c>
      <c r="C141" s="47">
        <f t="shared" si="3"/>
        <v>0.25492749649667945</v>
      </c>
      <c r="D141" s="47">
        <f t="shared" si="3"/>
        <v>0.05692895875220862</v>
      </c>
      <c r="E141" s="47">
        <f t="shared" si="3"/>
        <v>0.45012337781027234</v>
      </c>
      <c r="F141" s="47">
        <f t="shared" si="3"/>
        <v>0.18085511484798636</v>
      </c>
      <c r="G141" s="47">
        <f t="shared" si="3"/>
        <v>0.005209285322610126</v>
      </c>
      <c r="H141" s="47">
        <f t="shared" si="3"/>
        <v>0.04286998111253275</v>
      </c>
      <c r="I141" s="47">
        <f t="shared" si="3"/>
        <v>0.00033510022543106077</v>
      </c>
      <c r="J141" s="47">
        <f t="shared" si="3"/>
        <v>0.004409614330104185</v>
      </c>
      <c r="K141" s="47">
        <f t="shared" si="3"/>
        <v>0.004341071102175105</v>
      </c>
    </row>
    <row r="142" spans="1:11" ht="12.75">
      <c r="A142" s="44" t="s">
        <v>49</v>
      </c>
      <c r="B142" s="45">
        <v>551230</v>
      </c>
      <c r="C142" s="47">
        <f t="shared" si="3"/>
        <v>0.19961721967236906</v>
      </c>
      <c r="D142" s="47">
        <f t="shared" si="3"/>
        <v>0.026313879868657367</v>
      </c>
      <c r="E142" s="47">
        <f t="shared" si="3"/>
        <v>0.6643687752843641</v>
      </c>
      <c r="F142" s="47">
        <f t="shared" si="3"/>
        <v>0.04531683689204143</v>
      </c>
      <c r="G142" s="47">
        <f t="shared" si="3"/>
        <v>0.0003356130834678809</v>
      </c>
      <c r="H142" s="47">
        <f t="shared" si="3"/>
        <v>0.05256426537017216</v>
      </c>
      <c r="I142" s="47">
        <f t="shared" si="3"/>
        <v>0.000154200605917675</v>
      </c>
      <c r="J142" s="47">
        <f t="shared" si="3"/>
        <v>0.00767374780037371</v>
      </c>
      <c r="K142" s="47">
        <f t="shared" si="3"/>
        <v>0.003655461422636649</v>
      </c>
    </row>
    <row r="143" spans="1:11" ht="12.75">
      <c r="A143" s="44" t="s">
        <v>50</v>
      </c>
      <c r="B143" s="45">
        <v>232685</v>
      </c>
      <c r="C143" s="47">
        <f aca="true" t="shared" si="4" ref="C143:K145">C68/$B68</f>
        <v>0.4383608741431549</v>
      </c>
      <c r="D143" s="47">
        <f t="shared" si="4"/>
        <v>0.05960848357221136</v>
      </c>
      <c r="E143" s="47">
        <f t="shared" si="4"/>
        <v>0.3307475771966392</v>
      </c>
      <c r="F143" s="47">
        <f t="shared" si="4"/>
        <v>0.0754883211208286</v>
      </c>
      <c r="G143" s="47">
        <f t="shared" si="4"/>
        <v>0.01925349721726798</v>
      </c>
      <c r="H143" s="47">
        <f t="shared" si="4"/>
        <v>0.06770956443260201</v>
      </c>
      <c r="I143" s="47">
        <f t="shared" si="4"/>
        <v>8.595311257708919E-05</v>
      </c>
      <c r="J143" s="47">
        <f t="shared" si="4"/>
        <v>0.006489459999570234</v>
      </c>
      <c r="K143" s="47">
        <f t="shared" si="4"/>
        <v>0.002299245761437136</v>
      </c>
    </row>
    <row r="144" spans="1:11" ht="12.75">
      <c r="A144" s="44" t="s">
        <v>51</v>
      </c>
      <c r="B144" s="45">
        <v>499735</v>
      </c>
      <c r="C144" s="47">
        <f t="shared" si="4"/>
        <v>0.5895124415940448</v>
      </c>
      <c r="D144" s="47">
        <f t="shared" si="4"/>
        <v>0.1074369415790369</v>
      </c>
      <c r="E144" s="47">
        <f t="shared" si="4"/>
        <v>0.17829449608292394</v>
      </c>
      <c r="F144" s="47">
        <f t="shared" si="4"/>
        <v>0.07920197704783535</v>
      </c>
      <c r="G144" s="47">
        <f t="shared" si="4"/>
        <v>0.00031016438712517635</v>
      </c>
      <c r="H144" s="47">
        <f t="shared" si="4"/>
        <v>0.030025913734279167</v>
      </c>
      <c r="I144" s="47">
        <f t="shared" si="4"/>
        <v>0.0002001060562097912</v>
      </c>
      <c r="J144" s="47">
        <f t="shared" si="4"/>
        <v>0.010235424775130819</v>
      </c>
      <c r="K144" s="47">
        <f t="shared" si="4"/>
        <v>0.00478253474341401</v>
      </c>
    </row>
    <row r="145" spans="1:11" ht="12.75">
      <c r="A145" s="44" t="s">
        <v>52</v>
      </c>
      <c r="B145" s="45">
        <v>48345</v>
      </c>
      <c r="C145" s="47">
        <f t="shared" si="4"/>
        <v>0.6087496121625815</v>
      </c>
      <c r="D145" s="47">
        <f t="shared" si="4"/>
        <v>0.11055952011583411</v>
      </c>
      <c r="E145" s="47">
        <f t="shared" si="4"/>
        <v>0.21884372737615057</v>
      </c>
      <c r="F145" s="47">
        <f t="shared" si="4"/>
        <v>0.0026890061019753855</v>
      </c>
      <c r="G145" s="47">
        <f t="shared" si="4"/>
        <v>0.007032785189781777</v>
      </c>
      <c r="H145" s="47">
        <f t="shared" si="4"/>
        <v>0.03837004860895646</v>
      </c>
      <c r="I145" s="47">
        <f t="shared" si="4"/>
        <v>0.00031026993484331366</v>
      </c>
      <c r="J145" s="47">
        <f t="shared" si="4"/>
        <v>0.010032061226600476</v>
      </c>
      <c r="K145" s="47">
        <f t="shared" si="4"/>
        <v>0.0034129692832764505</v>
      </c>
    </row>
    <row r="146" spans="1:11" ht="12.75">
      <c r="A146" s="44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ht="12.75">
      <c r="A147" s="106" t="s">
        <v>99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1:11" ht="12.75" customHeight="1">
      <c r="A148" s="107" t="s">
        <v>100</v>
      </c>
      <c r="B148" s="108"/>
      <c r="C148" s="108"/>
      <c r="D148" s="108"/>
      <c r="E148" s="108"/>
      <c r="F148" s="108"/>
      <c r="G148" s="108"/>
      <c r="H148" s="108"/>
      <c r="I148" s="108"/>
      <c r="J148" s="105"/>
      <c r="K148" s="105"/>
    </row>
    <row r="149" spans="1:11" ht="39" customHeight="1">
      <c r="A149" s="107" t="s">
        <v>101</v>
      </c>
      <c r="B149" s="108"/>
      <c r="C149" s="108"/>
      <c r="D149" s="108"/>
      <c r="E149" s="108"/>
      <c r="F149" s="108"/>
      <c r="G149" s="108"/>
      <c r="H149" s="108"/>
      <c r="I149" s="108"/>
      <c r="J149" s="105"/>
      <c r="K149" s="105"/>
    </row>
    <row r="150" spans="1:11" ht="12.75">
      <c r="A150" s="106" t="s">
        <v>102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</row>
  </sheetData>
  <sheetProtection password="E68A" sheet="1" objects="1" scenarios="1"/>
  <mergeCells count="16">
    <mergeCell ref="A1:K1"/>
    <mergeCell ref="A2:A3"/>
    <mergeCell ref="B2:B3"/>
    <mergeCell ref="C2:K2"/>
    <mergeCell ref="A72:K72"/>
    <mergeCell ref="A73:K73"/>
    <mergeCell ref="A74:K74"/>
    <mergeCell ref="A75:K75"/>
    <mergeCell ref="A76:K76"/>
    <mergeCell ref="A77:A78"/>
    <mergeCell ref="B77:B78"/>
    <mergeCell ref="C77:K77"/>
    <mergeCell ref="A147:K147"/>
    <mergeCell ref="A148:K148"/>
    <mergeCell ref="A149:K149"/>
    <mergeCell ref="A150:K15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2.8515625" style="79" customWidth="1"/>
    <col min="2" max="2" width="13.57421875" style="77" customWidth="1"/>
    <col min="3" max="3" width="12.57421875" style="77" bestFit="1" customWidth="1"/>
    <col min="4" max="4" width="15.00390625" style="77" bestFit="1" customWidth="1"/>
    <col min="5" max="5" width="13.57421875" style="77" customWidth="1"/>
    <col min="6" max="6" width="12.57421875" style="77" bestFit="1" customWidth="1"/>
    <col min="7" max="7" width="15.00390625" style="77" bestFit="1" customWidth="1"/>
    <col min="8" max="8" width="14.00390625" style="77" bestFit="1" customWidth="1"/>
    <col min="9" max="9" width="12.57421875" style="77" bestFit="1" customWidth="1"/>
    <col min="10" max="10" width="15.00390625" style="77" bestFit="1" customWidth="1"/>
    <col min="11" max="11" width="14.00390625" style="77" bestFit="1" customWidth="1"/>
    <col min="12" max="12" width="12.57421875" style="77" bestFit="1" customWidth="1"/>
    <col min="13" max="13" width="15.00390625" style="77" bestFit="1" customWidth="1"/>
    <col min="14" max="19" width="15.00390625" style="77" customWidth="1"/>
    <col min="20" max="20" width="3.8515625" style="77" customWidth="1"/>
    <col min="21" max="21" width="14.00390625" style="77" bestFit="1" customWidth="1"/>
    <col min="22" max="22" width="12.57421875" style="77" bestFit="1" customWidth="1"/>
    <col min="23" max="23" width="15.00390625" style="77" bestFit="1" customWidth="1"/>
    <col min="24" max="24" width="14.421875" style="77" bestFit="1" customWidth="1"/>
    <col min="25" max="25" width="13.28125" style="77" customWidth="1"/>
    <col min="26" max="16384" width="22.28125" style="77" customWidth="1"/>
  </cols>
  <sheetData>
    <row r="1" spans="1:25" s="50" customFormat="1" ht="12.75">
      <c r="A1" s="49" t="s">
        <v>104</v>
      </c>
      <c r="X1" s="50" t="s">
        <v>105</v>
      </c>
      <c r="Y1" s="51">
        <v>38991</v>
      </c>
    </row>
    <row r="2" spans="1:25" s="50" customFormat="1" ht="12.75">
      <c r="A2" s="49" t="s">
        <v>106</v>
      </c>
      <c r="B2" s="52" t="s">
        <v>107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0" t="s">
        <v>108</v>
      </c>
      <c r="Y2" s="51">
        <v>39172</v>
      </c>
    </row>
    <row r="3" spans="1:25" s="50" customFormat="1" ht="12.75">
      <c r="A3" s="49"/>
      <c r="B3" s="54"/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0" t="s">
        <v>109</v>
      </c>
      <c r="Y3" s="56">
        <f>Y2-Y1+1</f>
        <v>182</v>
      </c>
    </row>
    <row r="4" spans="1:26" s="50" customFormat="1" ht="12.75" customHeight="1">
      <c r="A4" s="57"/>
      <c r="B4" s="124">
        <v>38991</v>
      </c>
      <c r="C4" s="119"/>
      <c r="D4" s="120"/>
      <c r="E4" s="124">
        <v>39022</v>
      </c>
      <c r="F4" s="119"/>
      <c r="G4" s="120"/>
      <c r="H4" s="124">
        <v>39052</v>
      </c>
      <c r="I4" s="119"/>
      <c r="J4" s="120"/>
      <c r="K4" s="118" t="s">
        <v>110</v>
      </c>
      <c r="L4" s="119"/>
      <c r="M4" s="120"/>
      <c r="N4" s="118" t="s">
        <v>111</v>
      </c>
      <c r="O4" s="119"/>
      <c r="P4" s="120"/>
      <c r="Q4" s="118" t="s">
        <v>112</v>
      </c>
      <c r="R4" s="119"/>
      <c r="S4" s="120"/>
      <c r="T4" s="58"/>
      <c r="U4" s="121" t="s">
        <v>113</v>
      </c>
      <c r="V4" s="118"/>
      <c r="W4" s="118"/>
      <c r="X4" s="122"/>
      <c r="Y4" s="59"/>
      <c r="Z4" s="59"/>
    </row>
    <row r="5" spans="1:26" s="50" customFormat="1" ht="12.75">
      <c r="A5" s="57"/>
      <c r="B5" s="54"/>
      <c r="C5" s="54"/>
      <c r="D5" s="55"/>
      <c r="E5" s="54"/>
      <c r="F5" s="54"/>
      <c r="G5" s="55"/>
      <c r="H5" s="54"/>
      <c r="I5" s="54"/>
      <c r="J5" s="55"/>
      <c r="K5" s="54"/>
      <c r="L5" s="54"/>
      <c r="M5" s="55"/>
      <c r="N5" s="54"/>
      <c r="O5" s="54"/>
      <c r="P5" s="55"/>
      <c r="Q5" s="54"/>
      <c r="R5" s="54"/>
      <c r="S5" s="55"/>
      <c r="T5" s="54"/>
      <c r="U5" s="123" t="s">
        <v>114</v>
      </c>
      <c r="V5" s="119"/>
      <c r="W5" s="119"/>
      <c r="X5" s="120"/>
      <c r="Y5" s="59"/>
      <c r="Z5" s="59"/>
    </row>
    <row r="6" spans="1:24" s="57" customFormat="1" ht="25.5">
      <c r="A6" s="60" t="s">
        <v>115</v>
      </c>
      <c r="B6" s="61" t="s">
        <v>116</v>
      </c>
      <c r="C6" s="61" t="s">
        <v>117</v>
      </c>
      <c r="D6" s="62" t="s">
        <v>118</v>
      </c>
      <c r="E6" s="61" t="s">
        <v>116</v>
      </c>
      <c r="F6" s="61" t="s">
        <v>117</v>
      </c>
      <c r="G6" s="62" t="s">
        <v>118</v>
      </c>
      <c r="H6" s="61" t="s">
        <v>116</v>
      </c>
      <c r="I6" s="61" t="s">
        <v>117</v>
      </c>
      <c r="J6" s="62" t="s">
        <v>118</v>
      </c>
      <c r="K6" s="61" t="s">
        <v>116</v>
      </c>
      <c r="L6" s="61" t="s">
        <v>117</v>
      </c>
      <c r="M6" s="62" t="s">
        <v>118</v>
      </c>
      <c r="N6" s="61" t="s">
        <v>116</v>
      </c>
      <c r="O6" s="61" t="s">
        <v>117</v>
      </c>
      <c r="P6" s="62" t="s">
        <v>118</v>
      </c>
      <c r="Q6" s="61" t="s">
        <v>116</v>
      </c>
      <c r="R6" s="61" t="s">
        <v>117</v>
      </c>
      <c r="S6" s="62" t="s">
        <v>118</v>
      </c>
      <c r="T6" s="61"/>
      <c r="U6" s="63" t="s">
        <v>116</v>
      </c>
      <c r="V6" s="61" t="s">
        <v>117</v>
      </c>
      <c r="W6" s="61" t="s">
        <v>118</v>
      </c>
      <c r="X6" s="64" t="s">
        <v>119</v>
      </c>
    </row>
    <row r="7" spans="1:24" s="50" customFormat="1" ht="12.75">
      <c r="A7" s="57" t="s">
        <v>120</v>
      </c>
      <c r="B7" s="65">
        <v>168</v>
      </c>
      <c r="C7" s="65">
        <v>15</v>
      </c>
      <c r="D7" s="66">
        <f>C7/(B7-C7)</f>
        <v>0.09803921568627451</v>
      </c>
      <c r="E7" s="65">
        <v>368</v>
      </c>
      <c r="F7" s="65">
        <v>10</v>
      </c>
      <c r="G7" s="66">
        <f aca="true" t="shared" si="0" ref="G7:G17">F7/(E7-F7)</f>
        <v>0.027932960893854747</v>
      </c>
      <c r="H7" s="65">
        <v>488</v>
      </c>
      <c r="I7" s="65">
        <v>-103</v>
      </c>
      <c r="J7" s="66">
        <f aca="true" t="shared" si="1" ref="J7:J17">I7/(H7-I7)</f>
        <v>-0.17428087986463622</v>
      </c>
      <c r="K7" s="65">
        <v>572</v>
      </c>
      <c r="L7" s="65">
        <v>-108</v>
      </c>
      <c r="M7" s="66">
        <f aca="true" t="shared" si="2" ref="M7:M17">L7/(K7-L7)</f>
        <v>-0.1588235294117647</v>
      </c>
      <c r="N7" s="65">
        <v>577</v>
      </c>
      <c r="O7" s="65">
        <v>74</v>
      </c>
      <c r="P7" s="66">
        <f aca="true" t="shared" si="3" ref="P7:P17">O7/(N7-O7)</f>
        <v>0.147117296222664</v>
      </c>
      <c r="Q7" s="65">
        <v>221</v>
      </c>
      <c r="R7" s="65">
        <v>-125</v>
      </c>
      <c r="S7" s="66">
        <f aca="true" t="shared" si="4" ref="S7:S17">R7/(Q7-R7)</f>
        <v>-0.36127167630057805</v>
      </c>
      <c r="T7" s="67"/>
      <c r="U7" s="68">
        <f aca="true" t="shared" si="5" ref="U7:V26">SUMIF($B$6:$T$6,U$6,$B7:$T7)</f>
        <v>2394</v>
      </c>
      <c r="V7" s="65">
        <f t="shared" si="5"/>
        <v>-237</v>
      </c>
      <c r="W7" s="67">
        <f aca="true" t="shared" si="6" ref="W7:W17">V7/(U7-V7)</f>
        <v>-0.09007981755986318</v>
      </c>
      <c r="X7" s="69">
        <f>65-U7/$Y$3</f>
        <v>51.84615384615385</v>
      </c>
    </row>
    <row r="8" spans="1:24" s="50" customFormat="1" ht="12.75">
      <c r="A8" s="57" t="s">
        <v>121</v>
      </c>
      <c r="B8" s="65">
        <v>829</v>
      </c>
      <c r="C8" s="65">
        <v>-170</v>
      </c>
      <c r="D8" s="66">
        <v>0</v>
      </c>
      <c r="E8" s="65">
        <v>1649</v>
      </c>
      <c r="F8" s="65">
        <v>285</v>
      </c>
      <c r="G8" s="66">
        <f t="shared" si="0"/>
        <v>0.2089442815249267</v>
      </c>
      <c r="H8" s="65">
        <v>1461</v>
      </c>
      <c r="I8" s="65">
        <v>-112</v>
      </c>
      <c r="J8" s="66">
        <f t="shared" si="1"/>
        <v>-0.0712015257469803</v>
      </c>
      <c r="K8" s="65">
        <v>1593</v>
      </c>
      <c r="L8" s="65">
        <v>-50</v>
      </c>
      <c r="M8" s="66">
        <f t="shared" si="2"/>
        <v>-0.030432136335970784</v>
      </c>
      <c r="N8" s="65">
        <v>1413</v>
      </c>
      <c r="O8" s="65">
        <v>15</v>
      </c>
      <c r="P8" s="66">
        <f t="shared" si="3"/>
        <v>0.01072961373390558</v>
      </c>
      <c r="Q8" s="65">
        <v>1656</v>
      </c>
      <c r="R8" s="65">
        <v>349</v>
      </c>
      <c r="S8" s="66">
        <f t="shared" si="4"/>
        <v>0.26702371843917366</v>
      </c>
      <c r="T8" s="67"/>
      <c r="U8" s="68">
        <f t="shared" si="5"/>
        <v>8601</v>
      </c>
      <c r="V8" s="65">
        <f t="shared" si="5"/>
        <v>317</v>
      </c>
      <c r="W8" s="67">
        <f t="shared" si="6"/>
        <v>0.038266537904394014</v>
      </c>
      <c r="X8" s="69">
        <f aca="true" t="shared" si="7" ref="X8:X57">65-U8/$Y$3</f>
        <v>17.74175824175824</v>
      </c>
    </row>
    <row r="9" spans="1:24" s="50" customFormat="1" ht="12.75">
      <c r="A9" s="57" t="s">
        <v>122</v>
      </c>
      <c r="B9" s="65">
        <v>44</v>
      </c>
      <c r="C9" s="65">
        <v>-32</v>
      </c>
      <c r="D9" s="66">
        <f aca="true" t="shared" si="8" ref="D9:D17">C9/(B9-C9)</f>
        <v>-0.42105263157894735</v>
      </c>
      <c r="E9" s="65">
        <v>183</v>
      </c>
      <c r="F9" s="65">
        <v>-107</v>
      </c>
      <c r="G9" s="66">
        <f t="shared" si="0"/>
        <v>-0.3689655172413793</v>
      </c>
      <c r="H9" s="65">
        <v>538</v>
      </c>
      <c r="I9" s="65">
        <v>48</v>
      </c>
      <c r="J9" s="66">
        <f t="shared" si="1"/>
        <v>0.09795918367346938</v>
      </c>
      <c r="K9" s="65">
        <v>589</v>
      </c>
      <c r="L9" s="65">
        <v>97</v>
      </c>
      <c r="M9" s="66">
        <f t="shared" si="2"/>
        <v>0.19715447154471544</v>
      </c>
      <c r="N9" s="65">
        <v>339</v>
      </c>
      <c r="O9" s="65">
        <v>-10</v>
      </c>
      <c r="P9" s="66">
        <f t="shared" si="3"/>
        <v>-0.02865329512893983</v>
      </c>
      <c r="Q9" s="65">
        <v>163</v>
      </c>
      <c r="R9" s="65">
        <v>-112</v>
      </c>
      <c r="S9" s="66">
        <f t="shared" si="4"/>
        <v>-0.4072727272727273</v>
      </c>
      <c r="T9" s="67"/>
      <c r="U9" s="68">
        <f t="shared" si="5"/>
        <v>1856</v>
      </c>
      <c r="V9" s="65">
        <f t="shared" si="5"/>
        <v>-116</v>
      </c>
      <c r="W9" s="67">
        <f t="shared" si="6"/>
        <v>-0.058823529411764705</v>
      </c>
      <c r="X9" s="69">
        <f t="shared" si="7"/>
        <v>54.8021978021978</v>
      </c>
    </row>
    <row r="10" spans="1:24" s="50" customFormat="1" ht="12.75">
      <c r="A10" s="57" t="s">
        <v>123</v>
      </c>
      <c r="B10" s="65">
        <v>223</v>
      </c>
      <c r="C10" s="65">
        <v>50</v>
      </c>
      <c r="D10" s="66">
        <f t="shared" si="8"/>
        <v>0.28901734104046245</v>
      </c>
      <c r="E10" s="65">
        <v>403</v>
      </c>
      <c r="F10" s="65">
        <v>-52</v>
      </c>
      <c r="G10" s="66">
        <f t="shared" si="0"/>
        <v>-0.11428571428571428</v>
      </c>
      <c r="H10" s="65">
        <v>609</v>
      </c>
      <c r="I10" s="65">
        <v>-130</v>
      </c>
      <c r="J10" s="66">
        <f t="shared" si="1"/>
        <v>-0.17591339648173207</v>
      </c>
      <c r="K10" s="65">
        <v>780</v>
      </c>
      <c r="L10" s="65">
        <v>-56</v>
      </c>
      <c r="M10" s="66">
        <f t="shared" si="2"/>
        <v>-0.06698564593301436</v>
      </c>
      <c r="N10" s="65">
        <v>670</v>
      </c>
      <c r="O10" s="65">
        <v>62</v>
      </c>
      <c r="P10" s="66">
        <f t="shared" si="3"/>
        <v>0.10197368421052631</v>
      </c>
      <c r="Q10" s="65">
        <v>231</v>
      </c>
      <c r="R10" s="65">
        <v>-201</v>
      </c>
      <c r="S10" s="66">
        <f t="shared" si="4"/>
        <v>-0.4652777777777778</v>
      </c>
      <c r="T10" s="67"/>
      <c r="U10" s="68">
        <f t="shared" si="5"/>
        <v>2916</v>
      </c>
      <c r="V10" s="65">
        <f t="shared" si="5"/>
        <v>-327</v>
      </c>
      <c r="W10" s="67">
        <f t="shared" si="6"/>
        <v>-0.10083256244218317</v>
      </c>
      <c r="X10" s="69">
        <f t="shared" si="7"/>
        <v>48.97802197802198</v>
      </c>
    </row>
    <row r="11" spans="1:24" s="50" customFormat="1" ht="12.75">
      <c r="A11" s="57" t="s">
        <v>124</v>
      </c>
      <c r="B11" s="65">
        <v>109</v>
      </c>
      <c r="C11" s="65">
        <v>-10</v>
      </c>
      <c r="D11" s="66">
        <f t="shared" si="8"/>
        <v>-0.08403361344537816</v>
      </c>
      <c r="E11" s="65">
        <v>250</v>
      </c>
      <c r="F11" s="65">
        <v>-71</v>
      </c>
      <c r="G11" s="66">
        <f t="shared" si="0"/>
        <v>-0.22118380062305296</v>
      </c>
      <c r="H11" s="65">
        <v>463</v>
      </c>
      <c r="I11" s="65">
        <v>-20</v>
      </c>
      <c r="J11" s="66">
        <f t="shared" si="1"/>
        <v>-0.041407867494824016</v>
      </c>
      <c r="K11" s="65">
        <v>548</v>
      </c>
      <c r="L11" s="65">
        <v>64</v>
      </c>
      <c r="M11" s="66">
        <f t="shared" si="2"/>
        <v>0.1322314049586777</v>
      </c>
      <c r="N11" s="65">
        <v>378</v>
      </c>
      <c r="O11" s="65">
        <v>5</v>
      </c>
      <c r="P11" s="66">
        <f t="shared" si="3"/>
        <v>0.013404825737265416</v>
      </c>
      <c r="Q11" s="65">
        <v>232</v>
      </c>
      <c r="R11" s="65">
        <v>-126</v>
      </c>
      <c r="S11" s="66">
        <f t="shared" si="4"/>
        <v>-0.35195530726256985</v>
      </c>
      <c r="T11" s="67"/>
      <c r="U11" s="68">
        <f t="shared" si="5"/>
        <v>1980</v>
      </c>
      <c r="V11" s="65">
        <f t="shared" si="5"/>
        <v>-158</v>
      </c>
      <c r="W11" s="67">
        <f t="shared" si="6"/>
        <v>-0.07390084190832553</v>
      </c>
      <c r="X11" s="69">
        <f t="shared" si="7"/>
        <v>54.120879120879124</v>
      </c>
    </row>
    <row r="12" spans="1:24" s="50" customFormat="1" ht="12.75">
      <c r="A12" s="57" t="s">
        <v>125</v>
      </c>
      <c r="B12" s="65">
        <v>593</v>
      </c>
      <c r="C12" s="65">
        <v>20</v>
      </c>
      <c r="D12" s="66">
        <f t="shared" si="8"/>
        <v>0.034904013961605584</v>
      </c>
      <c r="E12" s="65">
        <v>828</v>
      </c>
      <c r="F12" s="65">
        <v>-109</v>
      </c>
      <c r="G12" s="66">
        <f t="shared" si="0"/>
        <v>-0.11632870864461047</v>
      </c>
      <c r="H12" s="65">
        <v>1139</v>
      </c>
      <c r="I12" s="65">
        <v>-61</v>
      </c>
      <c r="J12" s="66">
        <f t="shared" si="1"/>
        <v>-0.050833333333333335</v>
      </c>
      <c r="K12" s="65">
        <v>1367</v>
      </c>
      <c r="L12" s="65">
        <v>128</v>
      </c>
      <c r="M12" s="66">
        <f t="shared" si="2"/>
        <v>0.1033091202582728</v>
      </c>
      <c r="N12" s="65">
        <v>1009</v>
      </c>
      <c r="O12" s="65">
        <v>4</v>
      </c>
      <c r="P12" s="66">
        <f t="shared" si="3"/>
        <v>0.003980099502487562</v>
      </c>
      <c r="Q12" s="65">
        <v>713</v>
      </c>
      <c r="R12" s="65">
        <v>-197</v>
      </c>
      <c r="S12" s="66">
        <f t="shared" si="4"/>
        <v>-0.2164835164835165</v>
      </c>
      <c r="T12" s="67"/>
      <c r="U12" s="68">
        <f t="shared" si="5"/>
        <v>5649</v>
      </c>
      <c r="V12" s="65">
        <f t="shared" si="5"/>
        <v>-215</v>
      </c>
      <c r="W12" s="67">
        <f t="shared" si="6"/>
        <v>-0.0366643929058663</v>
      </c>
      <c r="X12" s="69">
        <f t="shared" si="7"/>
        <v>33.96153846153846</v>
      </c>
    </row>
    <row r="13" spans="1:24" s="50" customFormat="1" ht="12.75">
      <c r="A13" s="57" t="s">
        <v>126</v>
      </c>
      <c r="B13" s="65">
        <v>404</v>
      </c>
      <c r="C13" s="65">
        <v>-17</v>
      </c>
      <c r="D13" s="66">
        <f t="shared" si="8"/>
        <v>-0.040380047505938245</v>
      </c>
      <c r="E13" s="65">
        <v>538</v>
      </c>
      <c r="F13" s="65">
        <v>-143</v>
      </c>
      <c r="G13" s="66">
        <f t="shared" si="0"/>
        <v>-0.20998531571218795</v>
      </c>
      <c r="H13" s="65">
        <v>795</v>
      </c>
      <c r="I13" s="65">
        <v>-223</v>
      </c>
      <c r="J13" s="66">
        <f t="shared" si="1"/>
        <v>-0.21905697445972494</v>
      </c>
      <c r="K13" s="65">
        <v>997</v>
      </c>
      <c r="L13" s="65">
        <v>-180</v>
      </c>
      <c r="M13" s="66">
        <f t="shared" si="2"/>
        <v>-0.15293118096856415</v>
      </c>
      <c r="N13" s="65">
        <v>1134</v>
      </c>
      <c r="O13" s="65">
        <v>137</v>
      </c>
      <c r="P13" s="66">
        <f t="shared" si="3"/>
        <v>0.1374122367101304</v>
      </c>
      <c r="Q13" s="65">
        <v>881</v>
      </c>
      <c r="R13" s="65">
        <v>35</v>
      </c>
      <c r="S13" s="66">
        <f t="shared" si="4"/>
        <v>0.041371158392434985</v>
      </c>
      <c r="T13" s="67"/>
      <c r="U13" s="68">
        <f t="shared" si="5"/>
        <v>4749</v>
      </c>
      <c r="V13" s="65">
        <f t="shared" si="5"/>
        <v>-391</v>
      </c>
      <c r="W13" s="67">
        <f t="shared" si="6"/>
        <v>-0.07607003891050583</v>
      </c>
      <c r="X13" s="69">
        <f t="shared" si="7"/>
        <v>38.9065934065934</v>
      </c>
    </row>
    <row r="14" spans="1:24" s="50" customFormat="1" ht="12.75">
      <c r="A14" s="57" t="s">
        <v>127</v>
      </c>
      <c r="B14" s="65">
        <v>283</v>
      </c>
      <c r="C14" s="65">
        <v>-2</v>
      </c>
      <c r="D14" s="66">
        <f t="shared" si="8"/>
        <v>-0.007017543859649123</v>
      </c>
      <c r="E14" s="65">
        <v>446</v>
      </c>
      <c r="F14" s="65">
        <v>-106</v>
      </c>
      <c r="G14" s="66">
        <f t="shared" si="0"/>
        <v>-0.19202898550724637</v>
      </c>
      <c r="H14" s="65">
        <v>676</v>
      </c>
      <c r="I14" s="65">
        <v>-174</v>
      </c>
      <c r="J14" s="66">
        <f t="shared" si="1"/>
        <v>-0.20470588235294118</v>
      </c>
      <c r="K14" s="65">
        <v>790</v>
      </c>
      <c r="L14" s="65">
        <v>-206</v>
      </c>
      <c r="M14" s="66">
        <f t="shared" si="2"/>
        <v>-0.20682730923694778</v>
      </c>
      <c r="N14" s="65">
        <v>1030</v>
      </c>
      <c r="O14" s="65">
        <v>194</v>
      </c>
      <c r="P14" s="66">
        <f t="shared" si="3"/>
        <v>0.23205741626794257</v>
      </c>
      <c r="Q14" s="65">
        <v>643</v>
      </c>
      <c r="R14" s="65">
        <v>-27</v>
      </c>
      <c r="S14" s="66">
        <f t="shared" si="4"/>
        <v>-0.04029850746268657</v>
      </c>
      <c r="T14" s="67"/>
      <c r="U14" s="68">
        <f t="shared" si="5"/>
        <v>3868</v>
      </c>
      <c r="V14" s="65">
        <f t="shared" si="5"/>
        <v>-321</v>
      </c>
      <c r="W14" s="67">
        <f t="shared" si="6"/>
        <v>-0.07662926712819289</v>
      </c>
      <c r="X14" s="69">
        <f t="shared" si="7"/>
        <v>43.747252747252745</v>
      </c>
    </row>
    <row r="15" spans="1:24" s="50" customFormat="1" ht="12.75">
      <c r="A15" s="57" t="s">
        <v>128</v>
      </c>
      <c r="B15" s="65">
        <v>251</v>
      </c>
      <c r="C15" s="65">
        <v>46</v>
      </c>
      <c r="D15" s="66">
        <f t="shared" si="8"/>
        <v>0.22439024390243903</v>
      </c>
      <c r="E15" s="65">
        <v>424</v>
      </c>
      <c r="F15" s="65">
        <v>-53</v>
      </c>
      <c r="G15" s="66">
        <f t="shared" si="0"/>
        <v>-0.1111111111111111</v>
      </c>
      <c r="H15" s="65">
        <v>642</v>
      </c>
      <c r="I15" s="65">
        <v>-133</v>
      </c>
      <c r="J15" s="66">
        <f t="shared" si="1"/>
        <v>-0.17161290322580644</v>
      </c>
      <c r="K15" s="65">
        <v>748</v>
      </c>
      <c r="L15" s="65">
        <v>-169</v>
      </c>
      <c r="M15" s="66">
        <f t="shared" si="2"/>
        <v>-0.18429661941112324</v>
      </c>
      <c r="N15" s="65">
        <v>950</v>
      </c>
      <c r="O15" s="65">
        <v>208</v>
      </c>
      <c r="P15" s="66">
        <f t="shared" si="3"/>
        <v>0.2803234501347709</v>
      </c>
      <c r="Q15" s="65">
        <v>538</v>
      </c>
      <c r="R15" s="65">
        <v>-25</v>
      </c>
      <c r="S15" s="66">
        <f t="shared" si="4"/>
        <v>-0.04440497335701599</v>
      </c>
      <c r="T15" s="67"/>
      <c r="U15" s="68">
        <f t="shared" si="5"/>
        <v>3553</v>
      </c>
      <c r="V15" s="65">
        <f t="shared" si="5"/>
        <v>-126</v>
      </c>
      <c r="W15" s="67">
        <f t="shared" si="6"/>
        <v>-0.034248437075292196</v>
      </c>
      <c r="X15" s="69">
        <f t="shared" si="7"/>
        <v>45.47802197802198</v>
      </c>
    </row>
    <row r="16" spans="1:24" s="50" customFormat="1" ht="12.75">
      <c r="A16" s="57" t="s">
        <v>129</v>
      </c>
      <c r="B16" s="65">
        <v>16</v>
      </c>
      <c r="C16" s="65">
        <v>6</v>
      </c>
      <c r="D16" s="66">
        <f t="shared" si="8"/>
        <v>0.6</v>
      </c>
      <c r="E16" s="65">
        <v>95</v>
      </c>
      <c r="F16" s="65">
        <v>35</v>
      </c>
      <c r="G16" s="66">
        <f t="shared" si="0"/>
        <v>0.5833333333333334</v>
      </c>
      <c r="H16" s="65">
        <v>67</v>
      </c>
      <c r="I16" s="65">
        <v>-93</v>
      </c>
      <c r="J16" s="66">
        <f t="shared" si="1"/>
        <v>-0.58125</v>
      </c>
      <c r="K16" s="65">
        <v>120</v>
      </c>
      <c r="L16" s="65">
        <v>-93</v>
      </c>
      <c r="M16" s="66">
        <f t="shared" si="2"/>
        <v>-0.43661971830985913</v>
      </c>
      <c r="N16" s="65">
        <v>167</v>
      </c>
      <c r="O16" s="65">
        <v>13</v>
      </c>
      <c r="P16" s="66">
        <f t="shared" si="3"/>
        <v>0.08441558441558442</v>
      </c>
      <c r="Q16" s="65">
        <v>56</v>
      </c>
      <c r="R16" s="65">
        <v>-22</v>
      </c>
      <c r="S16" s="66">
        <f t="shared" si="4"/>
        <v>-0.28205128205128205</v>
      </c>
      <c r="T16" s="67"/>
      <c r="U16" s="68">
        <f t="shared" si="5"/>
        <v>521</v>
      </c>
      <c r="V16" s="65">
        <f t="shared" si="5"/>
        <v>-154</v>
      </c>
      <c r="W16" s="67">
        <f t="shared" si="6"/>
        <v>-0.22814814814814816</v>
      </c>
      <c r="X16" s="69">
        <f t="shared" si="7"/>
        <v>62.137362637362635</v>
      </c>
    </row>
    <row r="17" spans="1:24" s="50" customFormat="1" ht="12.75">
      <c r="A17" s="57" t="s">
        <v>130</v>
      </c>
      <c r="B17" s="65">
        <v>193</v>
      </c>
      <c r="C17" s="65">
        <v>39</v>
      </c>
      <c r="D17" s="66">
        <f t="shared" si="8"/>
        <v>0.2532467532467532</v>
      </c>
      <c r="E17" s="65">
        <v>377</v>
      </c>
      <c r="F17" s="65">
        <v>19</v>
      </c>
      <c r="G17" s="66">
        <f t="shared" si="0"/>
        <v>0.05307262569832402</v>
      </c>
      <c r="H17" s="65">
        <v>477</v>
      </c>
      <c r="I17" s="65">
        <v>-121</v>
      </c>
      <c r="J17" s="66">
        <f t="shared" si="1"/>
        <v>-0.20234113712374582</v>
      </c>
      <c r="K17" s="65">
        <v>566</v>
      </c>
      <c r="L17" s="65">
        <v>-114</v>
      </c>
      <c r="M17" s="66">
        <f t="shared" si="2"/>
        <v>-0.1676470588235294</v>
      </c>
      <c r="N17" s="65">
        <v>583</v>
      </c>
      <c r="O17" s="65">
        <v>72</v>
      </c>
      <c r="P17" s="66">
        <f t="shared" si="3"/>
        <v>0.14090019569471623</v>
      </c>
      <c r="Q17" s="65">
        <v>249</v>
      </c>
      <c r="R17" s="65">
        <v>-109</v>
      </c>
      <c r="S17" s="66">
        <f t="shared" si="4"/>
        <v>-0.30446927374301674</v>
      </c>
      <c r="T17" s="67"/>
      <c r="U17" s="68">
        <f t="shared" si="5"/>
        <v>2445</v>
      </c>
      <c r="V17" s="65">
        <f t="shared" si="5"/>
        <v>-214</v>
      </c>
      <c r="W17" s="67">
        <f t="shared" si="6"/>
        <v>-0.08048138397893945</v>
      </c>
      <c r="X17" s="69">
        <f t="shared" si="7"/>
        <v>51.565934065934066</v>
      </c>
    </row>
    <row r="18" spans="1:24" s="50" customFormat="1" ht="12.75">
      <c r="A18" s="57" t="s">
        <v>131</v>
      </c>
      <c r="B18" s="65">
        <v>0</v>
      </c>
      <c r="C18" s="65">
        <v>0</v>
      </c>
      <c r="D18" s="66">
        <v>0</v>
      </c>
      <c r="E18" s="65">
        <v>0</v>
      </c>
      <c r="F18" s="65">
        <v>0</v>
      </c>
      <c r="G18" s="66">
        <v>0</v>
      </c>
      <c r="H18" s="65">
        <v>0</v>
      </c>
      <c r="I18" s="65">
        <v>0</v>
      </c>
      <c r="J18" s="66">
        <v>0</v>
      </c>
      <c r="K18" s="65">
        <v>0</v>
      </c>
      <c r="L18" s="65">
        <v>0</v>
      </c>
      <c r="M18" s="66">
        <v>0</v>
      </c>
      <c r="N18" s="65">
        <v>0</v>
      </c>
      <c r="O18" s="65">
        <v>0</v>
      </c>
      <c r="P18" s="66">
        <v>0</v>
      </c>
      <c r="Q18" s="65">
        <v>0</v>
      </c>
      <c r="R18" s="65">
        <v>0</v>
      </c>
      <c r="S18" s="66">
        <v>0</v>
      </c>
      <c r="T18" s="67"/>
      <c r="U18" s="68">
        <f t="shared" si="5"/>
        <v>0</v>
      </c>
      <c r="V18" s="65">
        <f t="shared" si="5"/>
        <v>0</v>
      </c>
      <c r="W18" s="67">
        <v>0</v>
      </c>
      <c r="X18" s="69">
        <f t="shared" si="7"/>
        <v>65</v>
      </c>
    </row>
    <row r="19" spans="1:24" s="50" customFormat="1" ht="12.75">
      <c r="A19" s="57" t="s">
        <v>132</v>
      </c>
      <c r="B19" s="65">
        <v>575</v>
      </c>
      <c r="C19" s="65">
        <v>43</v>
      </c>
      <c r="D19" s="66">
        <f aca="true" t="shared" si="9" ref="D19:D57">C19/(B19-C19)</f>
        <v>0.08082706766917293</v>
      </c>
      <c r="E19" s="65">
        <v>843</v>
      </c>
      <c r="F19" s="65">
        <v>-48</v>
      </c>
      <c r="G19" s="66">
        <f aca="true" t="shared" si="10" ref="G19:G57">F19/(E19-F19)</f>
        <v>-0.05387205387205387</v>
      </c>
      <c r="H19" s="65">
        <v>1158</v>
      </c>
      <c r="I19" s="65">
        <v>-30</v>
      </c>
      <c r="J19" s="66">
        <f aca="true" t="shared" si="11" ref="J19:J57">I19/(H19-I19)</f>
        <v>-0.025252525252525252</v>
      </c>
      <c r="K19" s="65">
        <v>1288</v>
      </c>
      <c r="L19" s="65">
        <v>76</v>
      </c>
      <c r="M19" s="66">
        <f aca="true" t="shared" si="12" ref="M19:M57">L19/(K19-L19)</f>
        <v>0.0627062706270627</v>
      </c>
      <c r="N19" s="65">
        <v>868</v>
      </c>
      <c r="O19" s="65">
        <v>-73</v>
      </c>
      <c r="P19" s="66">
        <f aca="true" t="shared" si="13" ref="P19:P57">O19/(N19-O19)</f>
        <v>-0.077577045696068</v>
      </c>
      <c r="Q19" s="65">
        <v>697</v>
      </c>
      <c r="R19" s="65">
        <v>-103</v>
      </c>
      <c r="S19" s="66">
        <f aca="true" t="shared" si="14" ref="S19:S57">R19/(Q19-R19)</f>
        <v>-0.12875</v>
      </c>
      <c r="T19" s="67"/>
      <c r="U19" s="68">
        <f t="shared" si="5"/>
        <v>5429</v>
      </c>
      <c r="V19" s="65">
        <f t="shared" si="5"/>
        <v>-135</v>
      </c>
      <c r="W19" s="67">
        <f aca="true" t="shared" si="15" ref="W19:W57">V19/(U19-V19)</f>
        <v>-0.02426312005751258</v>
      </c>
      <c r="X19" s="69">
        <f t="shared" si="7"/>
        <v>35.17032967032967</v>
      </c>
    </row>
    <row r="20" spans="1:24" s="50" customFormat="1" ht="12.75">
      <c r="A20" s="57" t="s">
        <v>133</v>
      </c>
      <c r="B20" s="65">
        <v>486</v>
      </c>
      <c r="C20" s="65">
        <v>91</v>
      </c>
      <c r="D20" s="66">
        <f t="shared" si="9"/>
        <v>0.23037974683544304</v>
      </c>
      <c r="E20" s="65">
        <v>655</v>
      </c>
      <c r="F20" s="65">
        <v>-98</v>
      </c>
      <c r="G20" s="66">
        <f t="shared" si="10"/>
        <v>-0.1301460823373174</v>
      </c>
      <c r="H20" s="65">
        <v>968</v>
      </c>
      <c r="I20" s="65">
        <v>-186</v>
      </c>
      <c r="J20" s="66">
        <f t="shared" si="11"/>
        <v>-0.1611785095320624</v>
      </c>
      <c r="K20" s="65">
        <v>1144</v>
      </c>
      <c r="L20" s="65">
        <v>-181</v>
      </c>
      <c r="M20" s="66">
        <f t="shared" si="12"/>
        <v>-0.13660377358490566</v>
      </c>
      <c r="N20" s="65">
        <v>1317</v>
      </c>
      <c r="O20" s="65">
        <v>272</v>
      </c>
      <c r="P20" s="66">
        <f t="shared" si="13"/>
        <v>0.2602870813397129</v>
      </c>
      <c r="Q20" s="65">
        <v>662</v>
      </c>
      <c r="R20" s="65">
        <v>-168</v>
      </c>
      <c r="S20" s="66">
        <f t="shared" si="14"/>
        <v>-0.20240963855421687</v>
      </c>
      <c r="T20" s="67"/>
      <c r="U20" s="68">
        <f t="shared" si="5"/>
        <v>5232</v>
      </c>
      <c r="V20" s="65">
        <f t="shared" si="5"/>
        <v>-270</v>
      </c>
      <c r="W20" s="67">
        <f t="shared" si="15"/>
        <v>-0.04907306434023991</v>
      </c>
      <c r="X20" s="69">
        <f t="shared" si="7"/>
        <v>36.252747252747255</v>
      </c>
    </row>
    <row r="21" spans="1:24" s="50" customFormat="1" ht="12.75">
      <c r="A21" s="57" t="s">
        <v>134</v>
      </c>
      <c r="B21" s="65">
        <v>443</v>
      </c>
      <c r="C21" s="65">
        <v>67</v>
      </c>
      <c r="D21" s="66">
        <f t="shared" si="9"/>
        <v>0.17819148936170212</v>
      </c>
      <c r="E21" s="65">
        <v>617</v>
      </c>
      <c r="F21" s="65">
        <v>-75</v>
      </c>
      <c r="G21" s="66">
        <f t="shared" si="10"/>
        <v>-0.10838150289017341</v>
      </c>
      <c r="H21" s="65">
        <v>848</v>
      </c>
      <c r="I21" s="65">
        <v>-218</v>
      </c>
      <c r="J21" s="66">
        <f t="shared" si="11"/>
        <v>-0.2045028142589118</v>
      </c>
      <c r="K21" s="65">
        <v>1023</v>
      </c>
      <c r="L21" s="65">
        <v>-204</v>
      </c>
      <c r="M21" s="66">
        <f t="shared" si="12"/>
        <v>-0.16625916870415647</v>
      </c>
      <c r="N21" s="65">
        <v>1279</v>
      </c>
      <c r="O21" s="65">
        <v>297</v>
      </c>
      <c r="P21" s="66">
        <f t="shared" si="13"/>
        <v>0.3024439918533605</v>
      </c>
      <c r="Q21" s="65">
        <v>605</v>
      </c>
      <c r="R21" s="65">
        <v>-166</v>
      </c>
      <c r="S21" s="66">
        <f t="shared" si="14"/>
        <v>-0.21530479896238652</v>
      </c>
      <c r="T21" s="67"/>
      <c r="U21" s="68">
        <f t="shared" si="5"/>
        <v>4815</v>
      </c>
      <c r="V21" s="65">
        <f t="shared" si="5"/>
        <v>-299</v>
      </c>
      <c r="W21" s="67">
        <f t="shared" si="15"/>
        <v>-0.05846695346108721</v>
      </c>
      <c r="X21" s="69">
        <f t="shared" si="7"/>
        <v>38.543956043956044</v>
      </c>
    </row>
    <row r="22" spans="1:24" s="50" customFormat="1" ht="12.75">
      <c r="A22" s="57" t="s">
        <v>135</v>
      </c>
      <c r="B22" s="65">
        <v>560</v>
      </c>
      <c r="C22" s="65">
        <v>115</v>
      </c>
      <c r="D22" s="66">
        <f t="shared" si="9"/>
        <v>0.25842696629213485</v>
      </c>
      <c r="E22" s="65">
        <v>767</v>
      </c>
      <c r="F22" s="65">
        <v>-109</v>
      </c>
      <c r="G22" s="66">
        <f t="shared" si="10"/>
        <v>-0.12442922374429223</v>
      </c>
      <c r="H22" s="65">
        <v>1034</v>
      </c>
      <c r="I22" s="65">
        <v>-274</v>
      </c>
      <c r="J22" s="66">
        <f t="shared" si="11"/>
        <v>-0.20948012232415902</v>
      </c>
      <c r="K22" s="65">
        <v>1339</v>
      </c>
      <c r="L22" s="65">
        <v>-122</v>
      </c>
      <c r="M22" s="66">
        <f t="shared" si="12"/>
        <v>-0.08350444900752908</v>
      </c>
      <c r="N22" s="65">
        <v>1399</v>
      </c>
      <c r="O22" s="65">
        <v>256</v>
      </c>
      <c r="P22" s="66">
        <f t="shared" si="13"/>
        <v>0.22397200349956256</v>
      </c>
      <c r="Q22" s="65">
        <v>749</v>
      </c>
      <c r="R22" s="65">
        <v>-151</v>
      </c>
      <c r="S22" s="66">
        <f t="shared" si="14"/>
        <v>-0.16777777777777778</v>
      </c>
      <c r="T22" s="67"/>
      <c r="U22" s="68">
        <f t="shared" si="5"/>
        <v>5848</v>
      </c>
      <c r="V22" s="65">
        <f t="shared" si="5"/>
        <v>-285</v>
      </c>
      <c r="W22" s="67">
        <f t="shared" si="15"/>
        <v>-0.0464699168433067</v>
      </c>
      <c r="X22" s="69">
        <f t="shared" si="7"/>
        <v>32.86813186813187</v>
      </c>
    </row>
    <row r="23" spans="1:24" s="50" customFormat="1" ht="12.75">
      <c r="A23" s="57" t="s">
        <v>136</v>
      </c>
      <c r="B23" s="65">
        <v>364</v>
      </c>
      <c r="C23" s="65">
        <v>88</v>
      </c>
      <c r="D23" s="66">
        <f t="shared" si="9"/>
        <v>0.3188405797101449</v>
      </c>
      <c r="E23" s="65">
        <v>592</v>
      </c>
      <c r="F23" s="65">
        <v>-73</v>
      </c>
      <c r="G23" s="66">
        <f t="shared" si="10"/>
        <v>-0.10977443609022557</v>
      </c>
      <c r="H23" s="65">
        <v>860</v>
      </c>
      <c r="I23" s="65">
        <v>-154</v>
      </c>
      <c r="J23" s="66">
        <f t="shared" si="11"/>
        <v>-0.15187376725838264</v>
      </c>
      <c r="K23" s="65">
        <v>1130</v>
      </c>
      <c r="L23" s="65">
        <v>5</v>
      </c>
      <c r="M23" s="66">
        <f t="shared" si="12"/>
        <v>0.0044444444444444444</v>
      </c>
      <c r="N23" s="65">
        <v>968</v>
      </c>
      <c r="O23" s="65">
        <v>117</v>
      </c>
      <c r="P23" s="66">
        <f t="shared" si="13"/>
        <v>0.13748531139835488</v>
      </c>
      <c r="Q23" s="65">
        <v>414</v>
      </c>
      <c r="R23" s="65">
        <v>-227</v>
      </c>
      <c r="S23" s="66">
        <f t="shared" si="14"/>
        <v>-0.3541341653666147</v>
      </c>
      <c r="T23" s="67"/>
      <c r="U23" s="68">
        <f t="shared" si="5"/>
        <v>4328</v>
      </c>
      <c r="V23" s="65">
        <f t="shared" si="5"/>
        <v>-244</v>
      </c>
      <c r="W23" s="67">
        <f t="shared" si="15"/>
        <v>-0.05336832895888014</v>
      </c>
      <c r="X23" s="69">
        <f t="shared" si="7"/>
        <v>41.21978021978022</v>
      </c>
    </row>
    <row r="24" spans="1:24" s="50" customFormat="1" ht="12.75">
      <c r="A24" s="57" t="s">
        <v>137</v>
      </c>
      <c r="B24" s="65">
        <v>329</v>
      </c>
      <c r="C24" s="65">
        <v>42</v>
      </c>
      <c r="D24" s="66">
        <f t="shared" si="9"/>
        <v>0.14634146341463414</v>
      </c>
      <c r="E24" s="65">
        <v>529</v>
      </c>
      <c r="F24" s="65">
        <v>-34</v>
      </c>
      <c r="G24" s="66">
        <f t="shared" si="10"/>
        <v>-0.06039076376554174</v>
      </c>
      <c r="H24" s="65">
        <v>709</v>
      </c>
      <c r="I24" s="65">
        <v>-160</v>
      </c>
      <c r="J24" s="66">
        <f t="shared" si="11"/>
        <v>-0.18411967779056387</v>
      </c>
      <c r="K24" s="65">
        <v>833</v>
      </c>
      <c r="L24" s="65">
        <v>-170</v>
      </c>
      <c r="M24" s="66">
        <f t="shared" si="12"/>
        <v>-0.1694915254237288</v>
      </c>
      <c r="N24" s="65">
        <v>1009</v>
      </c>
      <c r="O24" s="65">
        <v>225</v>
      </c>
      <c r="P24" s="66">
        <f t="shared" si="13"/>
        <v>0.2869897959183674</v>
      </c>
      <c r="Q24" s="65">
        <v>390</v>
      </c>
      <c r="R24" s="65">
        <v>-206</v>
      </c>
      <c r="S24" s="66">
        <f t="shared" si="14"/>
        <v>-0.34563758389261745</v>
      </c>
      <c r="T24" s="67"/>
      <c r="U24" s="68">
        <f t="shared" si="5"/>
        <v>3799</v>
      </c>
      <c r="V24" s="65">
        <f t="shared" si="5"/>
        <v>-303</v>
      </c>
      <c r="W24" s="67">
        <f t="shared" si="15"/>
        <v>-0.07386640663091175</v>
      </c>
      <c r="X24" s="69">
        <f t="shared" si="7"/>
        <v>44.12637362637363</v>
      </c>
    </row>
    <row r="25" spans="1:24" s="50" customFormat="1" ht="12.75">
      <c r="A25" s="57" t="s">
        <v>138</v>
      </c>
      <c r="B25" s="65">
        <v>65</v>
      </c>
      <c r="C25" s="65">
        <v>2</v>
      </c>
      <c r="D25" s="66">
        <f t="shared" si="9"/>
        <v>0.031746031746031744</v>
      </c>
      <c r="E25" s="65">
        <v>247</v>
      </c>
      <c r="F25" s="65">
        <v>29</v>
      </c>
      <c r="G25" s="66">
        <f t="shared" si="10"/>
        <v>0.13302752293577982</v>
      </c>
      <c r="H25" s="65">
        <v>389</v>
      </c>
      <c r="I25" s="65">
        <v>-20</v>
      </c>
      <c r="J25" s="66">
        <f t="shared" si="11"/>
        <v>-0.0488997555012225</v>
      </c>
      <c r="K25" s="65">
        <v>458</v>
      </c>
      <c r="L25" s="65">
        <v>-31</v>
      </c>
      <c r="M25" s="66">
        <f t="shared" si="12"/>
        <v>-0.06339468302658487</v>
      </c>
      <c r="N25" s="65">
        <v>399</v>
      </c>
      <c r="O25" s="65">
        <v>62</v>
      </c>
      <c r="P25" s="66">
        <f t="shared" si="13"/>
        <v>0.18397626112759644</v>
      </c>
      <c r="Q25" s="65">
        <v>148</v>
      </c>
      <c r="R25" s="65">
        <v>-54</v>
      </c>
      <c r="S25" s="66">
        <f t="shared" si="14"/>
        <v>-0.26732673267326734</v>
      </c>
      <c r="T25" s="67"/>
      <c r="U25" s="68">
        <f t="shared" si="5"/>
        <v>1706</v>
      </c>
      <c r="V25" s="65">
        <f t="shared" si="5"/>
        <v>-12</v>
      </c>
      <c r="W25" s="67">
        <f t="shared" si="15"/>
        <v>-0.006984866123399301</v>
      </c>
      <c r="X25" s="69">
        <f t="shared" si="7"/>
        <v>55.62637362637363</v>
      </c>
    </row>
    <row r="26" spans="1:24" s="50" customFormat="1" ht="12.75">
      <c r="A26" s="57" t="s">
        <v>139</v>
      </c>
      <c r="B26" s="65">
        <v>566</v>
      </c>
      <c r="C26" s="65">
        <v>-13</v>
      </c>
      <c r="D26" s="66">
        <f t="shared" si="9"/>
        <v>-0.022452504317789293</v>
      </c>
      <c r="E26" s="65">
        <v>726</v>
      </c>
      <c r="F26" s="65">
        <v>-134</v>
      </c>
      <c r="G26" s="66">
        <f t="shared" si="10"/>
        <v>-0.1558139534883721</v>
      </c>
      <c r="H26" s="65">
        <v>1081</v>
      </c>
      <c r="I26" s="65">
        <v>-179</v>
      </c>
      <c r="J26" s="66">
        <f t="shared" si="11"/>
        <v>-0.14206349206349206</v>
      </c>
      <c r="K26" s="65">
        <v>1388</v>
      </c>
      <c r="L26" s="65">
        <v>-68</v>
      </c>
      <c r="M26" s="66">
        <f t="shared" si="12"/>
        <v>-0.046703296703296704</v>
      </c>
      <c r="N26" s="65">
        <v>1406</v>
      </c>
      <c r="O26" s="65">
        <v>172</v>
      </c>
      <c r="P26" s="66">
        <f t="shared" si="13"/>
        <v>0.1393841166936791</v>
      </c>
      <c r="Q26" s="65">
        <v>1139</v>
      </c>
      <c r="R26" s="65">
        <v>68</v>
      </c>
      <c r="S26" s="66">
        <f t="shared" si="14"/>
        <v>0.06349206349206349</v>
      </c>
      <c r="T26" s="67"/>
      <c r="U26" s="68">
        <f t="shared" si="5"/>
        <v>6306</v>
      </c>
      <c r="V26" s="65">
        <f t="shared" si="5"/>
        <v>-154</v>
      </c>
      <c r="W26" s="67">
        <f t="shared" si="15"/>
        <v>-0.023839009287925695</v>
      </c>
      <c r="X26" s="69">
        <f t="shared" si="7"/>
        <v>30.35164835164835</v>
      </c>
    </row>
    <row r="27" spans="1:24" s="50" customFormat="1" ht="12.75">
      <c r="A27" s="57" t="s">
        <v>140</v>
      </c>
      <c r="B27" s="65">
        <v>303</v>
      </c>
      <c r="C27" s="65">
        <v>0</v>
      </c>
      <c r="D27" s="66">
        <f t="shared" si="9"/>
        <v>0</v>
      </c>
      <c r="E27" s="65">
        <v>481</v>
      </c>
      <c r="F27" s="65">
        <v>-98</v>
      </c>
      <c r="G27" s="66">
        <f t="shared" si="10"/>
        <v>-0.1692573402417962</v>
      </c>
      <c r="H27" s="65">
        <v>692</v>
      </c>
      <c r="I27" s="65">
        <v>-187</v>
      </c>
      <c r="J27" s="66">
        <f t="shared" si="11"/>
        <v>-0.21274175199089876</v>
      </c>
      <c r="K27" s="65">
        <v>816</v>
      </c>
      <c r="L27" s="65">
        <v>-203</v>
      </c>
      <c r="M27" s="66">
        <f t="shared" si="12"/>
        <v>-0.19921491658488713</v>
      </c>
      <c r="N27" s="65">
        <v>1044</v>
      </c>
      <c r="O27" s="65">
        <v>204</v>
      </c>
      <c r="P27" s="66">
        <f t="shared" si="13"/>
        <v>0.24285714285714285</v>
      </c>
      <c r="Q27" s="65">
        <v>631</v>
      </c>
      <c r="R27" s="65">
        <v>-38</v>
      </c>
      <c r="S27" s="66">
        <f t="shared" si="14"/>
        <v>-0.05680119581464873</v>
      </c>
      <c r="T27" s="67"/>
      <c r="U27" s="68">
        <f aca="true" t="shared" si="16" ref="U27:V46">SUMIF($B$6:$T$6,U$6,$B27:$T27)</f>
        <v>3967</v>
      </c>
      <c r="V27" s="65">
        <f t="shared" si="16"/>
        <v>-322</v>
      </c>
      <c r="W27" s="67">
        <f t="shared" si="15"/>
        <v>-0.07507577523898344</v>
      </c>
      <c r="X27" s="69">
        <f t="shared" si="7"/>
        <v>43.2032967032967</v>
      </c>
    </row>
    <row r="28" spans="1:24" s="50" customFormat="1" ht="12.75">
      <c r="A28" s="57" t="s">
        <v>141</v>
      </c>
      <c r="B28" s="65">
        <v>450</v>
      </c>
      <c r="C28" s="65">
        <v>0</v>
      </c>
      <c r="D28" s="66">
        <f t="shared" si="9"/>
        <v>0</v>
      </c>
      <c r="E28" s="65">
        <v>565</v>
      </c>
      <c r="F28" s="65">
        <v>-138</v>
      </c>
      <c r="G28" s="66">
        <f t="shared" si="10"/>
        <v>-0.19630156472261737</v>
      </c>
      <c r="H28" s="65">
        <v>847</v>
      </c>
      <c r="I28" s="65">
        <v>-198</v>
      </c>
      <c r="J28" s="66">
        <f t="shared" si="11"/>
        <v>-0.18947368421052632</v>
      </c>
      <c r="K28" s="65">
        <v>1069</v>
      </c>
      <c r="L28" s="65">
        <v>-140</v>
      </c>
      <c r="M28" s="66">
        <f t="shared" si="12"/>
        <v>-0.11579818031430934</v>
      </c>
      <c r="N28" s="65">
        <v>1177</v>
      </c>
      <c r="O28" s="65">
        <v>146</v>
      </c>
      <c r="P28" s="66">
        <f t="shared" si="13"/>
        <v>0.14161008729388944</v>
      </c>
      <c r="Q28" s="65">
        <v>919</v>
      </c>
      <c r="R28" s="65">
        <v>28</v>
      </c>
      <c r="S28" s="66">
        <f t="shared" si="14"/>
        <v>0.031425364758698095</v>
      </c>
      <c r="T28" s="67"/>
      <c r="U28" s="68">
        <f t="shared" si="16"/>
        <v>5027</v>
      </c>
      <c r="V28" s="65">
        <f t="shared" si="16"/>
        <v>-302</v>
      </c>
      <c r="W28" s="67">
        <f t="shared" si="15"/>
        <v>-0.056671045224244695</v>
      </c>
      <c r="X28" s="69">
        <f t="shared" si="7"/>
        <v>37.379120879120876</v>
      </c>
    </row>
    <row r="29" spans="1:24" s="50" customFormat="1" ht="12.75">
      <c r="A29" s="57" t="s">
        <v>142</v>
      </c>
      <c r="B29" s="65">
        <v>545</v>
      </c>
      <c r="C29" s="65">
        <v>75</v>
      </c>
      <c r="D29" s="66">
        <f t="shared" si="9"/>
        <v>0.1595744680851064</v>
      </c>
      <c r="E29" s="65">
        <v>712</v>
      </c>
      <c r="F29" s="65">
        <v>-82</v>
      </c>
      <c r="G29" s="66">
        <f t="shared" si="10"/>
        <v>-0.10327455919395466</v>
      </c>
      <c r="H29" s="65">
        <v>926</v>
      </c>
      <c r="I29" s="65">
        <v>-232</v>
      </c>
      <c r="J29" s="66">
        <f t="shared" si="11"/>
        <v>-0.2003454231433506</v>
      </c>
      <c r="K29" s="65">
        <v>1166</v>
      </c>
      <c r="L29" s="65">
        <v>-159</v>
      </c>
      <c r="M29" s="66">
        <f t="shared" si="12"/>
        <v>-0.12</v>
      </c>
      <c r="N29" s="65">
        <v>1325</v>
      </c>
      <c r="O29" s="65">
        <v>200</v>
      </c>
      <c r="P29" s="66">
        <f t="shared" si="13"/>
        <v>0.17777777777777778</v>
      </c>
      <c r="Q29" s="65">
        <v>847</v>
      </c>
      <c r="R29" s="65">
        <v>-104</v>
      </c>
      <c r="S29" s="66">
        <f t="shared" si="14"/>
        <v>-0.10935856992639327</v>
      </c>
      <c r="T29" s="67"/>
      <c r="U29" s="68">
        <f t="shared" si="16"/>
        <v>5521</v>
      </c>
      <c r="V29" s="65">
        <f t="shared" si="16"/>
        <v>-302</v>
      </c>
      <c r="W29" s="67">
        <f t="shared" si="15"/>
        <v>-0.051863300704104415</v>
      </c>
      <c r="X29" s="69">
        <f t="shared" si="7"/>
        <v>34.66483516483517</v>
      </c>
    </row>
    <row r="30" spans="1:24" s="50" customFormat="1" ht="12.75">
      <c r="A30" s="57" t="s">
        <v>143</v>
      </c>
      <c r="B30" s="65">
        <v>667</v>
      </c>
      <c r="C30" s="65">
        <v>80</v>
      </c>
      <c r="D30" s="66">
        <f t="shared" si="9"/>
        <v>0.1362862010221465</v>
      </c>
      <c r="E30" s="65">
        <v>929</v>
      </c>
      <c r="F30" s="65">
        <v>-133</v>
      </c>
      <c r="G30" s="66">
        <f t="shared" si="10"/>
        <v>-0.12523540489642185</v>
      </c>
      <c r="H30" s="65">
        <v>1200</v>
      </c>
      <c r="I30" s="65">
        <v>-345</v>
      </c>
      <c r="J30" s="66">
        <f t="shared" si="11"/>
        <v>-0.22330097087378642</v>
      </c>
      <c r="K30" s="65">
        <v>1498</v>
      </c>
      <c r="L30" s="65">
        <v>-222</v>
      </c>
      <c r="M30" s="66">
        <f t="shared" si="12"/>
        <v>-0.12906976744186047</v>
      </c>
      <c r="N30" s="65">
        <v>1548</v>
      </c>
      <c r="O30" s="65">
        <v>196</v>
      </c>
      <c r="P30" s="66">
        <f t="shared" si="13"/>
        <v>0.14497041420118342</v>
      </c>
      <c r="Q30" s="65">
        <v>992</v>
      </c>
      <c r="R30" s="65">
        <v>-129</v>
      </c>
      <c r="S30" s="66">
        <f t="shared" si="14"/>
        <v>-0.11507582515611062</v>
      </c>
      <c r="T30" s="67"/>
      <c r="U30" s="68">
        <f t="shared" si="16"/>
        <v>6834</v>
      </c>
      <c r="V30" s="65">
        <f t="shared" si="16"/>
        <v>-553</v>
      </c>
      <c r="W30" s="67">
        <f t="shared" si="15"/>
        <v>-0.0748612427237038</v>
      </c>
      <c r="X30" s="69">
        <f t="shared" si="7"/>
        <v>27.450549450549453</v>
      </c>
    </row>
    <row r="31" spans="1:24" s="50" customFormat="1" ht="12.75">
      <c r="A31" s="57" t="s">
        <v>144</v>
      </c>
      <c r="B31" s="65">
        <v>143</v>
      </c>
      <c r="C31" s="65">
        <v>17</v>
      </c>
      <c r="D31" s="66">
        <f t="shared" si="9"/>
        <v>0.1349206349206349</v>
      </c>
      <c r="E31" s="65">
        <v>350</v>
      </c>
      <c r="F31" s="65">
        <v>27</v>
      </c>
      <c r="G31" s="66">
        <f t="shared" si="10"/>
        <v>0.08359133126934984</v>
      </c>
      <c r="H31" s="65">
        <v>480</v>
      </c>
      <c r="I31" s="65">
        <v>-75</v>
      </c>
      <c r="J31" s="66">
        <f t="shared" si="11"/>
        <v>-0.13513513513513514</v>
      </c>
      <c r="K31" s="65">
        <v>578</v>
      </c>
      <c r="L31" s="65">
        <v>-63</v>
      </c>
      <c r="M31" s="66">
        <f t="shared" si="12"/>
        <v>-0.09828393135725429</v>
      </c>
      <c r="N31" s="65">
        <v>529</v>
      </c>
      <c r="O31" s="65">
        <v>68</v>
      </c>
      <c r="P31" s="66">
        <f t="shared" si="13"/>
        <v>0.1475054229934924</v>
      </c>
      <c r="Q31" s="65">
        <v>196</v>
      </c>
      <c r="R31" s="65">
        <v>-110</v>
      </c>
      <c r="S31" s="66">
        <f t="shared" si="14"/>
        <v>-0.35947712418300654</v>
      </c>
      <c r="T31" s="67"/>
      <c r="U31" s="68">
        <f t="shared" si="16"/>
        <v>2276</v>
      </c>
      <c r="V31" s="65">
        <f t="shared" si="16"/>
        <v>-136</v>
      </c>
      <c r="W31" s="67">
        <f t="shared" si="15"/>
        <v>-0.05638474295190713</v>
      </c>
      <c r="X31" s="69">
        <f t="shared" si="7"/>
        <v>52.494505494505496</v>
      </c>
    </row>
    <row r="32" spans="1:24" s="50" customFormat="1" ht="12.75">
      <c r="A32" s="57" t="s">
        <v>145</v>
      </c>
      <c r="B32" s="65">
        <v>403</v>
      </c>
      <c r="C32" s="65">
        <v>101</v>
      </c>
      <c r="D32" s="66">
        <f t="shared" si="9"/>
        <v>0.3344370860927152</v>
      </c>
      <c r="E32" s="65">
        <v>565</v>
      </c>
      <c r="F32" s="65">
        <v>-82</v>
      </c>
      <c r="G32" s="66">
        <f t="shared" si="10"/>
        <v>-0.1267387944358578</v>
      </c>
      <c r="H32" s="65">
        <v>847</v>
      </c>
      <c r="I32" s="65">
        <v>-167</v>
      </c>
      <c r="J32" s="66">
        <f t="shared" si="11"/>
        <v>-0.16469428007889547</v>
      </c>
      <c r="K32" s="65">
        <v>1064</v>
      </c>
      <c r="L32" s="65">
        <v>-84</v>
      </c>
      <c r="M32" s="66">
        <f t="shared" si="12"/>
        <v>-0.07317073170731707</v>
      </c>
      <c r="N32" s="65">
        <v>1035</v>
      </c>
      <c r="O32" s="65">
        <v>160</v>
      </c>
      <c r="P32" s="66">
        <f t="shared" si="13"/>
        <v>0.18285714285714286</v>
      </c>
      <c r="Q32" s="65">
        <v>451</v>
      </c>
      <c r="R32" s="65">
        <v>-210</v>
      </c>
      <c r="S32" s="66">
        <f t="shared" si="14"/>
        <v>-0.3177004538577912</v>
      </c>
      <c r="T32" s="67"/>
      <c r="U32" s="68">
        <f t="shared" si="16"/>
        <v>4365</v>
      </c>
      <c r="V32" s="65">
        <f t="shared" si="16"/>
        <v>-282</v>
      </c>
      <c r="W32" s="67">
        <f t="shared" si="15"/>
        <v>-0.06068431245965139</v>
      </c>
      <c r="X32" s="69">
        <f t="shared" si="7"/>
        <v>41.01648351648352</v>
      </c>
    </row>
    <row r="33" spans="1:24" s="50" customFormat="1" ht="12.75">
      <c r="A33" s="57" t="s">
        <v>146</v>
      </c>
      <c r="B33" s="65">
        <v>700</v>
      </c>
      <c r="C33" s="65">
        <v>47</v>
      </c>
      <c r="D33" s="66">
        <f t="shared" si="9"/>
        <v>0.07197549770290965</v>
      </c>
      <c r="E33" s="65">
        <v>976</v>
      </c>
      <c r="F33" s="65">
        <v>-65</v>
      </c>
      <c r="G33" s="66">
        <f t="shared" si="10"/>
        <v>-0.06243996157540826</v>
      </c>
      <c r="H33" s="65">
        <v>1169</v>
      </c>
      <c r="I33" s="65">
        <v>-155</v>
      </c>
      <c r="J33" s="66">
        <f t="shared" si="11"/>
        <v>-0.11706948640483383</v>
      </c>
      <c r="K33" s="65">
        <v>1296</v>
      </c>
      <c r="L33" s="65">
        <v>-85</v>
      </c>
      <c r="M33" s="66">
        <f t="shared" si="12"/>
        <v>-0.06154960173787111</v>
      </c>
      <c r="N33" s="65">
        <v>1080</v>
      </c>
      <c r="O33" s="65">
        <v>-15</v>
      </c>
      <c r="P33" s="66">
        <f t="shared" si="13"/>
        <v>-0.0136986301369863</v>
      </c>
      <c r="Q33" s="65">
        <v>765</v>
      </c>
      <c r="R33" s="65">
        <v>-208</v>
      </c>
      <c r="S33" s="66">
        <f t="shared" si="14"/>
        <v>-0.21377183967112023</v>
      </c>
      <c r="T33" s="67"/>
      <c r="U33" s="68">
        <f t="shared" si="16"/>
        <v>5986</v>
      </c>
      <c r="V33" s="65">
        <f t="shared" si="16"/>
        <v>-481</v>
      </c>
      <c r="W33" s="67">
        <f t="shared" si="15"/>
        <v>-0.07437760940157724</v>
      </c>
      <c r="X33" s="69">
        <f t="shared" si="7"/>
        <v>32.10989010989011</v>
      </c>
    </row>
    <row r="34" spans="1:24" s="50" customFormat="1" ht="12.75">
      <c r="A34" s="57" t="s">
        <v>147</v>
      </c>
      <c r="B34" s="65">
        <v>517</v>
      </c>
      <c r="C34" s="65">
        <v>105</v>
      </c>
      <c r="D34" s="66">
        <f t="shared" si="9"/>
        <v>0.25485436893203883</v>
      </c>
      <c r="E34" s="65">
        <v>786</v>
      </c>
      <c r="F34" s="65">
        <v>-65</v>
      </c>
      <c r="G34" s="66">
        <f t="shared" si="10"/>
        <v>-0.07638072855464159</v>
      </c>
      <c r="H34" s="65">
        <v>1023</v>
      </c>
      <c r="I34" s="65">
        <v>-197</v>
      </c>
      <c r="J34" s="66">
        <f t="shared" si="11"/>
        <v>-0.16147540983606556</v>
      </c>
      <c r="K34" s="65">
        <v>1311</v>
      </c>
      <c r="L34" s="65">
        <v>-14</v>
      </c>
      <c r="M34" s="66">
        <f t="shared" si="12"/>
        <v>-0.010566037735849057</v>
      </c>
      <c r="N34" s="65">
        <v>1190</v>
      </c>
      <c r="O34" s="65">
        <v>158</v>
      </c>
      <c r="P34" s="66">
        <f t="shared" si="13"/>
        <v>0.15310077519379844</v>
      </c>
      <c r="Q34" s="65">
        <v>614</v>
      </c>
      <c r="R34" s="65">
        <v>-213</v>
      </c>
      <c r="S34" s="66">
        <f t="shared" si="14"/>
        <v>-0.25755743651753327</v>
      </c>
      <c r="T34" s="67"/>
      <c r="U34" s="68">
        <f t="shared" si="16"/>
        <v>5441</v>
      </c>
      <c r="V34" s="65">
        <f t="shared" si="16"/>
        <v>-226</v>
      </c>
      <c r="W34" s="67">
        <f t="shared" si="15"/>
        <v>-0.03988000705840833</v>
      </c>
      <c r="X34" s="69">
        <f t="shared" si="7"/>
        <v>35.104395604395606</v>
      </c>
    </row>
    <row r="35" spans="1:24" s="50" customFormat="1" ht="12.75">
      <c r="A35" s="57" t="s">
        <v>148</v>
      </c>
      <c r="B35" s="65">
        <v>226</v>
      </c>
      <c r="C35" s="65">
        <v>5</v>
      </c>
      <c r="D35" s="66">
        <f t="shared" si="9"/>
        <v>0.02262443438914027</v>
      </c>
      <c r="E35" s="65">
        <v>451</v>
      </c>
      <c r="F35" s="65">
        <v>-67</v>
      </c>
      <c r="G35" s="66">
        <f t="shared" si="10"/>
        <v>-0.12934362934362933</v>
      </c>
      <c r="H35" s="65">
        <v>780</v>
      </c>
      <c r="I35" s="65">
        <v>19</v>
      </c>
      <c r="J35" s="66">
        <f t="shared" si="11"/>
        <v>0.024967148488830485</v>
      </c>
      <c r="K35" s="65">
        <v>851</v>
      </c>
      <c r="L35" s="65">
        <v>87</v>
      </c>
      <c r="M35" s="66">
        <f t="shared" si="12"/>
        <v>0.11387434554973822</v>
      </c>
      <c r="N35" s="65">
        <v>529</v>
      </c>
      <c r="O35" s="65">
        <v>-25</v>
      </c>
      <c r="P35" s="66">
        <f t="shared" si="13"/>
        <v>-0.04512635379061372</v>
      </c>
      <c r="Q35" s="65">
        <v>314</v>
      </c>
      <c r="R35" s="65">
        <v>-145</v>
      </c>
      <c r="S35" s="66">
        <f t="shared" si="14"/>
        <v>-0.3159041394335512</v>
      </c>
      <c r="T35" s="67"/>
      <c r="U35" s="68">
        <f t="shared" si="16"/>
        <v>3151</v>
      </c>
      <c r="V35" s="65">
        <f t="shared" si="16"/>
        <v>-126</v>
      </c>
      <c r="W35" s="67">
        <f t="shared" si="15"/>
        <v>-0.03844980164784864</v>
      </c>
      <c r="X35" s="69">
        <f t="shared" si="7"/>
        <v>47.68681318681318</v>
      </c>
    </row>
    <row r="36" spans="1:24" s="50" customFormat="1" ht="12.75">
      <c r="A36" s="57" t="s">
        <v>149</v>
      </c>
      <c r="B36" s="65">
        <v>545</v>
      </c>
      <c r="C36" s="65">
        <v>-20</v>
      </c>
      <c r="D36" s="66">
        <f t="shared" si="9"/>
        <v>-0.035398230088495575</v>
      </c>
      <c r="E36" s="65">
        <v>665</v>
      </c>
      <c r="F36" s="65">
        <v>-177</v>
      </c>
      <c r="G36" s="66">
        <f t="shared" si="10"/>
        <v>-0.21021377672209027</v>
      </c>
      <c r="H36" s="65">
        <v>982</v>
      </c>
      <c r="I36" s="65">
        <v>-244</v>
      </c>
      <c r="J36" s="66">
        <f t="shared" si="11"/>
        <v>-0.19902120717781402</v>
      </c>
      <c r="K36" s="65">
        <v>1274</v>
      </c>
      <c r="L36" s="65">
        <v>-131</v>
      </c>
      <c r="M36" s="66">
        <f t="shared" si="12"/>
        <v>-0.09323843416370106</v>
      </c>
      <c r="N36" s="65">
        <v>1338</v>
      </c>
      <c r="O36" s="65">
        <v>152</v>
      </c>
      <c r="P36" s="66">
        <f t="shared" si="13"/>
        <v>0.1281618887015177</v>
      </c>
      <c r="Q36" s="65">
        <v>1069</v>
      </c>
      <c r="R36" s="65">
        <v>51</v>
      </c>
      <c r="S36" s="66">
        <f t="shared" si="14"/>
        <v>0.05009823182711198</v>
      </c>
      <c r="T36" s="67"/>
      <c r="U36" s="68">
        <f t="shared" si="16"/>
        <v>5873</v>
      </c>
      <c r="V36" s="65">
        <f t="shared" si="16"/>
        <v>-369</v>
      </c>
      <c r="W36" s="67">
        <f t="shared" si="15"/>
        <v>-0.059115668055110544</v>
      </c>
      <c r="X36" s="69">
        <f t="shared" si="7"/>
        <v>32.73076923076923</v>
      </c>
    </row>
    <row r="37" spans="1:24" s="50" customFormat="1" ht="12.75">
      <c r="A37" s="57" t="s">
        <v>150</v>
      </c>
      <c r="B37" s="65">
        <v>354</v>
      </c>
      <c r="C37" s="65">
        <v>-12</v>
      </c>
      <c r="D37" s="66">
        <f t="shared" si="9"/>
        <v>-0.03278688524590164</v>
      </c>
      <c r="E37" s="65">
        <v>482</v>
      </c>
      <c r="F37" s="65">
        <v>-140</v>
      </c>
      <c r="G37" s="66">
        <f t="shared" si="10"/>
        <v>-0.22508038585209003</v>
      </c>
      <c r="H37" s="65">
        <v>742</v>
      </c>
      <c r="I37" s="65">
        <v>-200</v>
      </c>
      <c r="J37" s="66">
        <f t="shared" si="11"/>
        <v>-0.21231422505307856</v>
      </c>
      <c r="K37" s="65">
        <v>912</v>
      </c>
      <c r="L37" s="65">
        <v>-179</v>
      </c>
      <c r="M37" s="66">
        <f t="shared" si="12"/>
        <v>-0.16406966086159486</v>
      </c>
      <c r="N37" s="65">
        <v>1105</v>
      </c>
      <c r="O37" s="65">
        <v>185</v>
      </c>
      <c r="P37" s="66">
        <f t="shared" si="13"/>
        <v>0.20108695652173914</v>
      </c>
      <c r="Q37" s="65">
        <v>774</v>
      </c>
      <c r="R37" s="65">
        <v>11</v>
      </c>
      <c r="S37" s="66">
        <f t="shared" si="14"/>
        <v>0.014416775884665793</v>
      </c>
      <c r="T37" s="67"/>
      <c r="U37" s="68">
        <f t="shared" si="16"/>
        <v>4369</v>
      </c>
      <c r="V37" s="65">
        <f t="shared" si="16"/>
        <v>-335</v>
      </c>
      <c r="W37" s="67">
        <f t="shared" si="15"/>
        <v>-0.07121598639455783</v>
      </c>
      <c r="X37" s="69">
        <f t="shared" si="7"/>
        <v>40.99450549450549</v>
      </c>
    </row>
    <row r="38" spans="1:24" s="50" customFormat="1" ht="12.75">
      <c r="A38" s="57" t="s">
        <v>151</v>
      </c>
      <c r="B38" s="65">
        <v>352</v>
      </c>
      <c r="C38" s="65">
        <v>29</v>
      </c>
      <c r="D38" s="66">
        <f t="shared" si="9"/>
        <v>0.08978328173374613</v>
      </c>
      <c r="E38" s="65">
        <v>564</v>
      </c>
      <c r="F38" s="65">
        <v>-102</v>
      </c>
      <c r="G38" s="66">
        <f t="shared" si="10"/>
        <v>-0.15315315315315314</v>
      </c>
      <c r="H38" s="65">
        <v>923</v>
      </c>
      <c r="I38" s="65">
        <v>-2</v>
      </c>
      <c r="J38" s="66">
        <f t="shared" si="11"/>
        <v>-0.002162162162162162</v>
      </c>
      <c r="K38" s="65">
        <v>1027</v>
      </c>
      <c r="L38" s="65">
        <v>87</v>
      </c>
      <c r="M38" s="66">
        <f t="shared" si="12"/>
        <v>0.0925531914893617</v>
      </c>
      <c r="N38" s="65">
        <v>693</v>
      </c>
      <c r="O38" s="65">
        <v>-19</v>
      </c>
      <c r="P38" s="66">
        <f t="shared" si="13"/>
        <v>-0.026685393258426966</v>
      </c>
      <c r="Q38" s="65">
        <v>524</v>
      </c>
      <c r="R38" s="65">
        <v>-76</v>
      </c>
      <c r="S38" s="66">
        <f t="shared" si="14"/>
        <v>-0.12666666666666668</v>
      </c>
      <c r="T38" s="67"/>
      <c r="U38" s="68">
        <f t="shared" si="16"/>
        <v>4083</v>
      </c>
      <c r="V38" s="65">
        <f t="shared" si="16"/>
        <v>-83</v>
      </c>
      <c r="W38" s="67">
        <f t="shared" si="15"/>
        <v>-0.019923187710033607</v>
      </c>
      <c r="X38" s="69">
        <f t="shared" si="7"/>
        <v>42.565934065934066</v>
      </c>
    </row>
    <row r="39" spans="1:24" s="50" customFormat="1" ht="12.75">
      <c r="A39" s="57" t="s">
        <v>152</v>
      </c>
      <c r="B39" s="65">
        <v>379</v>
      </c>
      <c r="C39" s="65">
        <v>-26</v>
      </c>
      <c r="D39" s="66">
        <f t="shared" si="9"/>
        <v>-0.06419753086419754</v>
      </c>
      <c r="E39" s="65">
        <v>517</v>
      </c>
      <c r="F39" s="65">
        <v>-161</v>
      </c>
      <c r="G39" s="66">
        <f t="shared" si="10"/>
        <v>-0.2374631268436578</v>
      </c>
      <c r="H39" s="65">
        <v>776</v>
      </c>
      <c r="I39" s="65">
        <v>-240</v>
      </c>
      <c r="J39" s="66">
        <f t="shared" si="11"/>
        <v>-0.23622047244094488</v>
      </c>
      <c r="K39" s="65">
        <v>1008</v>
      </c>
      <c r="L39" s="65">
        <v>-180</v>
      </c>
      <c r="M39" s="66">
        <f t="shared" si="12"/>
        <v>-0.15151515151515152</v>
      </c>
      <c r="N39" s="65">
        <v>1160</v>
      </c>
      <c r="O39" s="65">
        <v>143</v>
      </c>
      <c r="P39" s="66">
        <f t="shared" si="13"/>
        <v>0.14060963618485742</v>
      </c>
      <c r="Q39" s="65">
        <v>872</v>
      </c>
      <c r="R39" s="65">
        <v>5</v>
      </c>
      <c r="S39" s="66">
        <f t="shared" si="14"/>
        <v>0.0057670126874279125</v>
      </c>
      <c r="T39" s="67"/>
      <c r="U39" s="68">
        <f t="shared" si="16"/>
        <v>4712</v>
      </c>
      <c r="V39" s="65">
        <f t="shared" si="16"/>
        <v>-459</v>
      </c>
      <c r="W39" s="67">
        <f t="shared" si="15"/>
        <v>-0.08876426223167666</v>
      </c>
      <c r="X39" s="69">
        <f t="shared" si="7"/>
        <v>39.10989010989011</v>
      </c>
    </row>
    <row r="40" spans="1:24" s="50" customFormat="1" ht="12.75">
      <c r="A40" s="57" t="s">
        <v>153</v>
      </c>
      <c r="B40" s="65">
        <v>257</v>
      </c>
      <c r="C40" s="65">
        <v>42</v>
      </c>
      <c r="D40" s="66">
        <f t="shared" si="9"/>
        <v>0.19534883720930232</v>
      </c>
      <c r="E40" s="65">
        <v>407</v>
      </c>
      <c r="F40" s="65">
        <v>-26</v>
      </c>
      <c r="G40" s="66">
        <f t="shared" si="10"/>
        <v>-0.06004618937644342</v>
      </c>
      <c r="H40" s="65">
        <v>562</v>
      </c>
      <c r="I40" s="65">
        <v>-131</v>
      </c>
      <c r="J40" s="66">
        <f t="shared" si="11"/>
        <v>-0.18903318903318903</v>
      </c>
      <c r="K40" s="65">
        <v>640</v>
      </c>
      <c r="L40" s="65">
        <v>-145</v>
      </c>
      <c r="M40" s="66">
        <f t="shared" si="12"/>
        <v>-0.18471337579617833</v>
      </c>
      <c r="N40" s="65">
        <v>729</v>
      </c>
      <c r="O40" s="65">
        <v>110</v>
      </c>
      <c r="P40" s="66">
        <f t="shared" si="13"/>
        <v>0.1777059773828756</v>
      </c>
      <c r="Q40" s="65">
        <v>352</v>
      </c>
      <c r="R40" s="65">
        <v>-110</v>
      </c>
      <c r="S40" s="66">
        <f t="shared" si="14"/>
        <v>-0.23809523809523808</v>
      </c>
      <c r="T40" s="67"/>
      <c r="U40" s="68">
        <f t="shared" si="16"/>
        <v>2947</v>
      </c>
      <c r="V40" s="65">
        <f t="shared" si="16"/>
        <v>-260</v>
      </c>
      <c r="W40" s="67">
        <f t="shared" si="15"/>
        <v>-0.08107265357031494</v>
      </c>
      <c r="X40" s="69">
        <f t="shared" si="7"/>
        <v>48.80769230769231</v>
      </c>
    </row>
    <row r="41" spans="1:24" s="50" customFormat="1" ht="12.75">
      <c r="A41" s="57" t="s">
        <v>154</v>
      </c>
      <c r="B41" s="65">
        <v>759</v>
      </c>
      <c r="C41" s="65">
        <v>96</v>
      </c>
      <c r="D41" s="66">
        <f t="shared" si="9"/>
        <v>0.14479638009049775</v>
      </c>
      <c r="E41" s="65">
        <v>1068</v>
      </c>
      <c r="F41" s="65">
        <v>-107</v>
      </c>
      <c r="G41" s="66">
        <f t="shared" si="10"/>
        <v>-0.09106382978723404</v>
      </c>
      <c r="H41" s="65">
        <v>1306</v>
      </c>
      <c r="I41" s="65">
        <v>-324</v>
      </c>
      <c r="J41" s="66">
        <f t="shared" si="11"/>
        <v>-0.19877300613496932</v>
      </c>
      <c r="K41" s="65">
        <v>1562</v>
      </c>
      <c r="L41" s="65">
        <v>-233</v>
      </c>
      <c r="M41" s="66">
        <f t="shared" si="12"/>
        <v>-0.1298050139275766</v>
      </c>
      <c r="N41" s="65">
        <v>1579</v>
      </c>
      <c r="O41" s="65">
        <v>169</v>
      </c>
      <c r="P41" s="66">
        <f t="shared" si="13"/>
        <v>0.1198581560283688</v>
      </c>
      <c r="Q41" s="65">
        <v>1018</v>
      </c>
      <c r="R41" s="65">
        <v>-178</v>
      </c>
      <c r="S41" s="66">
        <f t="shared" si="14"/>
        <v>-0.1488294314381271</v>
      </c>
      <c r="T41" s="67"/>
      <c r="U41" s="68">
        <f t="shared" si="16"/>
        <v>7292</v>
      </c>
      <c r="V41" s="65">
        <f t="shared" si="16"/>
        <v>-577</v>
      </c>
      <c r="W41" s="67">
        <f t="shared" si="15"/>
        <v>-0.0733257084762994</v>
      </c>
      <c r="X41" s="69">
        <f t="shared" si="7"/>
        <v>24.934065934065934</v>
      </c>
    </row>
    <row r="42" spans="1:24" s="50" customFormat="1" ht="12.75">
      <c r="A42" s="57" t="s">
        <v>155</v>
      </c>
      <c r="B42" s="65">
        <v>446</v>
      </c>
      <c r="C42" s="65">
        <v>50</v>
      </c>
      <c r="D42" s="66">
        <f t="shared" si="9"/>
        <v>0.12626262626262627</v>
      </c>
      <c r="E42" s="65">
        <v>617</v>
      </c>
      <c r="F42" s="65">
        <v>-76</v>
      </c>
      <c r="G42" s="66">
        <f t="shared" si="10"/>
        <v>-0.10966810966810966</v>
      </c>
      <c r="H42" s="65">
        <v>815</v>
      </c>
      <c r="I42" s="65">
        <v>-222</v>
      </c>
      <c r="J42" s="66">
        <f t="shared" si="11"/>
        <v>-0.21407907425265188</v>
      </c>
      <c r="K42" s="65">
        <v>995</v>
      </c>
      <c r="L42" s="65">
        <v>-204</v>
      </c>
      <c r="M42" s="66">
        <f t="shared" si="12"/>
        <v>-0.1701417848206839</v>
      </c>
      <c r="N42" s="65">
        <v>1284</v>
      </c>
      <c r="O42" s="65">
        <v>295</v>
      </c>
      <c r="P42" s="66">
        <f t="shared" si="13"/>
        <v>0.2982810920121335</v>
      </c>
      <c r="Q42" s="65">
        <v>682</v>
      </c>
      <c r="R42" s="65">
        <v>-118</v>
      </c>
      <c r="S42" s="66">
        <f t="shared" si="14"/>
        <v>-0.1475</v>
      </c>
      <c r="T42" s="67"/>
      <c r="U42" s="68">
        <f t="shared" si="16"/>
        <v>4839</v>
      </c>
      <c r="V42" s="65">
        <f t="shared" si="16"/>
        <v>-275</v>
      </c>
      <c r="W42" s="67">
        <f t="shared" si="15"/>
        <v>-0.053773953852170514</v>
      </c>
      <c r="X42" s="69">
        <f t="shared" si="7"/>
        <v>38.41208791208791</v>
      </c>
    </row>
    <row r="43" spans="1:24" s="50" customFormat="1" ht="12.75">
      <c r="A43" s="57" t="s">
        <v>156</v>
      </c>
      <c r="B43" s="65">
        <v>230</v>
      </c>
      <c r="C43" s="65">
        <v>65</v>
      </c>
      <c r="D43" s="66">
        <f t="shared" si="9"/>
        <v>0.3939393939393939</v>
      </c>
      <c r="E43" s="65">
        <v>424</v>
      </c>
      <c r="F43" s="65">
        <v>-67</v>
      </c>
      <c r="G43" s="66">
        <f t="shared" si="10"/>
        <v>-0.1364562118126273</v>
      </c>
      <c r="H43" s="65">
        <v>717</v>
      </c>
      <c r="I43" s="65">
        <v>-82</v>
      </c>
      <c r="J43" s="66">
        <f t="shared" si="11"/>
        <v>-0.10262828535669587</v>
      </c>
      <c r="K43" s="65">
        <v>918</v>
      </c>
      <c r="L43" s="65">
        <v>22</v>
      </c>
      <c r="M43" s="66">
        <f t="shared" si="12"/>
        <v>0.024553571428571428</v>
      </c>
      <c r="N43" s="65">
        <v>716</v>
      </c>
      <c r="O43" s="65">
        <v>64</v>
      </c>
      <c r="P43" s="66">
        <f t="shared" si="13"/>
        <v>0.09815950920245399</v>
      </c>
      <c r="Q43" s="65">
        <v>261</v>
      </c>
      <c r="R43" s="65">
        <v>-202</v>
      </c>
      <c r="S43" s="66">
        <f t="shared" si="14"/>
        <v>-0.43628509719222464</v>
      </c>
      <c r="T43" s="67"/>
      <c r="U43" s="68">
        <f t="shared" si="16"/>
        <v>3266</v>
      </c>
      <c r="V43" s="65">
        <f t="shared" si="16"/>
        <v>-200</v>
      </c>
      <c r="W43" s="67">
        <f t="shared" si="15"/>
        <v>-0.05770340450086555</v>
      </c>
      <c r="X43" s="70">
        <f t="shared" si="7"/>
        <v>47.05494505494505</v>
      </c>
    </row>
    <row r="44" spans="1:24" s="50" customFormat="1" ht="12.75">
      <c r="A44" s="57" t="s">
        <v>157</v>
      </c>
      <c r="B44" s="65">
        <v>426</v>
      </c>
      <c r="C44" s="65">
        <v>31</v>
      </c>
      <c r="D44" s="66">
        <f t="shared" si="9"/>
        <v>0.07848101265822785</v>
      </c>
      <c r="E44" s="65">
        <v>656</v>
      </c>
      <c r="F44" s="65">
        <v>19</v>
      </c>
      <c r="G44" s="66">
        <f t="shared" si="10"/>
        <v>0.029827315541601257</v>
      </c>
      <c r="H44" s="65">
        <v>808</v>
      </c>
      <c r="I44" s="65">
        <v>-11</v>
      </c>
      <c r="J44" s="66">
        <f t="shared" si="11"/>
        <v>-0.013431013431013432</v>
      </c>
      <c r="K44" s="65">
        <v>877</v>
      </c>
      <c r="L44" s="65">
        <v>61</v>
      </c>
      <c r="M44" s="66">
        <f t="shared" si="12"/>
        <v>0.07475490196078431</v>
      </c>
      <c r="N44" s="65">
        <v>658</v>
      </c>
      <c r="O44" s="65">
        <v>11</v>
      </c>
      <c r="P44" s="66">
        <f t="shared" si="13"/>
        <v>0.017001545595054096</v>
      </c>
      <c r="Q44" s="65">
        <v>561</v>
      </c>
      <c r="R44" s="65">
        <v>-44</v>
      </c>
      <c r="S44" s="66">
        <f t="shared" si="14"/>
        <v>-0.07272727272727272</v>
      </c>
      <c r="T44" s="67"/>
      <c r="U44" s="68">
        <f t="shared" si="16"/>
        <v>3986</v>
      </c>
      <c r="V44" s="65">
        <f t="shared" si="16"/>
        <v>67</v>
      </c>
      <c r="W44" s="67">
        <f t="shared" si="15"/>
        <v>0.01709619800969635</v>
      </c>
      <c r="X44" s="69">
        <f t="shared" si="7"/>
        <v>43.098901098901095</v>
      </c>
    </row>
    <row r="45" spans="1:24" s="50" customFormat="1" ht="12.75">
      <c r="A45" s="57" t="s">
        <v>158</v>
      </c>
      <c r="B45" s="65">
        <v>417</v>
      </c>
      <c r="C45" s="65">
        <v>6</v>
      </c>
      <c r="D45" s="66">
        <f t="shared" si="9"/>
        <v>0.014598540145985401</v>
      </c>
      <c r="E45" s="65">
        <v>567</v>
      </c>
      <c r="F45" s="65">
        <v>-114</v>
      </c>
      <c r="G45" s="66">
        <f t="shared" si="10"/>
        <v>-0.16740088105726872</v>
      </c>
      <c r="H45" s="65">
        <v>804</v>
      </c>
      <c r="I45" s="65">
        <v>-202</v>
      </c>
      <c r="J45" s="66">
        <f t="shared" si="11"/>
        <v>-0.20079522862823063</v>
      </c>
      <c r="K45" s="65">
        <v>982</v>
      </c>
      <c r="L45" s="65">
        <v>-177</v>
      </c>
      <c r="M45" s="66">
        <f t="shared" si="12"/>
        <v>-0.15271786022433131</v>
      </c>
      <c r="N45" s="65">
        <v>1195</v>
      </c>
      <c r="O45" s="65">
        <v>221</v>
      </c>
      <c r="P45" s="66">
        <f t="shared" si="13"/>
        <v>0.2268993839835729</v>
      </c>
      <c r="Q45" s="65">
        <v>791</v>
      </c>
      <c r="R45" s="65">
        <v>-18</v>
      </c>
      <c r="S45" s="66">
        <f t="shared" si="14"/>
        <v>-0.022249690976514216</v>
      </c>
      <c r="T45" s="67"/>
      <c r="U45" s="68">
        <f t="shared" si="16"/>
        <v>4756</v>
      </c>
      <c r="V45" s="65">
        <f t="shared" si="16"/>
        <v>-284</v>
      </c>
      <c r="W45" s="67">
        <f t="shared" si="15"/>
        <v>-0.05634920634920635</v>
      </c>
      <c r="X45" s="69">
        <f t="shared" si="7"/>
        <v>38.86813186813187</v>
      </c>
    </row>
    <row r="46" spans="1:24" s="50" customFormat="1" ht="12.75">
      <c r="A46" s="57" t="s">
        <v>159</v>
      </c>
      <c r="B46" s="65">
        <v>399</v>
      </c>
      <c r="C46" s="65">
        <v>11</v>
      </c>
      <c r="D46" s="66">
        <f t="shared" si="9"/>
        <v>0.028350515463917526</v>
      </c>
      <c r="E46" s="65">
        <v>511</v>
      </c>
      <c r="F46" s="65">
        <v>-124</v>
      </c>
      <c r="G46" s="66">
        <f t="shared" si="10"/>
        <v>-0.1952755905511811</v>
      </c>
      <c r="H46" s="65">
        <v>780</v>
      </c>
      <c r="I46" s="65">
        <v>-175</v>
      </c>
      <c r="J46" s="66">
        <f t="shared" si="11"/>
        <v>-0.18324607329842932</v>
      </c>
      <c r="K46" s="65">
        <v>988</v>
      </c>
      <c r="L46" s="65">
        <v>-125</v>
      </c>
      <c r="M46" s="66">
        <f t="shared" si="12"/>
        <v>-0.11230907457322552</v>
      </c>
      <c r="N46" s="65">
        <v>1109</v>
      </c>
      <c r="O46" s="65">
        <v>151</v>
      </c>
      <c r="P46" s="66">
        <f t="shared" si="13"/>
        <v>0.15762004175365343</v>
      </c>
      <c r="Q46" s="65">
        <v>844</v>
      </c>
      <c r="R46" s="65">
        <v>4</v>
      </c>
      <c r="S46" s="66">
        <f t="shared" si="14"/>
        <v>0.004761904761904762</v>
      </c>
      <c r="T46" s="67"/>
      <c r="U46" s="68">
        <f t="shared" si="16"/>
        <v>4631</v>
      </c>
      <c r="V46" s="65">
        <f t="shared" si="16"/>
        <v>-258</v>
      </c>
      <c r="W46" s="67">
        <f t="shared" si="15"/>
        <v>-0.052771527919820004</v>
      </c>
      <c r="X46" s="69">
        <f t="shared" si="7"/>
        <v>39.55494505494505</v>
      </c>
    </row>
    <row r="47" spans="1:24" s="50" customFormat="1" ht="12.75">
      <c r="A47" s="57" t="s">
        <v>160</v>
      </c>
      <c r="B47" s="65">
        <v>189</v>
      </c>
      <c r="C47" s="65">
        <v>41</v>
      </c>
      <c r="D47" s="66">
        <f t="shared" si="9"/>
        <v>0.27702702702702703</v>
      </c>
      <c r="E47" s="65">
        <v>357</v>
      </c>
      <c r="F47" s="65">
        <v>11</v>
      </c>
      <c r="G47" s="66">
        <f t="shared" si="10"/>
        <v>0.031791907514450865</v>
      </c>
      <c r="H47" s="65">
        <v>456</v>
      </c>
      <c r="I47" s="65">
        <v>-134</v>
      </c>
      <c r="J47" s="66">
        <f t="shared" si="11"/>
        <v>-0.2271186440677966</v>
      </c>
      <c r="K47" s="65">
        <v>543</v>
      </c>
      <c r="L47" s="65">
        <v>-123</v>
      </c>
      <c r="M47" s="66">
        <f t="shared" si="12"/>
        <v>-0.18468468468468469</v>
      </c>
      <c r="N47" s="65">
        <v>585</v>
      </c>
      <c r="O47" s="65">
        <v>79</v>
      </c>
      <c r="P47" s="66">
        <f t="shared" si="13"/>
        <v>0.15612648221343872</v>
      </c>
      <c r="Q47" s="65">
        <v>263</v>
      </c>
      <c r="R47" s="65">
        <v>-91</v>
      </c>
      <c r="S47" s="66">
        <f t="shared" si="14"/>
        <v>-0.2570621468926554</v>
      </c>
      <c r="T47" s="67"/>
      <c r="U47" s="68">
        <f aca="true" t="shared" si="17" ref="U47:V57">SUMIF($B$6:$T$6,U$6,$B47:$T47)</f>
        <v>2393</v>
      </c>
      <c r="V47" s="65">
        <f t="shared" si="17"/>
        <v>-217</v>
      </c>
      <c r="W47" s="67">
        <f t="shared" si="15"/>
        <v>-0.08314176245210728</v>
      </c>
      <c r="X47" s="69">
        <f t="shared" si="7"/>
        <v>51.85164835164835</v>
      </c>
    </row>
    <row r="48" spans="1:24" s="50" customFormat="1" ht="12.75">
      <c r="A48" s="57" t="s">
        <v>161</v>
      </c>
      <c r="B48" s="65">
        <v>620</v>
      </c>
      <c r="C48" s="65">
        <v>87</v>
      </c>
      <c r="D48" s="66">
        <f t="shared" si="9"/>
        <v>0.16322701688555347</v>
      </c>
      <c r="E48" s="65">
        <v>900</v>
      </c>
      <c r="F48" s="65">
        <v>-100</v>
      </c>
      <c r="G48" s="66">
        <f t="shared" si="10"/>
        <v>-0.1</v>
      </c>
      <c r="H48" s="65">
        <v>1132</v>
      </c>
      <c r="I48" s="65">
        <v>-254</v>
      </c>
      <c r="J48" s="66">
        <f t="shared" si="11"/>
        <v>-0.18326118326118326</v>
      </c>
      <c r="K48" s="65">
        <v>1378</v>
      </c>
      <c r="L48" s="65">
        <v>-125</v>
      </c>
      <c r="M48" s="66">
        <f t="shared" si="12"/>
        <v>-0.08316699933466401</v>
      </c>
      <c r="N48" s="65">
        <v>1344</v>
      </c>
      <c r="O48" s="65">
        <v>163</v>
      </c>
      <c r="P48" s="66">
        <f t="shared" si="13"/>
        <v>0.1380186282811177</v>
      </c>
      <c r="Q48" s="65">
        <v>755</v>
      </c>
      <c r="R48" s="65">
        <v>-237</v>
      </c>
      <c r="S48" s="66">
        <f t="shared" si="14"/>
        <v>-0.23891129032258066</v>
      </c>
      <c r="T48" s="67"/>
      <c r="U48" s="68">
        <f t="shared" si="17"/>
        <v>6129</v>
      </c>
      <c r="V48" s="65">
        <f t="shared" si="17"/>
        <v>-466</v>
      </c>
      <c r="W48" s="67">
        <f t="shared" si="15"/>
        <v>-0.07065959059893859</v>
      </c>
      <c r="X48" s="69">
        <f t="shared" si="7"/>
        <v>31.324175824175825</v>
      </c>
    </row>
    <row r="49" spans="1:24" s="50" customFormat="1" ht="12.75">
      <c r="A49" s="57" t="s">
        <v>162</v>
      </c>
      <c r="B49" s="65">
        <v>308</v>
      </c>
      <c r="C49" s="65">
        <v>58</v>
      </c>
      <c r="D49" s="66">
        <f t="shared" si="9"/>
        <v>0.232</v>
      </c>
      <c r="E49" s="65">
        <v>502</v>
      </c>
      <c r="F49" s="65">
        <v>0</v>
      </c>
      <c r="G49" s="66">
        <f t="shared" si="10"/>
        <v>0</v>
      </c>
      <c r="H49" s="65">
        <v>672</v>
      </c>
      <c r="I49" s="65">
        <v>-110</v>
      </c>
      <c r="J49" s="66">
        <f t="shared" si="11"/>
        <v>-0.14066496163682865</v>
      </c>
      <c r="K49" s="65">
        <v>782</v>
      </c>
      <c r="L49" s="65">
        <v>-107</v>
      </c>
      <c r="M49" s="66">
        <f t="shared" si="12"/>
        <v>-0.1203599550056243</v>
      </c>
      <c r="N49" s="65">
        <v>822</v>
      </c>
      <c r="O49" s="65">
        <v>139</v>
      </c>
      <c r="P49" s="66">
        <f t="shared" si="13"/>
        <v>0.20351390922401172</v>
      </c>
      <c r="Q49" s="65">
        <v>329</v>
      </c>
      <c r="R49" s="65">
        <v>-176</v>
      </c>
      <c r="S49" s="66">
        <f t="shared" si="14"/>
        <v>-0.3485148514851485</v>
      </c>
      <c r="T49" s="67"/>
      <c r="U49" s="68">
        <f t="shared" si="17"/>
        <v>3415</v>
      </c>
      <c r="V49" s="65">
        <f t="shared" si="17"/>
        <v>-196</v>
      </c>
      <c r="W49" s="67">
        <f t="shared" si="15"/>
        <v>-0.05427859318748269</v>
      </c>
      <c r="X49" s="69">
        <f t="shared" si="7"/>
        <v>46.23626373626374</v>
      </c>
    </row>
    <row r="50" spans="1:24" s="50" customFormat="1" ht="12.75">
      <c r="A50" s="57" t="s">
        <v>163</v>
      </c>
      <c r="B50" s="65">
        <v>65</v>
      </c>
      <c r="C50" s="65">
        <v>3</v>
      </c>
      <c r="D50" s="66">
        <f t="shared" si="9"/>
        <v>0.04838709677419355</v>
      </c>
      <c r="E50" s="65">
        <v>201</v>
      </c>
      <c r="F50" s="65">
        <v>-54</v>
      </c>
      <c r="G50" s="66">
        <f t="shared" si="10"/>
        <v>-0.21176470588235294</v>
      </c>
      <c r="H50" s="65">
        <v>422</v>
      </c>
      <c r="I50" s="65">
        <v>-48</v>
      </c>
      <c r="J50" s="66">
        <f t="shared" si="11"/>
        <v>-0.10212765957446808</v>
      </c>
      <c r="K50" s="65">
        <v>600</v>
      </c>
      <c r="L50" s="65">
        <v>66</v>
      </c>
      <c r="M50" s="66">
        <f t="shared" si="12"/>
        <v>0.12359550561797752</v>
      </c>
      <c r="N50" s="65">
        <v>391</v>
      </c>
      <c r="O50" s="65">
        <v>24</v>
      </c>
      <c r="P50" s="66">
        <f t="shared" si="13"/>
        <v>0.0653950953678474</v>
      </c>
      <c r="Q50" s="65">
        <v>143</v>
      </c>
      <c r="R50" s="65">
        <v>-78</v>
      </c>
      <c r="S50" s="66">
        <f t="shared" si="14"/>
        <v>-0.35294117647058826</v>
      </c>
      <c r="T50" s="67"/>
      <c r="U50" s="68">
        <f t="shared" si="17"/>
        <v>1822</v>
      </c>
      <c r="V50" s="65">
        <f t="shared" si="17"/>
        <v>-87</v>
      </c>
      <c r="W50" s="67">
        <f t="shared" si="15"/>
        <v>-0.045573598742797275</v>
      </c>
      <c r="X50" s="69">
        <f t="shared" si="7"/>
        <v>54.98901098901099</v>
      </c>
    </row>
    <row r="51" spans="1:24" s="50" customFormat="1" ht="12.75">
      <c r="A51" s="57" t="s">
        <v>164</v>
      </c>
      <c r="B51" s="65">
        <v>526</v>
      </c>
      <c r="C51" s="65">
        <v>48</v>
      </c>
      <c r="D51" s="66">
        <f t="shared" si="9"/>
        <v>0.100418410041841</v>
      </c>
      <c r="E51" s="65">
        <v>780</v>
      </c>
      <c r="F51" s="65">
        <v>-73</v>
      </c>
      <c r="G51" s="66">
        <f t="shared" si="10"/>
        <v>-0.08558030480656506</v>
      </c>
      <c r="H51" s="65">
        <v>1149</v>
      </c>
      <c r="I51" s="65">
        <v>-13</v>
      </c>
      <c r="J51" s="66">
        <f t="shared" si="11"/>
        <v>-0.011187607573149742</v>
      </c>
      <c r="K51" s="65">
        <v>1368</v>
      </c>
      <c r="L51" s="65">
        <v>161</v>
      </c>
      <c r="M51" s="66">
        <f t="shared" si="12"/>
        <v>0.13338856669428334</v>
      </c>
      <c r="N51" s="65">
        <v>861</v>
      </c>
      <c r="O51" s="65">
        <v>-90</v>
      </c>
      <c r="P51" s="66">
        <f t="shared" si="13"/>
        <v>-0.0946372239747634</v>
      </c>
      <c r="Q51" s="65">
        <v>658</v>
      </c>
      <c r="R51" s="65">
        <v>-136</v>
      </c>
      <c r="S51" s="66">
        <f t="shared" si="14"/>
        <v>-0.1712846347607053</v>
      </c>
      <c r="T51" s="67"/>
      <c r="U51" s="68">
        <f t="shared" si="17"/>
        <v>5342</v>
      </c>
      <c r="V51" s="65">
        <f t="shared" si="17"/>
        <v>-103</v>
      </c>
      <c r="W51" s="67">
        <f t="shared" si="15"/>
        <v>-0.01891643709825528</v>
      </c>
      <c r="X51" s="69">
        <f t="shared" si="7"/>
        <v>35.64835164835165</v>
      </c>
    </row>
    <row r="52" spans="1:24" s="50" customFormat="1" ht="12.75">
      <c r="A52" s="57" t="s">
        <v>165</v>
      </c>
      <c r="B52" s="65">
        <v>616</v>
      </c>
      <c r="C52" s="65">
        <v>20</v>
      </c>
      <c r="D52" s="66">
        <f t="shared" si="9"/>
        <v>0.03355704697986577</v>
      </c>
      <c r="E52" s="65">
        <v>702</v>
      </c>
      <c r="F52" s="65">
        <v>-184</v>
      </c>
      <c r="G52" s="66">
        <f t="shared" si="10"/>
        <v>-0.2076749435665914</v>
      </c>
      <c r="H52" s="65">
        <v>1038</v>
      </c>
      <c r="I52" s="65">
        <v>-253</v>
      </c>
      <c r="J52" s="66">
        <f t="shared" si="11"/>
        <v>-0.1959721146398141</v>
      </c>
      <c r="K52" s="65">
        <v>1377</v>
      </c>
      <c r="L52" s="65">
        <v>-110</v>
      </c>
      <c r="M52" s="66">
        <f t="shared" si="12"/>
        <v>-0.07397444519166106</v>
      </c>
      <c r="N52" s="65">
        <v>1437</v>
      </c>
      <c r="O52" s="65">
        <v>160</v>
      </c>
      <c r="P52" s="66">
        <f t="shared" si="13"/>
        <v>0.12529365700861395</v>
      </c>
      <c r="Q52" s="65">
        <v>1184</v>
      </c>
      <c r="R52" s="65">
        <v>87</v>
      </c>
      <c r="S52" s="66">
        <f t="shared" si="14"/>
        <v>0.07930720145852324</v>
      </c>
      <c r="T52" s="67"/>
      <c r="U52" s="68">
        <f t="shared" si="17"/>
        <v>6354</v>
      </c>
      <c r="V52" s="65">
        <f t="shared" si="17"/>
        <v>-280</v>
      </c>
      <c r="W52" s="67">
        <f t="shared" si="15"/>
        <v>-0.04220681338558939</v>
      </c>
      <c r="X52" s="69">
        <f t="shared" si="7"/>
        <v>30.087912087912088</v>
      </c>
    </row>
    <row r="53" spans="1:24" s="50" customFormat="1" ht="12.75">
      <c r="A53" s="57" t="s">
        <v>166</v>
      </c>
      <c r="B53" s="65">
        <v>308</v>
      </c>
      <c r="C53" s="65">
        <v>17</v>
      </c>
      <c r="D53" s="66">
        <f t="shared" si="9"/>
        <v>0.058419243986254296</v>
      </c>
      <c r="E53" s="65">
        <v>469</v>
      </c>
      <c r="F53" s="65">
        <v>-69</v>
      </c>
      <c r="G53" s="66">
        <f t="shared" si="10"/>
        <v>-0.12825278810408922</v>
      </c>
      <c r="H53" s="65">
        <v>665</v>
      </c>
      <c r="I53" s="65">
        <v>-158</v>
      </c>
      <c r="J53" s="66">
        <f t="shared" si="11"/>
        <v>-0.1919805589307412</v>
      </c>
      <c r="K53" s="65">
        <v>764</v>
      </c>
      <c r="L53" s="65">
        <v>-178</v>
      </c>
      <c r="M53" s="66">
        <f t="shared" si="12"/>
        <v>-0.18895966029723993</v>
      </c>
      <c r="N53" s="65">
        <v>954</v>
      </c>
      <c r="O53" s="65">
        <v>187</v>
      </c>
      <c r="P53" s="66">
        <f t="shared" si="13"/>
        <v>0.2438070404172099</v>
      </c>
      <c r="Q53" s="65">
        <v>512</v>
      </c>
      <c r="R53" s="65">
        <v>-96</v>
      </c>
      <c r="S53" s="66">
        <f t="shared" si="14"/>
        <v>-0.15789473684210525</v>
      </c>
      <c r="T53" s="67"/>
      <c r="U53" s="68">
        <f t="shared" si="17"/>
        <v>3672</v>
      </c>
      <c r="V53" s="65">
        <f t="shared" si="17"/>
        <v>-297</v>
      </c>
      <c r="W53" s="67">
        <f t="shared" si="15"/>
        <v>-0.07482993197278912</v>
      </c>
      <c r="X53" s="69">
        <f t="shared" si="7"/>
        <v>44.824175824175825</v>
      </c>
    </row>
    <row r="54" spans="1:24" s="50" customFormat="1" ht="12.75">
      <c r="A54" s="57" t="s">
        <v>167</v>
      </c>
      <c r="B54" s="65">
        <v>471</v>
      </c>
      <c r="C54" s="65">
        <v>21</v>
      </c>
      <c r="D54" s="66">
        <f t="shared" si="9"/>
        <v>0.04666666666666667</v>
      </c>
      <c r="E54" s="65">
        <v>692</v>
      </c>
      <c r="F54" s="65">
        <v>5</v>
      </c>
      <c r="G54" s="66">
        <f t="shared" si="10"/>
        <v>0.00727802037845706</v>
      </c>
      <c r="H54" s="65">
        <v>858</v>
      </c>
      <c r="I54" s="65">
        <v>-15</v>
      </c>
      <c r="J54" s="66">
        <f t="shared" si="11"/>
        <v>-0.01718213058419244</v>
      </c>
      <c r="K54" s="65">
        <v>927</v>
      </c>
      <c r="L54" s="65">
        <v>50</v>
      </c>
      <c r="M54" s="66">
        <f t="shared" si="12"/>
        <v>0.05701254275940707</v>
      </c>
      <c r="N54" s="65">
        <v>673</v>
      </c>
      <c r="O54" s="65">
        <v>-23</v>
      </c>
      <c r="P54" s="66">
        <f t="shared" si="13"/>
        <v>-0.033045977011494254</v>
      </c>
      <c r="Q54" s="65">
        <v>600</v>
      </c>
      <c r="R54" s="65">
        <v>-40</v>
      </c>
      <c r="S54" s="66">
        <f t="shared" si="14"/>
        <v>-0.0625</v>
      </c>
      <c r="T54" s="67"/>
      <c r="U54" s="68">
        <f t="shared" si="17"/>
        <v>4221</v>
      </c>
      <c r="V54" s="65">
        <f t="shared" si="17"/>
        <v>-2</v>
      </c>
      <c r="W54" s="67">
        <f t="shared" si="15"/>
        <v>-0.0004735969689793985</v>
      </c>
      <c r="X54" s="69">
        <f t="shared" si="7"/>
        <v>41.80769230769231</v>
      </c>
    </row>
    <row r="55" spans="1:24" s="50" customFormat="1" ht="12.75">
      <c r="A55" s="57" t="s">
        <v>168</v>
      </c>
      <c r="B55" s="65">
        <v>419</v>
      </c>
      <c r="C55" s="65">
        <v>49</v>
      </c>
      <c r="D55" s="66">
        <f t="shared" si="9"/>
        <v>0.13243243243243244</v>
      </c>
      <c r="E55" s="65">
        <v>590</v>
      </c>
      <c r="F55" s="65">
        <v>-45</v>
      </c>
      <c r="G55" s="66">
        <f t="shared" si="10"/>
        <v>-0.07086614173228346</v>
      </c>
      <c r="H55" s="65">
        <v>786</v>
      </c>
      <c r="I55" s="65">
        <v>-145</v>
      </c>
      <c r="J55" s="66">
        <f t="shared" si="11"/>
        <v>-0.15574650912996776</v>
      </c>
      <c r="K55" s="65">
        <v>914</v>
      </c>
      <c r="L55" s="65">
        <v>-147</v>
      </c>
      <c r="M55" s="66">
        <f t="shared" si="12"/>
        <v>-0.13854853911404336</v>
      </c>
      <c r="N55" s="65">
        <v>1148</v>
      </c>
      <c r="O55" s="65">
        <v>280</v>
      </c>
      <c r="P55" s="66">
        <f t="shared" si="13"/>
        <v>0.3225806451612903</v>
      </c>
      <c r="Q55" s="65">
        <v>573</v>
      </c>
      <c r="R55" s="65">
        <v>-125</v>
      </c>
      <c r="S55" s="66">
        <f t="shared" si="14"/>
        <v>-0.17908309455587393</v>
      </c>
      <c r="T55" s="67"/>
      <c r="U55" s="68">
        <f t="shared" si="17"/>
        <v>4430</v>
      </c>
      <c r="V55" s="65">
        <f t="shared" si="17"/>
        <v>-133</v>
      </c>
      <c r="W55" s="67">
        <f t="shared" si="15"/>
        <v>-0.029147490685952224</v>
      </c>
      <c r="X55" s="69">
        <f t="shared" si="7"/>
        <v>40.65934065934066</v>
      </c>
    </row>
    <row r="56" spans="1:24" s="50" customFormat="1" ht="12.75">
      <c r="A56" s="57" t="s">
        <v>169</v>
      </c>
      <c r="B56" s="65">
        <v>625</v>
      </c>
      <c r="C56" s="65">
        <v>105</v>
      </c>
      <c r="D56" s="66">
        <f t="shared" si="9"/>
        <v>0.20192307692307693</v>
      </c>
      <c r="E56" s="65">
        <v>780</v>
      </c>
      <c r="F56" s="65">
        <v>-127</v>
      </c>
      <c r="G56" s="66">
        <f t="shared" si="10"/>
        <v>-0.14002205071664828</v>
      </c>
      <c r="H56" s="65">
        <v>1093</v>
      </c>
      <c r="I56" s="65">
        <v>-241</v>
      </c>
      <c r="J56" s="66">
        <f t="shared" si="11"/>
        <v>-0.18065967016491755</v>
      </c>
      <c r="K56" s="65">
        <v>1289</v>
      </c>
      <c r="L56" s="65">
        <v>-224</v>
      </c>
      <c r="M56" s="66">
        <f t="shared" si="12"/>
        <v>-0.14805023132848646</v>
      </c>
      <c r="N56" s="65">
        <v>1433</v>
      </c>
      <c r="O56" s="65">
        <v>216</v>
      </c>
      <c r="P56" s="66">
        <f t="shared" si="13"/>
        <v>0.17748562037797863</v>
      </c>
      <c r="Q56" s="65">
        <v>885</v>
      </c>
      <c r="R56" s="65">
        <v>-135</v>
      </c>
      <c r="S56" s="66">
        <f t="shared" si="14"/>
        <v>-0.1323529411764706</v>
      </c>
      <c r="T56" s="67"/>
      <c r="U56" s="68">
        <f t="shared" si="17"/>
        <v>6105</v>
      </c>
      <c r="V56" s="65">
        <f t="shared" si="17"/>
        <v>-406</v>
      </c>
      <c r="W56" s="67">
        <f t="shared" si="15"/>
        <v>-0.06235601290124405</v>
      </c>
      <c r="X56" s="69">
        <f t="shared" si="7"/>
        <v>31.456043956043956</v>
      </c>
    </row>
    <row r="57" spans="1:24" s="50" customFormat="1" ht="12.75">
      <c r="A57" s="57" t="s">
        <v>170</v>
      </c>
      <c r="B57" s="65">
        <v>683</v>
      </c>
      <c r="C57" s="65">
        <v>39</v>
      </c>
      <c r="D57" s="66">
        <f t="shared" si="9"/>
        <v>0.06055900621118013</v>
      </c>
      <c r="E57" s="65">
        <v>926</v>
      </c>
      <c r="F57" s="65">
        <v>-117</v>
      </c>
      <c r="G57" s="66">
        <f t="shared" si="10"/>
        <v>-0.11217641418983701</v>
      </c>
      <c r="H57" s="65">
        <v>1206</v>
      </c>
      <c r="I57" s="65">
        <v>-125</v>
      </c>
      <c r="J57" s="66">
        <f t="shared" si="11"/>
        <v>-0.09391435011269722</v>
      </c>
      <c r="K57" s="65">
        <v>1434</v>
      </c>
      <c r="L57" s="65">
        <v>58</v>
      </c>
      <c r="M57" s="66">
        <f t="shared" si="12"/>
        <v>0.04215116279069767</v>
      </c>
      <c r="N57" s="65">
        <v>1063</v>
      </c>
      <c r="O57" s="65">
        <v>-57</v>
      </c>
      <c r="P57" s="66">
        <f t="shared" si="13"/>
        <v>-0.05089285714285714</v>
      </c>
      <c r="Q57" s="65">
        <v>787</v>
      </c>
      <c r="R57" s="65">
        <v>-207</v>
      </c>
      <c r="S57" s="66">
        <f t="shared" si="14"/>
        <v>-0.20824949698189135</v>
      </c>
      <c r="T57" s="67"/>
      <c r="U57" s="68">
        <f t="shared" si="17"/>
        <v>6099</v>
      </c>
      <c r="V57" s="65">
        <f t="shared" si="17"/>
        <v>-409</v>
      </c>
      <c r="W57" s="67">
        <f t="shared" si="15"/>
        <v>-0.06284572833435771</v>
      </c>
      <c r="X57" s="69">
        <f t="shared" si="7"/>
        <v>31.489010989010985</v>
      </c>
    </row>
    <row r="58" spans="1:23" s="50" customFormat="1" ht="12.75">
      <c r="A58" s="71"/>
      <c r="B58" s="65"/>
      <c r="C58" s="65"/>
      <c r="D58" s="72"/>
      <c r="E58" s="65"/>
      <c r="F58" s="65"/>
      <c r="G58" s="72"/>
      <c r="H58" s="65"/>
      <c r="I58" s="65"/>
      <c r="J58" s="67"/>
      <c r="K58" s="65"/>
      <c r="L58" s="65"/>
      <c r="M58" s="67"/>
      <c r="N58" s="65"/>
      <c r="O58" s="65"/>
      <c r="P58" s="67"/>
      <c r="Q58" s="65"/>
      <c r="R58" s="65"/>
      <c r="S58" s="67"/>
      <c r="T58" s="67"/>
      <c r="U58" s="65"/>
      <c r="V58" s="65"/>
      <c r="W58" s="67"/>
    </row>
    <row r="59" spans="1:23" s="50" customFormat="1" ht="12.75">
      <c r="A59" s="57" t="s">
        <v>171</v>
      </c>
      <c r="B59" s="65">
        <v>461</v>
      </c>
      <c r="C59" s="65">
        <v>-6</v>
      </c>
      <c r="D59" s="66">
        <f aca="true" t="shared" si="18" ref="D59:D67">C59/(B59-C59)</f>
        <v>-0.01284796573875803</v>
      </c>
      <c r="E59" s="65">
        <v>584</v>
      </c>
      <c r="F59" s="65">
        <v>-143</v>
      </c>
      <c r="G59" s="66">
        <f aca="true" t="shared" si="19" ref="G59:G67">F59/(E59-F59)</f>
        <v>-0.19669876203576342</v>
      </c>
      <c r="H59" s="65">
        <v>871</v>
      </c>
      <c r="I59" s="65">
        <v>-207</v>
      </c>
      <c r="J59" s="66">
        <f aca="true" t="shared" si="20" ref="J59:J67">I59/(H59-I59)</f>
        <v>-0.19202226345083487</v>
      </c>
      <c r="K59" s="65">
        <v>1106</v>
      </c>
      <c r="L59" s="65">
        <v>-140</v>
      </c>
      <c r="M59" s="66">
        <f aca="true" t="shared" si="21" ref="M59:M67">L59/(K59-L59)</f>
        <v>-0.11235955056179775</v>
      </c>
      <c r="N59" s="65">
        <v>1208</v>
      </c>
      <c r="O59" s="65">
        <v>148</v>
      </c>
      <c r="P59" s="66">
        <f aca="true" t="shared" si="22" ref="P59:P67">O59/(N59-O59)</f>
        <v>0.13962264150943396</v>
      </c>
      <c r="Q59" s="65">
        <v>949</v>
      </c>
      <c r="R59" s="65">
        <v>36</v>
      </c>
      <c r="S59" s="66">
        <f aca="true" t="shared" si="23" ref="S59:S67">R59/(Q59-R59)</f>
        <v>0.03943044906900329</v>
      </c>
      <c r="T59" s="67"/>
      <c r="U59" s="68">
        <f aca="true" t="shared" si="24" ref="U59:V67">SUMIF($B$6:$T$6,U$6,$B59:$T59)</f>
        <v>5179</v>
      </c>
      <c r="V59" s="65">
        <f t="shared" si="24"/>
        <v>-312</v>
      </c>
      <c r="W59" s="67">
        <f aca="true" t="shared" si="25" ref="W59:W67">V59/(U59-V59)</f>
        <v>-0.05682025132034238</v>
      </c>
    </row>
    <row r="60" spans="1:23" s="50" customFormat="1" ht="12.75">
      <c r="A60" s="57" t="s">
        <v>172</v>
      </c>
      <c r="B60" s="65">
        <v>385</v>
      </c>
      <c r="C60" s="65">
        <v>-14</v>
      </c>
      <c r="D60" s="66">
        <f t="shared" si="18"/>
        <v>-0.03508771929824561</v>
      </c>
      <c r="E60" s="65">
        <v>525</v>
      </c>
      <c r="F60" s="65">
        <v>-142</v>
      </c>
      <c r="G60" s="66">
        <f t="shared" si="19"/>
        <v>-0.2128935532233883</v>
      </c>
      <c r="H60" s="65">
        <v>777</v>
      </c>
      <c r="I60" s="65">
        <v>-221</v>
      </c>
      <c r="J60" s="66">
        <f t="shared" si="20"/>
        <v>-0.22144288577154309</v>
      </c>
      <c r="K60" s="65">
        <v>980</v>
      </c>
      <c r="L60" s="65">
        <v>-178</v>
      </c>
      <c r="M60" s="66">
        <f t="shared" si="21"/>
        <v>-0.153713298791019</v>
      </c>
      <c r="N60" s="65">
        <v>1159</v>
      </c>
      <c r="O60" s="65">
        <v>176</v>
      </c>
      <c r="P60" s="66">
        <f t="shared" si="22"/>
        <v>0.1790437436419125</v>
      </c>
      <c r="Q60" s="65">
        <v>826</v>
      </c>
      <c r="R60" s="65">
        <v>-1</v>
      </c>
      <c r="S60" s="66">
        <f t="shared" si="23"/>
        <v>-0.0012091898428053204</v>
      </c>
      <c r="T60" s="67"/>
      <c r="U60" s="68">
        <f t="shared" si="24"/>
        <v>4652</v>
      </c>
      <c r="V60" s="65">
        <f t="shared" si="24"/>
        <v>-380</v>
      </c>
      <c r="W60" s="67">
        <f t="shared" si="25"/>
        <v>-0.075516693163752</v>
      </c>
    </row>
    <row r="61" spans="1:23" s="50" customFormat="1" ht="12.75">
      <c r="A61" s="57" t="s">
        <v>173</v>
      </c>
      <c r="B61" s="65">
        <v>500</v>
      </c>
      <c r="C61" s="65">
        <v>76</v>
      </c>
      <c r="D61" s="66">
        <f t="shared" si="18"/>
        <v>0.1792452830188679</v>
      </c>
      <c r="E61" s="65">
        <v>668</v>
      </c>
      <c r="F61" s="65">
        <v>-89</v>
      </c>
      <c r="G61" s="66">
        <f t="shared" si="19"/>
        <v>-0.11756935270805813</v>
      </c>
      <c r="H61" s="65">
        <v>919</v>
      </c>
      <c r="I61" s="65">
        <v>-216</v>
      </c>
      <c r="J61" s="66">
        <f t="shared" si="20"/>
        <v>-0.19030837004405288</v>
      </c>
      <c r="K61" s="65">
        <v>1112</v>
      </c>
      <c r="L61" s="65">
        <v>-190</v>
      </c>
      <c r="M61" s="66">
        <f t="shared" si="21"/>
        <v>-0.14592933947772657</v>
      </c>
      <c r="N61" s="65">
        <v>1319</v>
      </c>
      <c r="O61" s="65">
        <v>258</v>
      </c>
      <c r="P61" s="66">
        <f t="shared" si="22"/>
        <v>0.24316682375117812</v>
      </c>
      <c r="Q61" s="65">
        <v>727</v>
      </c>
      <c r="R61" s="65">
        <v>-137</v>
      </c>
      <c r="S61" s="66">
        <f t="shared" si="23"/>
        <v>-0.15856481481481483</v>
      </c>
      <c r="T61" s="67"/>
      <c r="U61" s="68">
        <f t="shared" si="24"/>
        <v>5245</v>
      </c>
      <c r="V61" s="65">
        <f t="shared" si="24"/>
        <v>-298</v>
      </c>
      <c r="W61" s="67">
        <f t="shared" si="25"/>
        <v>-0.053761500992242466</v>
      </c>
    </row>
    <row r="62" spans="1:23" s="50" customFormat="1" ht="12.75">
      <c r="A62" s="57" t="s">
        <v>174</v>
      </c>
      <c r="B62" s="65">
        <v>519</v>
      </c>
      <c r="C62" s="65">
        <v>95</v>
      </c>
      <c r="D62" s="66">
        <f t="shared" si="18"/>
        <v>0.2240566037735849</v>
      </c>
      <c r="E62" s="65">
        <v>742</v>
      </c>
      <c r="F62" s="65">
        <v>-98</v>
      </c>
      <c r="G62" s="66">
        <f t="shared" si="19"/>
        <v>-0.11666666666666667</v>
      </c>
      <c r="H62" s="65">
        <v>1010</v>
      </c>
      <c r="I62" s="65">
        <v>-238</v>
      </c>
      <c r="J62" s="66">
        <f t="shared" si="20"/>
        <v>-0.1907051282051282</v>
      </c>
      <c r="K62" s="65">
        <v>1277</v>
      </c>
      <c r="L62" s="65">
        <v>-113</v>
      </c>
      <c r="M62" s="66">
        <f t="shared" si="21"/>
        <v>-0.08129496402877698</v>
      </c>
      <c r="N62" s="65">
        <v>1256</v>
      </c>
      <c r="O62" s="65">
        <v>178</v>
      </c>
      <c r="P62" s="66">
        <f t="shared" si="22"/>
        <v>0.16512059369202226</v>
      </c>
      <c r="Q62" s="65">
        <v>675</v>
      </c>
      <c r="R62" s="65">
        <v>-183</v>
      </c>
      <c r="S62" s="66">
        <f t="shared" si="23"/>
        <v>-0.21328671328671328</v>
      </c>
      <c r="T62" s="67"/>
      <c r="U62" s="68">
        <f t="shared" si="24"/>
        <v>5479</v>
      </c>
      <c r="V62" s="65">
        <f t="shared" si="24"/>
        <v>-359</v>
      </c>
      <c r="W62" s="67">
        <f t="shared" si="25"/>
        <v>-0.06149366221308667</v>
      </c>
    </row>
    <row r="63" spans="1:23" s="50" customFormat="1" ht="12.75">
      <c r="A63" s="57" t="s">
        <v>175</v>
      </c>
      <c r="B63" s="65">
        <v>185</v>
      </c>
      <c r="C63" s="65">
        <v>21</v>
      </c>
      <c r="D63" s="66">
        <f t="shared" si="18"/>
        <v>0.12804878048780488</v>
      </c>
      <c r="E63" s="65">
        <v>326</v>
      </c>
      <c r="F63" s="65">
        <v>-13</v>
      </c>
      <c r="G63" s="66">
        <f t="shared" si="19"/>
        <v>-0.038348082595870206</v>
      </c>
      <c r="H63" s="65">
        <v>426</v>
      </c>
      <c r="I63" s="65">
        <v>-129</v>
      </c>
      <c r="J63" s="66">
        <f t="shared" si="20"/>
        <v>-0.23243243243243245</v>
      </c>
      <c r="K63" s="65">
        <v>509</v>
      </c>
      <c r="L63" s="65">
        <v>-134</v>
      </c>
      <c r="M63" s="66">
        <f t="shared" si="21"/>
        <v>-0.208398133748056</v>
      </c>
      <c r="N63" s="65">
        <v>607</v>
      </c>
      <c r="O63" s="65">
        <v>100</v>
      </c>
      <c r="P63" s="66">
        <f t="shared" si="22"/>
        <v>0.19723865877712032</v>
      </c>
      <c r="Q63" s="65">
        <v>303</v>
      </c>
      <c r="R63" s="65">
        <v>-70</v>
      </c>
      <c r="S63" s="66">
        <f t="shared" si="23"/>
        <v>-0.1876675603217158</v>
      </c>
      <c r="T63" s="67"/>
      <c r="U63" s="68">
        <f t="shared" si="24"/>
        <v>2356</v>
      </c>
      <c r="V63" s="65">
        <f t="shared" si="24"/>
        <v>-225</v>
      </c>
      <c r="W63" s="67">
        <f t="shared" si="25"/>
        <v>-0.08717551336691205</v>
      </c>
    </row>
    <row r="64" spans="1:23" s="50" customFormat="1" ht="12.75">
      <c r="A64" s="57" t="s">
        <v>176</v>
      </c>
      <c r="B64" s="65">
        <v>249</v>
      </c>
      <c r="C64" s="65">
        <v>36</v>
      </c>
      <c r="D64" s="66">
        <f t="shared" si="18"/>
        <v>0.16901408450704225</v>
      </c>
      <c r="E64" s="65">
        <v>448</v>
      </c>
      <c r="F64" s="65">
        <v>-1</v>
      </c>
      <c r="G64" s="66">
        <f t="shared" si="19"/>
        <v>-0.0022271714922048997</v>
      </c>
      <c r="H64" s="65">
        <v>601</v>
      </c>
      <c r="I64" s="65">
        <v>-114</v>
      </c>
      <c r="J64" s="66">
        <f t="shared" si="20"/>
        <v>-0.15944055944055943</v>
      </c>
      <c r="K64" s="65">
        <v>705</v>
      </c>
      <c r="L64" s="65">
        <v>-115</v>
      </c>
      <c r="M64" s="66">
        <f t="shared" si="21"/>
        <v>-0.1402439024390244</v>
      </c>
      <c r="N64" s="65">
        <v>753</v>
      </c>
      <c r="O64" s="65">
        <v>130</v>
      </c>
      <c r="P64" s="66">
        <f t="shared" si="22"/>
        <v>0.2086677367576244</v>
      </c>
      <c r="Q64" s="65">
        <v>293</v>
      </c>
      <c r="R64" s="65">
        <v>-159</v>
      </c>
      <c r="S64" s="66">
        <f t="shared" si="23"/>
        <v>-0.35176991150442477</v>
      </c>
      <c r="T64" s="67"/>
      <c r="U64" s="68">
        <f t="shared" si="24"/>
        <v>3049</v>
      </c>
      <c r="V64" s="65">
        <f t="shared" si="24"/>
        <v>-223</v>
      </c>
      <c r="W64" s="67">
        <f t="shared" si="25"/>
        <v>-0.06815403422982885</v>
      </c>
    </row>
    <row r="65" spans="1:23" s="50" customFormat="1" ht="12.75">
      <c r="A65" s="57" t="s">
        <v>177</v>
      </c>
      <c r="B65" s="65">
        <v>97</v>
      </c>
      <c r="C65" s="65">
        <v>14</v>
      </c>
      <c r="D65" s="66">
        <f t="shared" si="18"/>
        <v>0.1686746987951807</v>
      </c>
      <c r="E65" s="65">
        <v>249</v>
      </c>
      <c r="F65" s="65">
        <v>-44</v>
      </c>
      <c r="G65" s="66">
        <f t="shared" si="19"/>
        <v>-0.15017064846416384</v>
      </c>
      <c r="H65" s="65">
        <v>466</v>
      </c>
      <c r="I65" s="65">
        <v>-54</v>
      </c>
      <c r="J65" s="66">
        <f t="shared" si="20"/>
        <v>-0.10384615384615385</v>
      </c>
      <c r="K65" s="65">
        <v>630</v>
      </c>
      <c r="L65" s="65">
        <v>37</v>
      </c>
      <c r="M65" s="66">
        <f t="shared" si="21"/>
        <v>0.06239460370994941</v>
      </c>
      <c r="N65" s="65">
        <v>452</v>
      </c>
      <c r="O65" s="65">
        <v>38</v>
      </c>
      <c r="P65" s="66">
        <f t="shared" si="22"/>
        <v>0.09178743961352658</v>
      </c>
      <c r="Q65" s="65">
        <v>164</v>
      </c>
      <c r="R65" s="65">
        <v>-99</v>
      </c>
      <c r="S65" s="66">
        <f t="shared" si="23"/>
        <v>-0.376425855513308</v>
      </c>
      <c r="T65" s="67"/>
      <c r="U65" s="68">
        <f t="shared" si="24"/>
        <v>2058</v>
      </c>
      <c r="V65" s="65">
        <f t="shared" si="24"/>
        <v>-108</v>
      </c>
      <c r="W65" s="67">
        <f t="shared" si="25"/>
        <v>-0.04986149584487535</v>
      </c>
    </row>
    <row r="66" spans="1:23" s="50" customFormat="1" ht="12.75">
      <c r="A66" s="57" t="s">
        <v>178</v>
      </c>
      <c r="B66" s="65">
        <v>372</v>
      </c>
      <c r="C66" s="65">
        <v>12</v>
      </c>
      <c r="D66" s="66">
        <f t="shared" si="18"/>
        <v>0.03333333333333333</v>
      </c>
      <c r="E66" s="65">
        <v>583</v>
      </c>
      <c r="F66" s="65">
        <v>-93</v>
      </c>
      <c r="G66" s="66">
        <f t="shared" si="19"/>
        <v>-0.13757396449704143</v>
      </c>
      <c r="H66" s="65">
        <v>914</v>
      </c>
      <c r="I66" s="65">
        <v>-14</v>
      </c>
      <c r="J66" s="66">
        <f t="shared" si="20"/>
        <v>-0.015086206896551725</v>
      </c>
      <c r="K66" s="65">
        <v>1049</v>
      </c>
      <c r="L66" s="65">
        <v>98</v>
      </c>
      <c r="M66" s="66">
        <f t="shared" si="21"/>
        <v>0.10304942166140904</v>
      </c>
      <c r="N66" s="65">
        <v>712</v>
      </c>
      <c r="O66" s="65">
        <v>-25</v>
      </c>
      <c r="P66" s="66">
        <f t="shared" si="22"/>
        <v>-0.033921302578018994</v>
      </c>
      <c r="Q66" s="65">
        <v>492</v>
      </c>
      <c r="R66" s="65">
        <v>-141</v>
      </c>
      <c r="S66" s="66">
        <f t="shared" si="23"/>
        <v>-0.22274881516587677</v>
      </c>
      <c r="T66" s="67"/>
      <c r="U66" s="68">
        <f t="shared" si="24"/>
        <v>4122</v>
      </c>
      <c r="V66" s="65">
        <f t="shared" si="24"/>
        <v>-163</v>
      </c>
      <c r="W66" s="67">
        <f t="shared" si="25"/>
        <v>-0.03803967327887981</v>
      </c>
    </row>
    <row r="67" spans="1:23" s="50" customFormat="1" ht="12.75">
      <c r="A67" s="57" t="s">
        <v>179</v>
      </c>
      <c r="B67" s="65">
        <v>184</v>
      </c>
      <c r="C67" s="65">
        <v>-2</v>
      </c>
      <c r="D67" s="66">
        <f t="shared" si="18"/>
        <v>-0.010752688172043012</v>
      </c>
      <c r="E67" s="65">
        <v>342</v>
      </c>
      <c r="F67" s="65">
        <v>-54</v>
      </c>
      <c r="G67" s="66">
        <f t="shared" si="19"/>
        <v>-0.13636363636363635</v>
      </c>
      <c r="H67" s="65">
        <v>544</v>
      </c>
      <c r="I67" s="65">
        <v>-19</v>
      </c>
      <c r="J67" s="66">
        <f t="shared" si="20"/>
        <v>-0.03374777975133215</v>
      </c>
      <c r="K67" s="65">
        <v>626</v>
      </c>
      <c r="L67" s="65">
        <v>62</v>
      </c>
      <c r="M67" s="66">
        <f t="shared" si="21"/>
        <v>0.1099290780141844</v>
      </c>
      <c r="N67" s="65">
        <v>440</v>
      </c>
      <c r="O67" s="65">
        <v>1</v>
      </c>
      <c r="P67" s="66">
        <f t="shared" si="22"/>
        <v>0.002277904328018223</v>
      </c>
      <c r="Q67" s="65">
        <v>308</v>
      </c>
      <c r="R67" s="65">
        <v>-108</v>
      </c>
      <c r="S67" s="66">
        <f t="shared" si="23"/>
        <v>-0.25961538461538464</v>
      </c>
      <c r="T67" s="67"/>
      <c r="U67" s="68">
        <f t="shared" si="24"/>
        <v>2444</v>
      </c>
      <c r="V67" s="65">
        <f t="shared" si="24"/>
        <v>-120</v>
      </c>
      <c r="W67" s="67">
        <f t="shared" si="25"/>
        <v>-0.046801872074883</v>
      </c>
    </row>
    <row r="68" spans="1:23" ht="15">
      <c r="A68" s="73"/>
      <c r="B68" s="74"/>
      <c r="C68" s="74"/>
      <c r="D68" s="74"/>
      <c r="E68" s="74"/>
      <c r="F68" s="74"/>
      <c r="G68" s="74"/>
      <c r="H68" s="75"/>
      <c r="I68" s="75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</row>
    <row r="69" spans="1:23" ht="15">
      <c r="A69" s="78" t="s">
        <v>180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</sheetData>
  <sheetProtection password="E68A" sheet="1" objects="1" scenarios="1"/>
  <mergeCells count="8">
    <mergeCell ref="B4:D4"/>
    <mergeCell ref="E4:G4"/>
    <mergeCell ref="H4:J4"/>
    <mergeCell ref="K4:M4"/>
    <mergeCell ref="N4:P4"/>
    <mergeCell ref="Q4:S4"/>
    <mergeCell ref="U4:X4"/>
    <mergeCell ref="U5:X5"/>
  </mergeCells>
  <hyperlinks>
    <hyperlink ref="B2" r:id="rId1" display="http://www.cpc.ncep.noaa.gov/products/analysis_monitoring/cdus/degree_days/msahddy.tx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pedelman</dc:creator>
  <cp:keywords/>
  <dc:description/>
  <cp:lastModifiedBy>USER</cp:lastModifiedBy>
  <cp:lastPrinted>2007-09-10T13:08:11Z</cp:lastPrinted>
  <dcterms:created xsi:type="dcterms:W3CDTF">2007-09-05T19:21:26Z</dcterms:created>
  <dcterms:modified xsi:type="dcterms:W3CDTF">2007-11-14T19:58:28Z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