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210" windowHeight="4500" activeTab="3"/>
  </bookViews>
  <sheets>
    <sheet name="$500MEC_60%&amp;40Deg" sheetId="1" r:id="rId1"/>
    <sheet name="TribesFY06BG" sheetId="2" r:id="rId2"/>
    <sheet name="TribesEC" sheetId="3" r:id="rId3"/>
    <sheet name="StatesEC_with_set-aside" sheetId="4" r:id="rId4"/>
  </sheets>
  <definedNames>
    <definedName name="_Fill" hidden="1">#REF!</definedName>
    <definedName name="_xlnm.Print_Area" localSheetId="0">'$500MEC_60%&amp;40Deg'!$A$1:$J$74</definedName>
    <definedName name="_xlnm.Print_Area" localSheetId="2">'TribesEC'!$A$1:$I$187</definedName>
    <definedName name="_xlnm.Print_Area" localSheetId="1">'TribesFY06BG'!$A$1:$H$194</definedName>
    <definedName name="Print_Area_MI" localSheetId="2">'TribesEC'!$A$1:$I$185</definedName>
    <definedName name="Print_Area_MI" localSheetId="1">'TribesFY06BG'!$A$1:$C$182</definedName>
    <definedName name="PRINT_AREA_MI">#REF!</definedName>
    <definedName name="_xlnm.Print_Titles" localSheetId="0">'$500MEC_60%&amp;40Deg'!$A:$A,'$500MEC_60%&amp;40Deg'!$1:$7</definedName>
    <definedName name="_xlnm.Print_Titles" localSheetId="3">'StatesEC_with_set-aside'!$1:$6</definedName>
    <definedName name="_xlnm.Print_Titles" localSheetId="2">'TribesEC'!$1:$8</definedName>
    <definedName name="_xlnm.Print_Titles" localSheetId="1">'TribesFY06BG'!$1:$5</definedName>
  </definedNames>
  <calcPr fullCalcOnLoad="1"/>
</workbook>
</file>

<file path=xl/sharedStrings.xml><?xml version="1.0" encoding="utf-8"?>
<sst xmlns="http://schemas.openxmlformats.org/spreadsheetml/2006/main" count="703" uniqueCount="272">
  <si>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</si>
  <si>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</si>
  <si>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</si>
  <si>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</si>
  <si>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</si>
  <si>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</si>
  <si>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</si>
  <si>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</si>
  <si>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</si>
  <si>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</si>
  <si>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</si>
  <si>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</si>
  <si>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</si>
  <si>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</si>
  <si>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</si>
  <si>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</si>
  <si>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</si>
  <si>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</si>
  <si>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</si>
  <si>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</si>
  <si>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</si>
  <si>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</si>
  <si>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</si>
  <si>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</si>
  <si>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</si>
  <si>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</si>
  <si>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</si>
  <si>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</si>
  <si>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</si>
  <si>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</si>
  <si>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</si>
  <si>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</si>
  <si>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</si>
  <si>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</si>
  <si>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</si>
  <si>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</si>
  <si>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</si>
  <si>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</si>
  <si>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</si>
  <si>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</si>
  <si>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</si>
  <si>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</si>
  <si>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</si>
  <si>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</si>
  <si>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</si>
  <si>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</si>
  <si>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</si>
  <si>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</si>
  <si>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</si>
  <si>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</si>
  <si>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</si>
  <si>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Allocation using old block grant percents, re-weighted after exclusions</t>
  </si>
  <si>
    <t>Block Grant Allotment Ratios</t>
  </si>
  <si>
    <t>Avg temp</t>
  </si>
  <si>
    <t>OIL % HH Using fuel for heat</t>
  </si>
  <si>
    <t>LPG % HH Using fuel for heat</t>
  </si>
  <si>
    <t>NG % HH Using fuel for heat</t>
  </si>
  <si>
    <t>Total % HH Using OIL, LPG &amp; NG (Col. D + E + F)</t>
  </si>
  <si>
    <t xml:space="preserve"> </t>
  </si>
  <si>
    <t xml:space="preserve">  Total to States</t>
  </si>
  <si>
    <t>Total</t>
  </si>
  <si>
    <t>Territories</t>
  </si>
  <si>
    <t xml:space="preserve">  TOTAL to States</t>
  </si>
  <si>
    <t>Ratios by Territory</t>
  </si>
  <si>
    <t>Territory Allotments</t>
  </si>
  <si>
    <t>American Samoa</t>
  </si>
  <si>
    <t>Guam</t>
  </si>
  <si>
    <t>Northern Marianas</t>
  </si>
  <si>
    <t>Puerto Rico</t>
  </si>
  <si>
    <t>Virgin Islands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</si>
  <si>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</si>
  <si>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</si>
  <si>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</si>
  <si>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</si>
  <si>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</si>
  <si>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</si>
  <si>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</si>
  <si>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</si>
  <si>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>TRIBES</t>
  </si>
  <si>
    <t>SOURCE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</si>
  <si>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</si>
  <si>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</si>
  <si>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</si>
  <si>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</si>
  <si>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</si>
  <si>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</si>
  <si>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</si>
  <si>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</si>
  <si>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</si>
  <si>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</si>
  <si>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</si>
  <si>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</si>
  <si>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</si>
  <si>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</si>
  <si>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</si>
  <si>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Fort Mojave (ITCC-CA)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</si>
  <si>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</si>
  <si>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</si>
  <si>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</si>
  <si>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</si>
  <si>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</si>
  <si>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</si>
  <si>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</si>
  <si>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</si>
  <si>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</si>
  <si>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</si>
  <si>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</si>
  <si>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</si>
  <si>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Inter-Tribal Council of California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</si>
  <si>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</si>
  <si>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</si>
  <si>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</si>
  <si>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</si>
  <si>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</si>
  <si>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</si>
  <si>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</si>
  <si>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</si>
  <si>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</si>
  <si>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</si>
  <si>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</si>
  <si>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</si>
  <si>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Shingle Springs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</si>
  <si>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</si>
  <si>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</si>
  <si>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</si>
  <si>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</si>
  <si>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 xml:space="preserve">  Southern Ute Tribe</t>
  </si>
  <si>
    <t>A/$</t>
  </si>
  <si>
    <t xml:space="preserve">  Poarch Band of Creek Indians (Ala.)</t>
  </si>
  <si>
    <t xml:space="preserve">  Coeur d'Alene Tribe</t>
  </si>
  <si>
    <t>C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</si>
  <si>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</si>
  <si>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</si>
  <si>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</si>
  <si>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</si>
  <si>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</si>
  <si>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</si>
  <si>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</si>
  <si>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</si>
  <si>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</si>
  <si>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</si>
  <si>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</si>
  <si>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</si>
  <si>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</si>
  <si>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</si>
  <si>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</si>
  <si>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</si>
  <si>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</si>
  <si>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</si>
  <si>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</si>
  <si>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</si>
  <si>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</si>
  <si>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</si>
  <si>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</si>
  <si>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</si>
  <si>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</si>
  <si>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</si>
  <si>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</si>
  <si>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</si>
  <si>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</si>
  <si>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</si>
  <si>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</si>
  <si>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</si>
  <si>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</si>
  <si>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</si>
  <si>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</si>
  <si>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</si>
  <si>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</si>
  <si>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</si>
  <si>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</si>
  <si>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</si>
  <si>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</si>
  <si>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</si>
  <si>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</si>
  <si>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</si>
  <si>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</si>
  <si>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</si>
  <si>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</si>
  <si>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</si>
  <si>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</si>
  <si>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</si>
  <si>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</si>
  <si>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</si>
  <si>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</si>
  <si>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</si>
  <si>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</si>
  <si>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</si>
  <si>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</si>
  <si>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</si>
  <si>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</si>
  <si>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</si>
  <si>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</si>
  <si>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</si>
  <si>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</si>
  <si>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</si>
  <si>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</si>
  <si>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</si>
  <si>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</si>
  <si>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</si>
  <si>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</si>
  <si>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</si>
  <si>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</si>
  <si>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</si>
  <si>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</si>
  <si>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</si>
  <si>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</si>
  <si>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</si>
  <si>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</si>
  <si>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</si>
  <si>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</si>
  <si>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</si>
  <si>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</si>
  <si>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</si>
  <si>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</si>
  <si>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</si>
  <si>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</si>
  <si>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</si>
  <si>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</si>
  <si>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</si>
  <si>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</si>
  <si>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</si>
  <si>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</si>
  <si>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</si>
  <si>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</si>
  <si>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</si>
  <si>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</si>
  <si>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</si>
  <si>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</si>
  <si>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</si>
  <si>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Swinomish Indians</t>
  </si>
  <si>
    <t xml:space="preserve">  Yakama Indian Nation</t>
  </si>
  <si>
    <t xml:space="preserve">  Northern Arapaho Nation</t>
  </si>
  <si>
    <t xml:space="preserve"> TOTALS FOR STATES WITH TRIBES FUNDED DIRECTLY BY HHS</t>
  </si>
  <si>
    <t>Gross State Allotments and Allotments Net of Tribal Set-asides</t>
  </si>
  <si>
    <t>STATE HHLD #</t>
  </si>
  <si>
    <t>TRIBAL HHLD #</t>
  </si>
  <si>
    <t>STATE GROSS ALLOTMENT</t>
  </si>
  <si>
    <t>TRIBAL ALLOTMENT</t>
  </si>
  <si>
    <t>STATE TRIBAL SET-ASIDE</t>
  </si>
  <si>
    <t>STATE NET ALLOTMENT</t>
  </si>
  <si>
    <t>State</t>
  </si>
  <si>
    <t>Territory Allotment Ratio</t>
  </si>
  <si>
    <t>TRIBAL % OF STATE GROSS ALLOTMENT</t>
  </si>
  <si>
    <t>Total allocation available to the states &amp; tribes</t>
  </si>
  <si>
    <t>Gross Allotments</t>
  </si>
  <si>
    <t>Tribal Set-Aside</t>
  </si>
  <si>
    <t xml:space="preserve"> Net Allotments</t>
  </si>
  <si>
    <t>Total Contingency Available for States, Territories &amp; Tribes</t>
  </si>
  <si>
    <t>Total Contingency Available for Territories</t>
  </si>
  <si>
    <t>Total Contingency Available for State &amp; Tribes</t>
  </si>
  <si>
    <t>Exclusion: States with at least 60% of HH using gas/oil/propane and with average population-weighted temperature from Nov. 1, 05 - Mar. 18, 06 under 40d</t>
  </si>
  <si>
    <t>Average Temperature</t>
  </si>
  <si>
    <t>% LI HH Using FO, LPG, NG</t>
  </si>
  <si>
    <t xml:space="preserve">  White Mountain Apache Tribe</t>
  </si>
  <si>
    <t xml:space="preserve">  Kiowa Indian Tribe</t>
  </si>
  <si>
    <t xml:space="preserve">  Tulalip Tribes</t>
  </si>
  <si>
    <t xml:space="preserve">"Dropped" Tribes </t>
  </si>
  <si>
    <t>Jan Allotments</t>
  </si>
  <si>
    <t xml:space="preserve">  United Cherokee Ani-Yun-Wiya Nation </t>
  </si>
  <si>
    <t>Totals</t>
  </si>
  <si>
    <t>24-Mar-06</t>
  </si>
  <si>
    <t>DEA/PE 24-Mar-06</t>
  </si>
  <si>
    <t>Low Income Home Energy Assistance Program (LIHEAP) Total Tribal Allotments for FY06 Block Grant Funds</t>
  </si>
  <si>
    <t>STATE GROSS ALLOTMENT FROM JANUARY 06 APPROPRIATION</t>
  </si>
  <si>
    <t>STATE GROSS ALLOTMENT FROM MARCH 06 APPROPRIATION</t>
  </si>
  <si>
    <t>TOTALS</t>
  </si>
  <si>
    <t>TOTAL TRIBAL ALLOTMENTS FROM FY06 BG APPROPRIATIONS (Col B + Col C)</t>
  </si>
  <si>
    <t>TOTAL STATE GROSS ALLOTMENTS FROM FY06 APPROPRIATIONS (Col E + Col F)</t>
  </si>
  <si>
    <t>TRIBAL % OF STATE GROSS ALLOTMENTS FOR ALL FY06 BG (Col D Div by Col G for Respective State)</t>
  </si>
  <si>
    <t>TRIBAL ALLOTMENT FROM JANUARY 06 APPROPRIATION</t>
  </si>
  <si>
    <t>TRIBAL ALLOTMENT FROM MARCH 06 APPROPRIATION</t>
  </si>
  <si>
    <t>Territories will not receive allotments from this EC release.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</si>
</sst>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0.00000000_)"/>
    <numFmt numFmtId="167" formatCode="0.00000000%"/>
    <numFmt numFmtId="168" formatCode="0.00000000"/>
    <numFmt numFmtId="169" formatCode="0.000000%"/>
    <numFmt numFmtId="170" formatCode="#,##0.00000000"/>
    <numFmt numFmtId="171" formatCode="&quot;$&quot;#,##0.00000000"/>
    <numFmt numFmtId="172" formatCode="#,##0.00000000_);\(#,##0.00000000\)"/>
    <numFmt numFmtId="173" formatCode="0_)"/>
    <numFmt numFmtId="174" formatCode="0\ \d\e\g\r\e\e\s"/>
    <numFmt numFmtId="175" formatCode="0.000000000"/>
    <numFmt numFmtId="176" formatCode="#,##0.000000000000000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.000000_);\(#,##0.000000\)"/>
    <numFmt numFmtId="182" formatCode="#,##0.0000000_);\(#,##0.0000000\)"/>
    <numFmt numFmtId="183" formatCode="&quot;$&quot;#,##0.0"/>
    <numFmt numFmtId="184" formatCode="&quot;$&quot;#,##0.00"/>
    <numFmt numFmtId="185" formatCode="&quot;$&quot;#,##0.0_);\(&quot;$&quot;#,##0.0\)"/>
    <numFmt numFmtId="186" formatCode="&quot;$&quot;#,##0.000000_);\(&quot;$&quot;#,##0.000000\)"/>
    <numFmt numFmtId="187" formatCode="&quot;$&quot;#,##0.000_);\(&quot;$&quot;#,##0.000\)"/>
    <numFmt numFmtId="188" formatCode="0.0000000%"/>
    <numFmt numFmtId="189" formatCode="0.000000000%"/>
    <numFmt numFmtId="190" formatCode="&quot;$&quot;#,##0.00000000_);\(&quot;$&quot;#,##0.00000000\)"/>
    <numFmt numFmtId="191" formatCode="0.000%"/>
    <numFmt numFmtId="192" formatCode="#,##0.0000000000"/>
    <numFmt numFmtId="193" formatCode="0.0%"/>
    <numFmt numFmtId="194" formatCode="&quot;$&quot;#,##0.000000000_);\(&quot;$&quot;#,##0.000000000\)"/>
    <numFmt numFmtId="195" formatCode="0.000_)"/>
    <numFmt numFmtId="196" formatCode="0.00_)"/>
    <numFmt numFmtId="197" formatCode="0.0000_)"/>
    <numFmt numFmtId="198" formatCode="0.00000_)"/>
    <numFmt numFmtId="199" formatCode="00000"/>
    <numFmt numFmtId="200" formatCode="dd\-mmm\-yy"/>
    <numFmt numFmtId="201" formatCode="0.00000%"/>
    <numFmt numFmtId="202" formatCode="dd\-mmm\-yy_)"/>
    <numFmt numFmtId="203" formatCode="General_)"/>
    <numFmt numFmtId="204" formatCode="_(* #,##0.0_);_(* \(#,##0.0\);_(* &quot;-&quot;??_);_(@_)"/>
    <numFmt numFmtId="205" formatCode="_(* #,##0_);_(* \(#,##0\);_(* &quot;-&quot;??_);_(@_)"/>
    <numFmt numFmtId="206" formatCode="&quot;$&quot;#,##0.0000_);\(&quot;$&quot;#,##0.0000\)"/>
    <numFmt numFmtId="207" formatCode="#,##0.000000000_);\(#,##0.000000000\)"/>
  </numFmts>
  <fonts count="19">
    <font>
      <sz val="10"/>
      <name val="Times New Roman"/>
      <family val="0"/>
    </font>
    <font>
      <sz val="10"/>
      <name val="Arial"/>
      <family val="0"/>
    </font>
    <font>
      <u val="single"/>
      <sz val="11.5"/>
      <color indexed="36"/>
      <name val="Times New Roman"/>
      <family val="0"/>
    </font>
    <font>
      <u val="single"/>
      <sz val="11.5"/>
      <color indexed="12"/>
      <name val="Times New Roman"/>
      <family val="0"/>
    </font>
    <font>
      <sz val="10"/>
      <name val="Courier"/>
      <family val="0"/>
    </font>
    <font>
      <sz val="8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sz val="8"/>
      <name val="Courier"/>
      <family val="0"/>
    </font>
    <font>
      <b/>
      <i/>
      <sz val="11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5" fontId="1" fillId="0" borderId="0" xfId="27" applyNumberFormat="1" applyFont="1" applyBorder="1" applyProtection="1">
      <alignment/>
      <protection/>
    </xf>
    <xf numFmtId="37" fontId="1" fillId="0" borderId="0" xfId="27" applyNumberFormat="1" applyFont="1" applyBorder="1" applyAlignment="1" applyProtection="1">
      <alignment horizontal="left"/>
      <protection/>
    </xf>
    <xf numFmtId="172" fontId="1" fillId="0" borderId="0" xfId="27" applyNumberFormat="1" applyFont="1" applyBorder="1" applyProtection="1">
      <alignment/>
      <protection/>
    </xf>
    <xf numFmtId="37" fontId="1" fillId="0" borderId="0" xfId="28" applyNumberFormat="1" applyFont="1" applyAlignment="1" applyProtection="1">
      <alignment horizontal="left"/>
      <protection/>
    </xf>
    <xf numFmtId="37" fontId="1" fillId="0" borderId="0" xfId="28" applyFont="1">
      <alignment/>
      <protection/>
    </xf>
    <xf numFmtId="37" fontId="1" fillId="0" borderId="0" xfId="28" applyNumberFormat="1" applyFont="1" applyAlignment="1" applyProtection="1">
      <alignment horizontal="center"/>
      <protection/>
    </xf>
    <xf numFmtId="5" fontId="1" fillId="0" borderId="0" xfId="28" applyNumberFormat="1" applyFont="1" applyProtection="1">
      <alignment/>
      <protection/>
    </xf>
    <xf numFmtId="37" fontId="1" fillId="0" borderId="0" xfId="28" applyNumberFormat="1" applyFont="1" applyProtection="1">
      <alignment/>
      <protection/>
    </xf>
    <xf numFmtId="3" fontId="1" fillId="0" borderId="0" xfId="28" applyNumberFormat="1" applyFont="1" applyProtection="1">
      <alignment/>
      <protection/>
    </xf>
    <xf numFmtId="37" fontId="1" fillId="0" borderId="0" xfId="28" applyFont="1" applyAlignment="1">
      <alignment horizontal="right"/>
      <protection/>
    </xf>
    <xf numFmtId="37" fontId="1" fillId="0" borderId="0" xfId="28" applyFont="1" applyAlignment="1">
      <alignment horizontal="center"/>
      <protection/>
    </xf>
    <xf numFmtId="165" fontId="1" fillId="0" borderId="0" xfId="28" applyNumberFormat="1" applyFont="1" applyProtection="1">
      <alignment/>
      <protection/>
    </xf>
    <xf numFmtId="5" fontId="1" fillId="0" borderId="0" xfId="28" applyNumberFormat="1" applyFont="1" applyAlignment="1" applyProtection="1">
      <alignment horizontal="left"/>
      <protection/>
    </xf>
    <xf numFmtId="37" fontId="1" fillId="0" borderId="0" xfId="28" applyNumberFormat="1" applyFont="1" applyAlignment="1" applyProtection="1">
      <alignment horizontal="right"/>
      <protection/>
    </xf>
    <xf numFmtId="166" fontId="1" fillId="0" borderId="0" xfId="28" applyNumberFormat="1" applyFont="1" applyProtection="1">
      <alignment/>
      <protection/>
    </xf>
    <xf numFmtId="15" fontId="13" fillId="0" borderId="0" xfId="0" applyNumberFormat="1" applyFont="1" applyAlignment="1">
      <alignment horizontal="left"/>
    </xf>
    <xf numFmtId="37" fontId="1" fillId="0" borderId="1" xfId="28" applyNumberFormat="1" applyFont="1" applyBorder="1" applyAlignment="1" applyProtection="1">
      <alignment horizontal="center" wrapText="1"/>
      <protection/>
    </xf>
    <xf numFmtId="37" fontId="7" fillId="0" borderId="0" xfId="28" applyNumberFormat="1" applyFont="1" applyBorder="1" applyAlignment="1" applyProtection="1">
      <alignment horizontal="left"/>
      <protection/>
    </xf>
    <xf numFmtId="37" fontId="1" fillId="0" borderId="0" xfId="28" applyFont="1" applyBorder="1">
      <alignment/>
      <protection/>
    </xf>
    <xf numFmtId="5" fontId="1" fillId="0" borderId="0" xfId="28" applyNumberFormat="1" applyFont="1" applyBorder="1" applyProtection="1">
      <alignment/>
      <protection/>
    </xf>
    <xf numFmtId="37" fontId="7" fillId="0" borderId="2" xfId="28" applyNumberFormat="1" applyFont="1" applyBorder="1" applyAlignment="1" applyProtection="1">
      <alignment horizontal="left"/>
      <protection/>
    </xf>
    <xf numFmtId="37" fontId="1" fillId="0" borderId="2" xfId="28" applyFont="1" applyBorder="1">
      <alignment/>
      <protection/>
    </xf>
    <xf numFmtId="5" fontId="1" fillId="0" borderId="2" xfId="28" applyNumberFormat="1" applyFont="1" applyBorder="1" applyProtection="1">
      <alignment/>
      <protection/>
    </xf>
    <xf numFmtId="37" fontId="1" fillId="0" borderId="0" xfId="28" applyFont="1" applyFill="1">
      <alignment/>
      <protection/>
    </xf>
    <xf numFmtId="0" fontId="7" fillId="0" borderId="0" xfId="0" applyFont="1" applyAlignment="1" quotePrefix="1">
      <alignment wrapText="1"/>
    </xf>
    <xf numFmtId="37" fontId="1" fillId="0" borderId="0" xfId="28" applyNumberFormat="1" applyFont="1" applyBorder="1" applyAlignment="1" applyProtection="1">
      <alignment horizontal="left"/>
      <protection/>
    </xf>
    <xf numFmtId="37" fontId="1" fillId="0" borderId="0" xfId="28" applyNumberFormat="1" applyFont="1" applyFill="1" applyBorder="1" applyAlignment="1" applyProtection="1">
      <alignment horizontal="left"/>
      <protection/>
    </xf>
    <xf numFmtId="37" fontId="1" fillId="0" borderId="0" xfId="28" applyNumberFormat="1" applyFont="1" applyFill="1" applyBorder="1" applyProtection="1">
      <alignment/>
      <protection/>
    </xf>
    <xf numFmtId="37" fontId="1" fillId="0" borderId="0" xfId="28" applyNumberFormat="1" applyFont="1" applyFill="1" applyBorder="1" applyAlignment="1" applyProtection="1">
      <alignment horizontal="center"/>
      <protection/>
    </xf>
    <xf numFmtId="5" fontId="1" fillId="0" borderId="0" xfId="28" applyNumberFormat="1" applyFont="1" applyFill="1" applyBorder="1" applyProtection="1">
      <alignment/>
      <protection/>
    </xf>
    <xf numFmtId="37" fontId="1" fillId="0" borderId="0" xfId="28" applyFont="1" applyFill="1" applyBorder="1">
      <alignment/>
      <protection/>
    </xf>
    <xf numFmtId="37" fontId="1" fillId="0" borderId="0" xfId="28" applyNumberFormat="1" applyFont="1" applyBorder="1" applyProtection="1">
      <alignment/>
      <protection/>
    </xf>
    <xf numFmtId="37" fontId="1" fillId="0" borderId="0" xfId="28" applyNumberFormat="1" applyFont="1" applyBorder="1" applyAlignment="1" applyProtection="1">
      <alignment horizontal="center"/>
      <protection/>
    </xf>
    <xf numFmtId="37" fontId="1" fillId="0" borderId="3" xfId="28" applyNumberFormat="1" applyFont="1" applyBorder="1" applyAlignment="1" applyProtection="1">
      <alignment horizontal="left"/>
      <protection/>
    </xf>
    <xf numFmtId="5" fontId="1" fillId="0" borderId="3" xfId="28" applyNumberFormat="1" applyFont="1" applyBorder="1" applyProtection="1">
      <alignment/>
      <protection/>
    </xf>
    <xf numFmtId="37" fontId="1" fillId="0" borderId="3" xfId="28" applyFont="1" applyBorder="1">
      <alignment/>
      <protection/>
    </xf>
    <xf numFmtId="37" fontId="1" fillId="0" borderId="3" xfId="28" applyNumberFormat="1" applyFont="1" applyBorder="1" applyAlignment="1" applyProtection="1">
      <alignment horizontal="center"/>
      <protection/>
    </xf>
    <xf numFmtId="0" fontId="1" fillId="0" borderId="0" xfId="26" applyFont="1" applyAlignment="1">
      <alignment horizontal="center"/>
      <protection/>
    </xf>
    <xf numFmtId="0" fontId="1" fillId="0" borderId="0" xfId="25" applyFont="1" applyAlignment="1">
      <alignment horizontal="left"/>
      <protection/>
    </xf>
    <xf numFmtId="0" fontId="1" fillId="0" borderId="0" xfId="26" applyFont="1">
      <alignment/>
      <protection/>
    </xf>
    <xf numFmtId="0" fontId="7" fillId="0" borderId="0" xfId="26" applyFont="1">
      <alignment/>
      <protection/>
    </xf>
    <xf numFmtId="164" fontId="7" fillId="0" borderId="0" xfId="25" applyNumberFormat="1" applyFont="1">
      <alignment/>
      <protection/>
    </xf>
    <xf numFmtId="37" fontId="16" fillId="0" borderId="0" xfId="27" applyFont="1">
      <alignment/>
      <protection/>
    </xf>
    <xf numFmtId="37" fontId="1" fillId="0" borderId="0" xfId="27" applyFont="1">
      <alignment/>
      <protection/>
    </xf>
    <xf numFmtId="37" fontId="1" fillId="0" borderId="0" xfId="27" applyNumberFormat="1" applyFont="1" applyAlignment="1" applyProtection="1">
      <alignment horizontal="left"/>
      <protection/>
    </xf>
    <xf numFmtId="37" fontId="1" fillId="0" borderId="4" xfId="27" applyNumberFormat="1" applyFont="1" applyBorder="1" applyAlignment="1" applyProtection="1">
      <alignment horizontal="center"/>
      <protection/>
    </xf>
    <xf numFmtId="5" fontId="1" fillId="0" borderId="0" xfId="27" applyNumberFormat="1" applyFont="1" applyProtection="1">
      <alignment/>
      <protection/>
    </xf>
    <xf numFmtId="37" fontId="1" fillId="0" borderId="3" xfId="27" applyNumberFormat="1" applyFont="1" applyBorder="1" applyAlignment="1" applyProtection="1">
      <alignment horizontal="left"/>
      <protection/>
    </xf>
    <xf numFmtId="5" fontId="1" fillId="0" borderId="3" xfId="27" applyNumberFormat="1" applyFont="1" applyBorder="1" applyProtection="1">
      <alignment/>
      <protection/>
    </xf>
    <xf numFmtId="37" fontId="1" fillId="0" borderId="0" xfId="27" applyNumberFormat="1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7" fontId="1" fillId="0" borderId="0" xfId="27" applyNumberFormat="1" applyFont="1" applyBorder="1" applyAlignment="1" applyProtection="1">
      <alignment horizontal="left" wrapText="1"/>
      <protection/>
    </xf>
    <xf numFmtId="0" fontId="0" fillId="0" borderId="5" xfId="0" applyBorder="1" applyAlignment="1">
      <alignment wrapText="1"/>
    </xf>
    <xf numFmtId="5" fontId="0" fillId="0" borderId="5" xfId="0" applyNumberFormat="1" applyBorder="1" applyAlignment="1">
      <alignment/>
    </xf>
    <xf numFmtId="5" fontId="1" fillId="0" borderId="5" xfId="0" applyNumberFormat="1" applyFont="1" applyBorder="1" applyAlignment="1">
      <alignment/>
    </xf>
    <xf numFmtId="37" fontId="1" fillId="0" borderId="0" xfId="27" applyFont="1" applyBorder="1">
      <alignment/>
      <protection/>
    </xf>
    <xf numFmtId="164" fontId="1" fillId="0" borderId="0" xfId="27" applyNumberFormat="1" applyFont="1" applyBorder="1" applyProtection="1">
      <alignment/>
      <protection/>
    </xf>
    <xf numFmtId="0" fontId="1" fillId="0" borderId="0" xfId="0" applyFont="1" applyBorder="1" applyAlignment="1">
      <alignment wrapText="1"/>
    </xf>
    <xf numFmtId="5" fontId="1" fillId="0" borderId="0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37" fontId="1" fillId="0" borderId="0" xfId="28" applyFont="1" applyAlignment="1">
      <alignment horizontal="left" wrapText="1"/>
      <protection/>
    </xf>
    <xf numFmtId="169" fontId="1" fillId="0" borderId="0" xfId="28" applyNumberFormat="1" applyFont="1" applyProtection="1">
      <alignment/>
      <protection/>
    </xf>
    <xf numFmtId="0" fontId="17" fillId="0" borderId="0" xfId="24" applyFont="1" applyFill="1" applyAlignment="1">
      <alignment horizontal="left"/>
      <protection/>
    </xf>
    <xf numFmtId="169" fontId="1" fillId="0" borderId="1" xfId="28" applyNumberFormat="1" applyFont="1" applyBorder="1" applyAlignment="1" applyProtection="1">
      <alignment horizontal="center" wrapText="1"/>
      <protection/>
    </xf>
    <xf numFmtId="169" fontId="1" fillId="0" borderId="0" xfId="28" applyNumberFormat="1" applyFont="1" applyBorder="1">
      <alignment/>
      <protection/>
    </xf>
    <xf numFmtId="169" fontId="1" fillId="0" borderId="2" xfId="28" applyNumberFormat="1" applyFont="1" applyBorder="1">
      <alignment/>
      <protection/>
    </xf>
    <xf numFmtId="169" fontId="1" fillId="0" borderId="3" xfId="28" applyNumberFormat="1" applyFont="1" applyBorder="1" applyProtection="1">
      <alignment/>
      <protection/>
    </xf>
    <xf numFmtId="166" fontId="1" fillId="0" borderId="0" xfId="24" applyNumberFormat="1" applyFont="1" applyFill="1" applyAlignment="1" applyProtection="1">
      <alignment horizontal="right"/>
      <protection/>
    </xf>
    <xf numFmtId="37" fontId="18" fillId="0" borderId="0" xfId="27" applyNumberFormat="1" applyFont="1" applyBorder="1" applyAlignment="1" applyProtection="1">
      <alignment horizontal="center" wrapText="1"/>
      <protection/>
    </xf>
    <xf numFmtId="37" fontId="7" fillId="0" borderId="1" xfId="28" applyNumberFormat="1" applyFont="1" applyBorder="1" applyAlignment="1" applyProtection="1">
      <alignment horizontal="center" wrapText="1"/>
      <protection/>
    </xf>
    <xf numFmtId="37" fontId="7" fillId="0" borderId="0" xfId="28" applyFont="1" applyBorder="1">
      <alignment/>
      <protection/>
    </xf>
    <xf numFmtId="5" fontId="7" fillId="0" borderId="0" xfId="28" applyNumberFormat="1" applyFont="1" applyProtection="1">
      <alignment/>
      <protection/>
    </xf>
    <xf numFmtId="37" fontId="7" fillId="0" borderId="2" xfId="28" applyFont="1" applyBorder="1">
      <alignment/>
      <protection/>
    </xf>
    <xf numFmtId="5" fontId="7" fillId="0" borderId="3" xfId="28" applyNumberFormat="1" applyFont="1" applyBorder="1" applyProtection="1">
      <alignment/>
      <protection/>
    </xf>
    <xf numFmtId="37" fontId="7" fillId="0" borderId="4" xfId="27" applyNumberFormat="1" applyFont="1" applyBorder="1" applyAlignment="1" applyProtection="1">
      <alignment horizontal="center"/>
      <protection/>
    </xf>
    <xf numFmtId="37" fontId="7" fillId="0" borderId="0" xfId="27" applyFont="1">
      <alignment/>
      <protection/>
    </xf>
    <xf numFmtId="5" fontId="7" fillId="0" borderId="0" xfId="27" applyNumberFormat="1" applyFont="1" applyProtection="1">
      <alignment/>
      <protection/>
    </xf>
    <xf numFmtId="5" fontId="7" fillId="0" borderId="3" xfId="27" applyNumberFormat="1" applyFont="1" applyBorder="1" applyProtection="1">
      <alignment/>
      <protection/>
    </xf>
    <xf numFmtId="37" fontId="7" fillId="0" borderId="0" xfId="27" applyNumberFormat="1" applyFont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64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 horizontal="center"/>
    </xf>
    <xf numFmtId="9" fontId="7" fillId="0" borderId="0" xfId="3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66" fontId="1" fillId="0" borderId="0" xfId="0" applyNumberFormat="1" applyFont="1" applyFill="1" applyAlignment="1" applyProtection="1">
      <alignment/>
      <protection/>
    </xf>
    <xf numFmtId="173" fontId="1" fillId="0" borderId="0" xfId="0" applyNumberFormat="1" applyFont="1" applyFill="1" applyAlignment="1" applyProtection="1">
      <alignment/>
      <protection/>
    </xf>
    <xf numFmtId="10" fontId="1" fillId="0" borderId="0" xfId="0" applyNumberFormat="1" applyFont="1" applyFill="1" applyAlignment="1">
      <alignment/>
    </xf>
    <xf numFmtId="0" fontId="1" fillId="0" borderId="6" xfId="29" applyFill="1" applyBorder="1">
      <alignment/>
      <protection/>
    </xf>
    <xf numFmtId="166" fontId="11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4" fontId="7" fillId="0" borderId="0" xfId="0" applyNumberFormat="1" applyFont="1" applyFill="1" applyAlignment="1" quotePrefix="1">
      <alignment/>
    </xf>
    <xf numFmtId="164" fontId="1" fillId="0" borderId="0" xfId="0" applyNumberFormat="1" applyFont="1" applyFill="1" applyAlignment="1">
      <alignment/>
    </xf>
    <xf numFmtId="0" fontId="7" fillId="0" borderId="5" xfId="0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37" fontId="1" fillId="0" borderId="0" xfId="27" applyNumberFormat="1" applyFont="1" applyFill="1" applyBorder="1" applyAlignment="1" applyProtection="1">
      <alignment horizontal="center"/>
      <protection/>
    </xf>
    <xf numFmtId="5" fontId="1" fillId="0" borderId="0" xfId="27" applyNumberFormat="1" applyFont="1" applyFill="1" applyBorder="1" applyProtection="1">
      <alignment/>
      <protection/>
    </xf>
    <xf numFmtId="37" fontId="1" fillId="0" borderId="0" xfId="27" applyNumberFormat="1" applyFont="1" applyFill="1" applyBorder="1" applyAlignment="1" applyProtection="1">
      <alignment horizontal="left"/>
      <protection/>
    </xf>
    <xf numFmtId="172" fontId="1" fillId="0" borderId="0" xfId="27" applyNumberFormat="1" applyFont="1" applyFill="1" applyBorder="1" applyProtection="1">
      <alignment/>
      <protection/>
    </xf>
    <xf numFmtId="0" fontId="7" fillId="0" borderId="0" xfId="0" applyFont="1" applyFill="1" applyAlignment="1" quotePrefix="1">
      <alignment wrapText="1"/>
    </xf>
    <xf numFmtId="0" fontId="17" fillId="0" borderId="0" xfId="24" applyFont="1" applyFill="1" applyAlignment="1" applyProtection="1">
      <alignment horizontal="center" vertical="top"/>
      <protection/>
    </xf>
    <xf numFmtId="37" fontId="17" fillId="0" borderId="1" xfId="28" applyNumberFormat="1" applyFont="1" applyFill="1" applyBorder="1" applyAlignment="1" applyProtection="1">
      <alignment horizontal="center" wrapText="1"/>
      <protection/>
    </xf>
    <xf numFmtId="37" fontId="17" fillId="0" borderId="0" xfId="28" applyFont="1" applyFill="1">
      <alignment/>
      <protection/>
    </xf>
    <xf numFmtId="37" fontId="7" fillId="0" borderId="0" xfId="28" applyNumberFormat="1" applyFont="1" applyFill="1" applyBorder="1" applyAlignment="1" applyProtection="1">
      <alignment horizontal="left"/>
      <protection/>
    </xf>
    <xf numFmtId="5" fontId="1" fillId="0" borderId="2" xfId="28" applyNumberFormat="1" applyFont="1" applyFill="1" applyBorder="1" applyProtection="1">
      <alignment/>
      <protection/>
    </xf>
    <xf numFmtId="5" fontId="1" fillId="0" borderId="0" xfId="28" applyNumberFormat="1" applyFont="1" applyFill="1" applyProtection="1">
      <alignment/>
      <protection/>
    </xf>
    <xf numFmtId="169" fontId="1" fillId="0" borderId="0" xfId="28" applyNumberFormat="1" applyFont="1" applyFill="1" applyProtection="1">
      <alignment/>
      <protection/>
    </xf>
    <xf numFmtId="37" fontId="1" fillId="0" borderId="0" xfId="28" applyNumberFormat="1" applyFont="1" applyFill="1" applyAlignment="1" applyProtection="1">
      <alignment horizontal="left"/>
      <protection/>
    </xf>
    <xf numFmtId="37" fontId="7" fillId="0" borderId="2" xfId="28" applyNumberFormat="1" applyFont="1" applyFill="1" applyBorder="1" applyAlignment="1" applyProtection="1">
      <alignment horizontal="left"/>
      <protection/>
    </xf>
    <xf numFmtId="37" fontId="1" fillId="0" borderId="2" xfId="28" applyFont="1" applyFill="1" applyBorder="1">
      <alignment/>
      <protection/>
    </xf>
    <xf numFmtId="37" fontId="7" fillId="0" borderId="5" xfId="28" applyNumberFormat="1" applyFont="1" applyFill="1" applyBorder="1" applyAlignment="1" applyProtection="1">
      <alignment horizontal="left"/>
      <protection/>
    </xf>
    <xf numFmtId="5" fontId="7" fillId="0" borderId="5" xfId="28" applyNumberFormat="1" applyFont="1" applyFill="1" applyBorder="1" applyProtection="1">
      <alignment/>
      <protection/>
    </xf>
    <xf numFmtId="5" fontId="1" fillId="0" borderId="5" xfId="28" applyNumberFormat="1" applyFont="1" applyFill="1" applyBorder="1" applyProtection="1">
      <alignment/>
      <protection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quotePrefix="1">
      <alignment horizontal="center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left" wrapText="1"/>
    </xf>
  </cellXfs>
  <cellStyles count="17">
    <cellStyle name="Normal" xfId="0"/>
    <cellStyle name="Book11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Followed Hyperlink" xfId="22"/>
    <cellStyle name="Hyperlink" xfId="23"/>
    <cellStyle name="Normal_$0.25B-1B_BG" xfId="24"/>
    <cellStyle name="Normal_$1B Contingency 2000 fuel user data (50_50 &amp; 60_40)" xfId="25"/>
    <cellStyle name="Normal_$203.25M cont_usage weighted" xfId="26"/>
    <cellStyle name="Normal_2005-LIHEAP Allocations-$1.884B-FINAL" xfId="27"/>
    <cellStyle name="Normal_2006-LIHEAP Alloc-$2 0B (2)" xfId="28"/>
    <cellStyle name="Normal_LIHEAP - Increases in Block Gra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J74"/>
  <sheetViews>
    <sheetView zoomScale="115" zoomScaleNormal="115" zoomScaleSheetLayoutView="130" workbookViewId="0" topLeftCell="A1">
      <pane xSplit="1" ySplit="6" topLeftCell="B7" activePane="bottomRight" state="frozen"/>
      <selection pane="topLeft" activeCell="H61" sqref="H61"/>
      <selection pane="topRight" activeCell="H61" sqref="H61"/>
      <selection pane="bottomLeft" activeCell="H61" sqref="H61"/>
      <selection pane="bottomRight" activeCell="A9" sqref="A9"/>
    </sheetView>
  </sheetViews>
  <sheetFormatPr defaultColWidth="9.33203125" defaultRowHeight="12.75"/>
  <cols>
    <col min="1" max="1" width="23.83203125" style="81" customWidth="1"/>
    <col min="2" max="2" width="21" style="81" customWidth="1"/>
    <col min="3" max="3" width="7.16015625" style="81" customWidth="1"/>
    <col min="4" max="4" width="19.83203125" style="101" bestFit="1" customWidth="1"/>
    <col min="5" max="5" width="15.16015625" style="81" customWidth="1"/>
    <col min="6" max="6" width="10.33203125" style="81" customWidth="1"/>
    <col min="7" max="7" width="15" style="81" bestFit="1" customWidth="1"/>
    <col min="8" max="9" width="17.16015625" style="81" customWidth="1"/>
    <col min="10" max="10" width="20.83203125" style="81" customWidth="1"/>
    <col min="11" max="16384" width="9.33203125" style="81" customWidth="1"/>
  </cols>
  <sheetData>
    <row r="1" spans="1:10" ht="26.25" customHeight="1">
      <c r="A1" s="127" t="str">
        <f>"Low Income Home Energy Assistance Program (LIHEAP) State Allotments of "&amp;TEXT('$500MEC_60%&amp;40Deg'!$E$4/1000000,"$0.00")&amp;" Million in Emergency Contingency Funds Reflecting LI Households using FO, LPG &amp; NG for Heat"</f>
        <v>Low Income Home Energy Assistance Program (LIHEAP) State Allotments of $500.00 Million in Emergency Contingency Funds Reflecting LI Households using FO, LPG &amp; NG for Heat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2.75">
      <c r="A2" s="128" t="s">
        <v>260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>
      <c r="A3" s="82" t="str">
        <f>IF(COLUMN()&lt;=26,CHAR(64+COLUMN()),CHAR(64+ROUNDDOWN((COLUMN()-1)/26,0))&amp;CHAR(65+MOD((COLUMN()-1),26)))</f>
        <v>A</v>
      </c>
      <c r="B3" s="82" t="str">
        <f>IF(COLUMN()&lt;=26,CHAR(64+COLUMN()),CHAR(64+ROUNDDOWN((COLUMN()-1)/26,0))&amp;CHAR(65+MOD((COLUMN()-1),26)))</f>
        <v>B</v>
      </c>
      <c r="C3" s="82"/>
      <c r="D3" s="82" t="str">
        <f aca="true" t="shared" si="0" ref="D3:J3">IF(COLUMN()&lt;=26,CHAR(64+COLUMN()),CHAR(64+ROUNDDOWN((COLUMN()-1)/26,0))&amp;CHAR(65+MOD((COLUMN()-1),26)))</f>
        <v>D</v>
      </c>
      <c r="E3" s="82" t="str">
        <f t="shared" si="0"/>
        <v>E</v>
      </c>
      <c r="F3" s="82" t="str">
        <f t="shared" si="0"/>
        <v>F</v>
      </c>
      <c r="G3" s="82" t="str">
        <f t="shared" si="0"/>
        <v>G</v>
      </c>
      <c r="H3" s="82" t="str">
        <f t="shared" si="0"/>
        <v>H</v>
      </c>
      <c r="I3" s="82" t="str">
        <f t="shared" si="0"/>
        <v>I</v>
      </c>
      <c r="J3" s="83" t="str">
        <f t="shared" si="0"/>
        <v>J</v>
      </c>
    </row>
    <row r="4" spans="1:10" ht="43.5" customHeight="1">
      <c r="A4" s="129" t="s">
        <v>250</v>
      </c>
      <c r="B4" s="129"/>
      <c r="C4" s="129"/>
      <c r="D4" s="129"/>
      <c r="E4" s="85">
        <v>500000000</v>
      </c>
      <c r="F4" s="82"/>
      <c r="G4" s="86">
        <v>40</v>
      </c>
      <c r="H4" s="87">
        <v>0.6</v>
      </c>
      <c r="I4" s="82"/>
      <c r="J4" s="88"/>
    </row>
    <row r="5" spans="1:10" ht="25.5">
      <c r="A5" s="89" t="s">
        <v>51</v>
      </c>
      <c r="D5" s="83"/>
      <c r="E5" s="90"/>
      <c r="F5" s="82"/>
      <c r="G5" s="84" t="s">
        <v>251</v>
      </c>
      <c r="H5" s="84" t="s">
        <v>252</v>
      </c>
      <c r="I5" s="82"/>
      <c r="J5" s="88"/>
    </row>
    <row r="6" spans="2:10" s="91" customFormat="1" ht="56.25">
      <c r="B6" s="92" t="s">
        <v>52</v>
      </c>
      <c r="C6" s="92" t="s">
        <v>53</v>
      </c>
      <c r="D6" s="92" t="s">
        <v>54</v>
      </c>
      <c r="E6" s="92" t="s">
        <v>55</v>
      </c>
      <c r="F6" s="92" t="s">
        <v>56</v>
      </c>
      <c r="G6" s="92" t="s">
        <v>57</v>
      </c>
      <c r="H6" s="92" t="str">
        <f>"Block Grant Allotment Ratios for &gt;"&amp;TEXT(H4,"0%")&amp;" OIL, LPG, NG and &lt;"&amp;TEXT(G4,0)&amp;" Degrees"</f>
        <v>Block Grant Allotment Ratios for &gt;60% OIL, LPG, NG and &lt;40 Degrees</v>
      </c>
      <c r="I6" s="92" t="str">
        <f>"Re-weighted Block Grant Allotment Ratios (Col "&amp;H3&amp;" Div by Tot for Col "&amp;H3&amp;")"</f>
        <v>Re-weighted Block Grant Allotment Ratios (Col H Div by Tot for Col H)</v>
      </c>
      <c r="J6" s="93" t="str">
        <f>"100% Award Based on OIL-LPG-NG, Block Grant Ratio and Avg. Temp. ("&amp;TEXT(D64/1000000,"$0.00")&amp;" Million X Col. "&amp;I3&amp;")"</f>
        <v>100% Award Based on OIL-LPG-NG, Block Grant Ratio and Avg. Temp. ($500.00 Million X Col. I)</v>
      </c>
    </row>
    <row r="7" spans="4:10" ht="12.75">
      <c r="D7" s="94"/>
      <c r="E7" s="94"/>
      <c r="F7" s="94"/>
      <c r="G7" s="94"/>
      <c r="H7" s="94"/>
      <c r="I7" s="94"/>
      <c r="J7" s="95"/>
    </row>
    <row r="8" spans="1:10" ht="12.75">
      <c r="A8" s="81" t="s">
        <v>0</v>
      </c>
      <c r="B8" s="96">
        <v>0.00860045</v>
      </c>
      <c r="C8" s="97">
        <v>49.65217391304348</v>
      </c>
      <c r="D8" s="98">
        <v>0.007138133758481063</v>
      </c>
      <c r="E8" s="98">
        <v>0.17627023452573987</v>
      </c>
      <c r="F8" s="98">
        <v>0.36775882528783527</v>
      </c>
      <c r="G8" s="98">
        <f aca="true" t="shared" si="1" ref="G8:G39">SUM(D8:F8)</f>
        <v>0.5511671935720562</v>
      </c>
      <c r="H8" s="96">
        <f aca="true" t="shared" si="2" ref="H8:H39">IF(AND(G8&gt;$H$4,C8&lt;$G$4),B8,0)</f>
        <v>0</v>
      </c>
      <c r="I8" s="96">
        <f aca="true" t="shared" si="3" ref="I8:I39">H8/$H$60</f>
        <v>0</v>
      </c>
      <c r="J8" s="85">
        <f>ROUND(I8*$D$64,0)</f>
        <v>0</v>
      </c>
    </row>
    <row r="9" spans="1:10" ht="12.75">
      <c r="A9" s="81" t="s">
        <v>1</v>
      </c>
      <c r="B9" s="96">
        <v>0.00548986</v>
      </c>
      <c r="C9" s="97">
        <v>15.456521739130437</v>
      </c>
      <c r="D9" s="98">
        <v>0.376902780596712</v>
      </c>
      <c r="E9" s="98">
        <v>0.02668966916988025</v>
      </c>
      <c r="F9" s="98">
        <v>0.33620864623503144</v>
      </c>
      <c r="G9" s="98">
        <f t="shared" si="1"/>
        <v>0.7398010960016237</v>
      </c>
      <c r="H9" s="96">
        <f t="shared" si="2"/>
        <v>0.00548986</v>
      </c>
      <c r="I9" s="96">
        <f t="shared" si="3"/>
        <v>0.00780570893114171</v>
      </c>
      <c r="J9" s="85">
        <f aca="true" t="shared" si="4" ref="J9:J58">ROUND(I9*$D$64,0)</f>
        <v>3902854</v>
      </c>
    </row>
    <row r="10" spans="1:10" ht="12.75">
      <c r="A10" s="81" t="s">
        <v>2</v>
      </c>
      <c r="B10" s="96">
        <v>0.00415928</v>
      </c>
      <c r="C10" s="97">
        <v>54.35507246376812</v>
      </c>
      <c r="D10" s="98">
        <v>0.0013770499265952725</v>
      </c>
      <c r="E10" s="98">
        <v>0.0718114465852576</v>
      </c>
      <c r="F10" s="98">
        <v>0.36997120713789844</v>
      </c>
      <c r="G10" s="98">
        <f t="shared" si="1"/>
        <v>0.4431597036497513</v>
      </c>
      <c r="H10" s="96">
        <f t="shared" si="2"/>
        <v>0</v>
      </c>
      <c r="I10" s="96">
        <f t="shared" si="3"/>
        <v>0</v>
      </c>
      <c r="J10" s="85">
        <f t="shared" si="4"/>
        <v>0</v>
      </c>
    </row>
    <row r="11" spans="1:10" ht="12.75">
      <c r="A11" s="81" t="s">
        <v>3</v>
      </c>
      <c r="B11" s="96">
        <v>0.00656255</v>
      </c>
      <c r="C11" s="97">
        <v>47.210144927536234</v>
      </c>
      <c r="D11" s="98">
        <v>0.001561393634597578</v>
      </c>
      <c r="E11" s="98">
        <v>0.1618221100600955</v>
      </c>
      <c r="F11" s="98">
        <v>0.46039325332703934</v>
      </c>
      <c r="G11" s="98">
        <f t="shared" si="1"/>
        <v>0.6237767570217324</v>
      </c>
      <c r="H11" s="96">
        <f t="shared" si="2"/>
        <v>0</v>
      </c>
      <c r="I11" s="96">
        <f t="shared" si="3"/>
        <v>0</v>
      </c>
      <c r="J11" s="85">
        <f t="shared" si="4"/>
        <v>0</v>
      </c>
    </row>
    <row r="12" spans="1:10" ht="12.75">
      <c r="A12" s="81" t="s">
        <v>4</v>
      </c>
      <c r="B12" s="96">
        <v>0.04613891</v>
      </c>
      <c r="C12" s="97">
        <v>52.326086956521735</v>
      </c>
      <c r="D12" s="98">
        <v>0.0035464671481736016</v>
      </c>
      <c r="E12" s="98">
        <v>0.04141489127193039</v>
      </c>
      <c r="F12" s="98">
        <v>0.6447746340071837</v>
      </c>
      <c r="G12" s="98">
        <f t="shared" si="1"/>
        <v>0.6897359924272877</v>
      </c>
      <c r="H12" s="96">
        <f t="shared" si="2"/>
        <v>0</v>
      </c>
      <c r="I12" s="96">
        <f t="shared" si="3"/>
        <v>0</v>
      </c>
      <c r="J12" s="85">
        <f t="shared" si="4"/>
        <v>0</v>
      </c>
    </row>
    <row r="13" spans="1:10" ht="12.75">
      <c r="A13" s="81" t="s">
        <v>5</v>
      </c>
      <c r="B13" s="96">
        <v>0.0160872</v>
      </c>
      <c r="C13" s="97">
        <v>31.29710144927536</v>
      </c>
      <c r="D13" s="98">
        <v>0.001823398151099777</v>
      </c>
      <c r="E13" s="98">
        <v>0.07004144086707045</v>
      </c>
      <c r="F13" s="98">
        <v>0.6743512910423972</v>
      </c>
      <c r="G13" s="98">
        <f t="shared" si="1"/>
        <v>0.7462161300605674</v>
      </c>
      <c r="H13" s="96">
        <f t="shared" si="2"/>
        <v>0.0160872</v>
      </c>
      <c r="I13" s="96">
        <f t="shared" si="3"/>
        <v>0.022873443169236177</v>
      </c>
      <c r="J13" s="85">
        <f t="shared" si="4"/>
        <v>11436722</v>
      </c>
    </row>
    <row r="14" spans="1:10" ht="12.75">
      <c r="A14" s="81" t="s">
        <v>6</v>
      </c>
      <c r="B14" s="96">
        <v>0.02098632</v>
      </c>
      <c r="C14" s="97">
        <v>35.16666666666667</v>
      </c>
      <c r="D14" s="98">
        <v>0.41850758563877255</v>
      </c>
      <c r="E14" s="98">
        <v>0.03094666025949063</v>
      </c>
      <c r="F14" s="98">
        <v>0.3371318734125077</v>
      </c>
      <c r="G14" s="98">
        <f t="shared" si="1"/>
        <v>0.7865861193107708</v>
      </c>
      <c r="H14" s="96">
        <f t="shared" si="2"/>
        <v>0.02098632</v>
      </c>
      <c r="I14" s="96">
        <f t="shared" si="3"/>
        <v>0.02983921365131313</v>
      </c>
      <c r="J14" s="85">
        <f t="shared" si="4"/>
        <v>14919607</v>
      </c>
    </row>
    <row r="15" spans="1:10" ht="12.75">
      <c r="A15" s="81" t="s">
        <v>7</v>
      </c>
      <c r="B15" s="96">
        <v>0.00278553</v>
      </c>
      <c r="C15" s="97">
        <v>41.34057971014492</v>
      </c>
      <c r="D15" s="98">
        <v>0.28111737505542533</v>
      </c>
      <c r="E15" s="98">
        <v>0.10800025337302845</v>
      </c>
      <c r="F15" s="98">
        <v>0.309938557040603</v>
      </c>
      <c r="G15" s="98">
        <f t="shared" si="1"/>
        <v>0.6990561854690568</v>
      </c>
      <c r="H15" s="96">
        <f t="shared" si="2"/>
        <v>0</v>
      </c>
      <c r="I15" s="96">
        <f t="shared" si="3"/>
        <v>0</v>
      </c>
      <c r="J15" s="85">
        <f t="shared" si="4"/>
        <v>0</v>
      </c>
    </row>
    <row r="16" spans="1:10" ht="12.75">
      <c r="A16" s="99" t="s">
        <v>8</v>
      </c>
      <c r="B16" s="96">
        <v>0.00325921</v>
      </c>
      <c r="C16" s="97">
        <v>43.007246376811594</v>
      </c>
      <c r="D16" s="98">
        <v>0.06038647342995169</v>
      </c>
      <c r="E16" s="98">
        <v>0.023282340311325818</v>
      </c>
      <c r="F16" s="98">
        <v>0.605475040257649</v>
      </c>
      <c r="G16" s="98">
        <f t="shared" si="1"/>
        <v>0.6891438539989265</v>
      </c>
      <c r="H16" s="96">
        <f t="shared" si="2"/>
        <v>0</v>
      </c>
      <c r="I16" s="96">
        <f t="shared" si="3"/>
        <v>0</v>
      </c>
      <c r="J16" s="85">
        <f t="shared" si="4"/>
        <v>0</v>
      </c>
    </row>
    <row r="17" spans="1:10" ht="12.75">
      <c r="A17" s="81" t="s">
        <v>9</v>
      </c>
      <c r="B17" s="96">
        <v>0.01360848</v>
      </c>
      <c r="C17" s="97">
        <v>61.05797101449275</v>
      </c>
      <c r="D17" s="98">
        <v>0.014197600159656739</v>
      </c>
      <c r="E17" s="98">
        <v>0.05587674000898069</v>
      </c>
      <c r="F17" s="98">
        <v>0.06462044105173877</v>
      </c>
      <c r="G17" s="98">
        <f t="shared" si="1"/>
        <v>0.1346947812203762</v>
      </c>
      <c r="H17" s="96">
        <f t="shared" si="2"/>
        <v>0</v>
      </c>
      <c r="I17" s="96">
        <f t="shared" si="3"/>
        <v>0</v>
      </c>
      <c r="J17" s="85">
        <f t="shared" si="4"/>
        <v>0</v>
      </c>
    </row>
    <row r="18" spans="1:10" ht="12.75">
      <c r="A18" s="81" t="s">
        <v>10</v>
      </c>
      <c r="B18" s="96">
        <v>0.01075959</v>
      </c>
      <c r="C18" s="97">
        <v>49.2536231884058</v>
      </c>
      <c r="D18" s="98">
        <v>0.011070274944680419</v>
      </c>
      <c r="E18" s="98">
        <v>0.15116870564895593</v>
      </c>
      <c r="F18" s="98">
        <v>0.40750820255868964</v>
      </c>
      <c r="G18" s="98">
        <f t="shared" si="1"/>
        <v>0.569747183152326</v>
      </c>
      <c r="H18" s="96">
        <f t="shared" si="2"/>
        <v>0</v>
      </c>
      <c r="I18" s="96">
        <f t="shared" si="3"/>
        <v>0</v>
      </c>
      <c r="J18" s="85">
        <f t="shared" si="4"/>
        <v>0</v>
      </c>
    </row>
    <row r="19" spans="1:10" ht="12.75">
      <c r="A19" s="81" t="s">
        <v>11</v>
      </c>
      <c r="B19" s="96">
        <v>0.00108355</v>
      </c>
      <c r="C19" s="97"/>
      <c r="D19" s="98">
        <v>0.0016432626232446967</v>
      </c>
      <c r="E19" s="98">
        <v>0.03580320685190718</v>
      </c>
      <c r="F19" s="98">
        <v>0.04063340304750523</v>
      </c>
      <c r="G19" s="98">
        <f t="shared" si="1"/>
        <v>0.0780798725226571</v>
      </c>
      <c r="H19" s="96">
        <f t="shared" si="2"/>
        <v>0</v>
      </c>
      <c r="I19" s="96">
        <f t="shared" si="3"/>
        <v>0</v>
      </c>
      <c r="J19" s="85">
        <f t="shared" si="4"/>
        <v>0</v>
      </c>
    </row>
    <row r="20" spans="1:10" ht="12.75">
      <c r="A20" s="81" t="s">
        <v>12</v>
      </c>
      <c r="B20" s="96">
        <v>0.00627508</v>
      </c>
      <c r="C20" s="97">
        <v>31.956521739130437</v>
      </c>
      <c r="D20" s="98">
        <v>0.05865934163306898</v>
      </c>
      <c r="E20" s="98">
        <v>0.06021000398741748</v>
      </c>
      <c r="F20" s="98">
        <v>0.33941783704753886</v>
      </c>
      <c r="G20" s="98">
        <f t="shared" si="1"/>
        <v>0.4582871826680253</v>
      </c>
      <c r="H20" s="96">
        <f t="shared" si="2"/>
        <v>0</v>
      </c>
      <c r="I20" s="96">
        <f t="shared" si="3"/>
        <v>0</v>
      </c>
      <c r="J20" s="85">
        <f t="shared" si="4"/>
        <v>0</v>
      </c>
    </row>
    <row r="21" spans="1:10" ht="12.75">
      <c r="A21" s="81" t="s">
        <v>13</v>
      </c>
      <c r="B21" s="96">
        <v>0.05808651</v>
      </c>
      <c r="C21" s="97">
        <v>34.2463768115942</v>
      </c>
      <c r="D21" s="98">
        <v>0.007007472362494882</v>
      </c>
      <c r="E21" s="98">
        <v>0.05193547836768118</v>
      </c>
      <c r="F21" s="98">
        <v>0.7501108912242391</v>
      </c>
      <c r="G21" s="98">
        <f t="shared" si="1"/>
        <v>0.8090538419544152</v>
      </c>
      <c r="H21" s="96">
        <f t="shared" si="2"/>
        <v>0.05808651</v>
      </c>
      <c r="I21" s="96">
        <f t="shared" si="3"/>
        <v>0.08258979097569925</v>
      </c>
      <c r="J21" s="85">
        <f t="shared" si="4"/>
        <v>41294895</v>
      </c>
    </row>
    <row r="22" spans="1:10" ht="12.75">
      <c r="A22" s="81" t="s">
        <v>14</v>
      </c>
      <c r="B22" s="96">
        <v>0.02629994</v>
      </c>
      <c r="C22" s="97">
        <v>35.66666666666667</v>
      </c>
      <c r="D22" s="98">
        <v>0.028352850968911193</v>
      </c>
      <c r="E22" s="98">
        <v>0.07679841070681723</v>
      </c>
      <c r="F22" s="98">
        <v>0.6173933500627352</v>
      </c>
      <c r="G22" s="98">
        <f t="shared" si="1"/>
        <v>0.7225446117384636</v>
      </c>
      <c r="H22" s="96">
        <f t="shared" si="2"/>
        <v>0.02629994</v>
      </c>
      <c r="I22" s="96">
        <f t="shared" si="3"/>
        <v>0.0373943372957582</v>
      </c>
      <c r="J22" s="85">
        <f t="shared" si="4"/>
        <v>18697169</v>
      </c>
    </row>
    <row r="23" spans="1:10" ht="12.75">
      <c r="A23" s="81" t="s">
        <v>15</v>
      </c>
      <c r="B23" s="96">
        <v>0.01863912</v>
      </c>
      <c r="C23" s="97">
        <v>31.289855072463766</v>
      </c>
      <c r="D23" s="98">
        <v>0.02477176776242197</v>
      </c>
      <c r="E23" s="98">
        <v>0.14274889041244182</v>
      </c>
      <c r="F23" s="98">
        <v>0.6166600512394905</v>
      </c>
      <c r="G23" s="98">
        <f t="shared" si="1"/>
        <v>0.7841807094143542</v>
      </c>
      <c r="H23" s="96">
        <f t="shared" si="2"/>
        <v>0.01863912</v>
      </c>
      <c r="I23" s="96">
        <f t="shared" si="3"/>
        <v>0.026501868071794558</v>
      </c>
      <c r="J23" s="85">
        <f t="shared" si="4"/>
        <v>13250934</v>
      </c>
    </row>
    <row r="24" spans="1:10" ht="12.75">
      <c r="A24" s="81" t="s">
        <v>16</v>
      </c>
      <c r="B24" s="96">
        <v>0.00855992</v>
      </c>
      <c r="C24" s="97">
        <v>40.64492753623188</v>
      </c>
      <c r="D24" s="98">
        <v>0.0016023501134997996</v>
      </c>
      <c r="E24" s="98">
        <v>0.08635522575968563</v>
      </c>
      <c r="F24" s="98">
        <v>0.6846803883791466</v>
      </c>
      <c r="G24" s="98">
        <f t="shared" si="1"/>
        <v>0.772637964252332</v>
      </c>
      <c r="H24" s="96">
        <f t="shared" si="2"/>
        <v>0</v>
      </c>
      <c r="I24" s="96">
        <f t="shared" si="3"/>
        <v>0</v>
      </c>
      <c r="J24" s="85">
        <f t="shared" si="4"/>
        <v>0</v>
      </c>
    </row>
    <row r="25" spans="1:10" ht="12.75">
      <c r="A25" s="81" t="s">
        <v>17</v>
      </c>
      <c r="B25" s="96">
        <v>0.0136864</v>
      </c>
      <c r="C25" s="97">
        <v>41.52173913043478</v>
      </c>
      <c r="D25" s="98">
        <v>0.04116937531742001</v>
      </c>
      <c r="E25" s="98">
        <v>0.10410318266463518</v>
      </c>
      <c r="F25" s="98">
        <v>0.3637210089724056</v>
      </c>
      <c r="G25" s="98">
        <f t="shared" si="1"/>
        <v>0.5089935669544607</v>
      </c>
      <c r="H25" s="96">
        <f t="shared" si="2"/>
        <v>0</v>
      </c>
      <c r="I25" s="96">
        <f t="shared" si="3"/>
        <v>0</v>
      </c>
      <c r="J25" s="85">
        <f t="shared" si="4"/>
        <v>0</v>
      </c>
    </row>
    <row r="26" spans="1:10" ht="12.75">
      <c r="A26" s="81" t="s">
        <v>18</v>
      </c>
      <c r="B26" s="96">
        <v>0.00879264</v>
      </c>
      <c r="C26" s="97">
        <v>55.768115942028984</v>
      </c>
      <c r="D26" s="98">
        <v>0.002251584448315481</v>
      </c>
      <c r="E26" s="98">
        <v>0.06554612505096179</v>
      </c>
      <c r="F26" s="98">
        <v>0.4709517808828435</v>
      </c>
      <c r="G26" s="98">
        <f t="shared" si="1"/>
        <v>0.5387494903821208</v>
      </c>
      <c r="H26" s="96">
        <f t="shared" si="2"/>
        <v>0</v>
      </c>
      <c r="I26" s="96">
        <f t="shared" si="3"/>
        <v>0</v>
      </c>
      <c r="J26" s="85">
        <f t="shared" si="4"/>
        <v>0</v>
      </c>
    </row>
    <row r="27" spans="1:10" ht="12.75">
      <c r="A27" s="81" t="s">
        <v>19</v>
      </c>
      <c r="B27" s="96">
        <v>0.01359579</v>
      </c>
      <c r="C27" s="97">
        <v>28.731884057971016</v>
      </c>
      <c r="D27" s="98">
        <v>0.7517375266938459</v>
      </c>
      <c r="E27" s="98">
        <v>0.04950495049504951</v>
      </c>
      <c r="F27" s="98">
        <v>0.04084643758493496</v>
      </c>
      <c r="G27" s="98">
        <f t="shared" si="1"/>
        <v>0.8420889147738304</v>
      </c>
      <c r="H27" s="96">
        <f t="shared" si="2"/>
        <v>0.01359579</v>
      </c>
      <c r="I27" s="96">
        <f t="shared" si="3"/>
        <v>0.019331053875495396</v>
      </c>
      <c r="J27" s="85">
        <f t="shared" si="4"/>
        <v>9665527</v>
      </c>
    </row>
    <row r="28" spans="1:10" ht="12.75">
      <c r="A28" s="81" t="s">
        <v>20</v>
      </c>
      <c r="B28" s="96">
        <v>0.01606896</v>
      </c>
      <c r="C28" s="97">
        <v>40.16666666666667</v>
      </c>
      <c r="D28" s="98">
        <v>0.1690239448051948</v>
      </c>
      <c r="E28" s="98">
        <v>0.03616071428571429</v>
      </c>
      <c r="F28" s="98">
        <v>0.46894277597402595</v>
      </c>
      <c r="G28" s="98">
        <f t="shared" si="1"/>
        <v>0.6741274350649351</v>
      </c>
      <c r="H28" s="96">
        <f t="shared" si="2"/>
        <v>0</v>
      </c>
      <c r="I28" s="96">
        <f t="shared" si="3"/>
        <v>0</v>
      </c>
      <c r="J28" s="85">
        <f t="shared" si="4"/>
        <v>0</v>
      </c>
    </row>
    <row r="29" spans="1:10" ht="12.75">
      <c r="A29" s="81" t="s">
        <v>21</v>
      </c>
      <c r="B29" s="96">
        <v>0.04197959</v>
      </c>
      <c r="C29" s="97">
        <v>33.89855072463768</v>
      </c>
      <c r="D29" s="98">
        <v>0.31616630419347846</v>
      </c>
      <c r="E29" s="98">
        <v>0.032929007570831746</v>
      </c>
      <c r="F29" s="98">
        <v>0.4455281271720365</v>
      </c>
      <c r="G29" s="98">
        <f t="shared" si="1"/>
        <v>0.7946234389363467</v>
      </c>
      <c r="H29" s="96">
        <f t="shared" si="2"/>
        <v>0.04197959</v>
      </c>
      <c r="I29" s="96">
        <f t="shared" si="3"/>
        <v>0.05968830909871421</v>
      </c>
      <c r="J29" s="85">
        <f t="shared" si="4"/>
        <v>29844155</v>
      </c>
    </row>
    <row r="30" spans="1:10" ht="12.75">
      <c r="A30" s="81" t="s">
        <v>22</v>
      </c>
      <c r="B30" s="96">
        <v>0.05514805</v>
      </c>
      <c r="C30" s="97">
        <v>32.27536231884058</v>
      </c>
      <c r="D30" s="98">
        <v>0.03633897190306867</v>
      </c>
      <c r="E30" s="98">
        <v>0.09281544817380223</v>
      </c>
      <c r="F30" s="98">
        <v>0.7405915359792818</v>
      </c>
      <c r="G30" s="98">
        <f t="shared" si="1"/>
        <v>0.8697459560561527</v>
      </c>
      <c r="H30" s="96">
        <f t="shared" si="2"/>
        <v>0.05514805</v>
      </c>
      <c r="I30" s="96">
        <f t="shared" si="3"/>
        <v>0.07841176758971077</v>
      </c>
      <c r="J30" s="85">
        <f t="shared" si="4"/>
        <v>39205884</v>
      </c>
    </row>
    <row r="31" spans="1:10" ht="12.75">
      <c r="A31" s="81" t="s">
        <v>23</v>
      </c>
      <c r="B31" s="96">
        <v>0.03973105</v>
      </c>
      <c r="C31" s="97">
        <v>24.60144927536232</v>
      </c>
      <c r="D31" s="98">
        <v>0.08636864126844307</v>
      </c>
      <c r="E31" s="98">
        <v>0.11913675401893856</v>
      </c>
      <c r="F31" s="98">
        <v>0.5592160317110768</v>
      </c>
      <c r="G31" s="98">
        <f t="shared" si="1"/>
        <v>0.7647214269984585</v>
      </c>
      <c r="H31" s="96">
        <f t="shared" si="2"/>
        <v>0.03973105</v>
      </c>
      <c r="I31" s="96">
        <f t="shared" si="3"/>
        <v>0.05649124236840973</v>
      </c>
      <c r="J31" s="85">
        <f t="shared" si="4"/>
        <v>28245621</v>
      </c>
    </row>
    <row r="32" spans="1:10" ht="12.75">
      <c r="A32" s="81" t="s">
        <v>24</v>
      </c>
      <c r="B32" s="96">
        <v>0.00737355</v>
      </c>
      <c r="C32" s="97">
        <v>51.094202898550726</v>
      </c>
      <c r="D32" s="98">
        <v>0.0026436642697443952</v>
      </c>
      <c r="E32" s="98">
        <v>0.2408906882591093</v>
      </c>
      <c r="F32" s="98">
        <v>0.3619402985074627</v>
      </c>
      <c r="G32" s="98">
        <f t="shared" si="1"/>
        <v>0.6054746510363164</v>
      </c>
      <c r="H32" s="96">
        <f t="shared" si="2"/>
        <v>0</v>
      </c>
      <c r="I32" s="96">
        <f t="shared" si="3"/>
        <v>0</v>
      </c>
      <c r="J32" s="85">
        <f t="shared" si="4"/>
        <v>0</v>
      </c>
    </row>
    <row r="33" spans="1:10" ht="12.75">
      <c r="A33" s="81" t="s">
        <v>25</v>
      </c>
      <c r="B33" s="96">
        <v>0.02320202</v>
      </c>
      <c r="C33" s="97">
        <v>39.78260869565217</v>
      </c>
      <c r="D33" s="98">
        <v>0.006993412603057547</v>
      </c>
      <c r="E33" s="98">
        <v>0.1600613166507851</v>
      </c>
      <c r="F33" s="98">
        <v>0.5072212785350292</v>
      </c>
      <c r="G33" s="98">
        <f t="shared" si="1"/>
        <v>0.6742760077888719</v>
      </c>
      <c r="H33" s="96">
        <f t="shared" si="2"/>
        <v>0.02320202</v>
      </c>
      <c r="I33" s="96">
        <f t="shared" si="3"/>
        <v>0.03298958711780056</v>
      </c>
      <c r="J33" s="85">
        <f t="shared" si="4"/>
        <v>16494794</v>
      </c>
    </row>
    <row r="34" spans="1:10" ht="12.75">
      <c r="A34" s="81" t="s">
        <v>26</v>
      </c>
      <c r="B34" s="96">
        <v>0.00736027</v>
      </c>
      <c r="C34" s="97">
        <v>30.449275362318843</v>
      </c>
      <c r="D34" s="98">
        <v>0.03456843469806633</v>
      </c>
      <c r="E34" s="98">
        <v>0.13022577508912175</v>
      </c>
      <c r="F34" s="98">
        <v>0.5176082964243275</v>
      </c>
      <c r="G34" s="98">
        <f t="shared" si="1"/>
        <v>0.6824025062115155</v>
      </c>
      <c r="H34" s="96">
        <f t="shared" si="2"/>
        <v>0.00736027</v>
      </c>
      <c r="I34" s="96">
        <f t="shared" si="3"/>
        <v>0.010465134862203115</v>
      </c>
      <c r="J34" s="85">
        <f t="shared" si="4"/>
        <v>5232567</v>
      </c>
    </row>
    <row r="35" spans="1:10" ht="12.75">
      <c r="A35" s="81" t="s">
        <v>27</v>
      </c>
      <c r="B35" s="96">
        <v>0.00921776</v>
      </c>
      <c r="C35" s="97">
        <v>34.869565217391305</v>
      </c>
      <c r="D35" s="98">
        <v>0.015309264744698948</v>
      </c>
      <c r="E35" s="98">
        <v>0.12050913570108807</v>
      </c>
      <c r="F35" s="98">
        <v>0.6260081532099598</v>
      </c>
      <c r="G35" s="98">
        <f t="shared" si="1"/>
        <v>0.7618265536557469</v>
      </c>
      <c r="H35" s="96">
        <f t="shared" si="2"/>
        <v>0.00921776</v>
      </c>
      <c r="I35" s="96">
        <f t="shared" si="3"/>
        <v>0.013106190605429066</v>
      </c>
      <c r="J35" s="85">
        <f t="shared" si="4"/>
        <v>6553095</v>
      </c>
    </row>
    <row r="36" spans="1:10" ht="12.75">
      <c r="A36" s="81" t="s">
        <v>28</v>
      </c>
      <c r="B36" s="96">
        <v>0.00195349</v>
      </c>
      <c r="C36" s="97">
        <v>47.27536231884058</v>
      </c>
      <c r="D36" s="98">
        <v>0.011933315566610406</v>
      </c>
      <c r="E36" s="98">
        <v>0.05415889372538569</v>
      </c>
      <c r="F36" s="98">
        <v>0.4289479138906162</v>
      </c>
      <c r="G36" s="98">
        <f t="shared" si="1"/>
        <v>0.4950401231826123</v>
      </c>
      <c r="H36" s="96">
        <f t="shared" si="2"/>
        <v>0</v>
      </c>
      <c r="I36" s="96">
        <f t="shared" si="3"/>
        <v>0</v>
      </c>
      <c r="J36" s="85">
        <f t="shared" si="4"/>
        <v>0</v>
      </c>
    </row>
    <row r="37" spans="1:10" ht="12.75">
      <c r="A37" s="81" t="s">
        <v>29</v>
      </c>
      <c r="B37" s="96">
        <v>0.00794588</v>
      </c>
      <c r="C37" s="97">
        <v>28.913043478260867</v>
      </c>
      <c r="D37" s="98">
        <v>0.5426211400854823</v>
      </c>
      <c r="E37" s="98">
        <v>0.09210968640445662</v>
      </c>
      <c r="F37" s="98">
        <v>0.18854151659222976</v>
      </c>
      <c r="G37" s="98">
        <f t="shared" si="1"/>
        <v>0.8232723430821687</v>
      </c>
      <c r="H37" s="96">
        <f t="shared" si="2"/>
        <v>0.00794588</v>
      </c>
      <c r="I37" s="96">
        <f t="shared" si="3"/>
        <v>0.011297779266097915</v>
      </c>
      <c r="J37" s="85">
        <f t="shared" si="4"/>
        <v>5648890</v>
      </c>
    </row>
    <row r="38" spans="1:10" ht="12.75">
      <c r="A38" s="81" t="s">
        <v>30</v>
      </c>
      <c r="B38" s="96">
        <v>0.03897152</v>
      </c>
      <c r="C38" s="97">
        <v>38.710144927536234</v>
      </c>
      <c r="D38" s="98">
        <v>0.19562421185372006</v>
      </c>
      <c r="E38" s="98">
        <v>0.03206179066834804</v>
      </c>
      <c r="F38" s="98">
        <v>0.6048108448928121</v>
      </c>
      <c r="G38" s="98">
        <f t="shared" si="1"/>
        <v>0.8324968474148802</v>
      </c>
      <c r="H38" s="96">
        <f t="shared" si="2"/>
        <v>0.03897152</v>
      </c>
      <c r="I38" s="96">
        <f t="shared" si="3"/>
        <v>0.05541131134931816</v>
      </c>
      <c r="J38" s="85">
        <f t="shared" si="4"/>
        <v>27705656</v>
      </c>
    </row>
    <row r="39" spans="1:10" ht="12.75">
      <c r="A39" s="81" t="s">
        <v>31</v>
      </c>
      <c r="B39" s="96">
        <v>0.00520713</v>
      </c>
      <c r="C39" s="97">
        <v>42.10144927536232</v>
      </c>
      <c r="D39" s="98">
        <v>0.0018765868197372778</v>
      </c>
      <c r="E39" s="98">
        <v>0.1723700187658682</v>
      </c>
      <c r="F39" s="98">
        <v>0.6043989402803841</v>
      </c>
      <c r="G39" s="98">
        <f t="shared" si="1"/>
        <v>0.7786455458659896</v>
      </c>
      <c r="H39" s="96">
        <f t="shared" si="2"/>
        <v>0</v>
      </c>
      <c r="I39" s="96">
        <f t="shared" si="3"/>
        <v>0</v>
      </c>
      <c r="J39" s="85">
        <f t="shared" si="4"/>
        <v>0</v>
      </c>
    </row>
    <row r="40" spans="1:10" ht="12.75">
      <c r="A40" s="81" t="s">
        <v>32</v>
      </c>
      <c r="B40" s="96">
        <v>0.12724791</v>
      </c>
      <c r="C40" s="97">
        <v>36.44927536231884</v>
      </c>
      <c r="D40" s="98">
        <v>0.29345501003832813</v>
      </c>
      <c r="E40" s="98">
        <v>0.0390022510190424</v>
      </c>
      <c r="F40" s="98">
        <v>0.5115507696051591</v>
      </c>
      <c r="G40" s="98">
        <f aca="true" t="shared" si="5" ref="G40:G58">SUM(D40:F40)</f>
        <v>0.8440080306625297</v>
      </c>
      <c r="H40" s="96">
        <f aca="true" t="shared" si="6" ref="H40:H58">IF(AND(G40&gt;$H$4,C40&lt;$G$4),B40,0)</f>
        <v>0.12724791</v>
      </c>
      <c r="I40" s="96">
        <f aca="true" t="shared" si="7" ref="I40:I58">H40/$H$60</f>
        <v>0.18092631643723456</v>
      </c>
      <c r="J40" s="85">
        <f>ROUND(I40*$D$64,0)-1</f>
        <v>90463157</v>
      </c>
    </row>
    <row r="41" spans="1:10" ht="12.75">
      <c r="A41" s="81" t="s">
        <v>33</v>
      </c>
      <c r="B41" s="96">
        <v>0.0189638</v>
      </c>
      <c r="C41" s="97">
        <v>46.630434782608695</v>
      </c>
      <c r="D41" s="98">
        <v>0.16013043146776454</v>
      </c>
      <c r="E41" s="98">
        <v>0.13517016497469372</v>
      </c>
      <c r="F41" s="98">
        <v>0.18642199037012275</v>
      </c>
      <c r="G41" s="98">
        <f t="shared" si="5"/>
        <v>0.481722586812581</v>
      </c>
      <c r="H41" s="96">
        <f t="shared" si="6"/>
        <v>0</v>
      </c>
      <c r="I41" s="96">
        <f t="shared" si="7"/>
        <v>0</v>
      </c>
      <c r="J41" s="85">
        <f t="shared" si="4"/>
        <v>0</v>
      </c>
    </row>
    <row r="42" spans="1:10" ht="12.75">
      <c r="A42" s="81" t="s">
        <v>34</v>
      </c>
      <c r="B42" s="96">
        <v>0.00799548</v>
      </c>
      <c r="C42" s="97">
        <v>22.23913043478261</v>
      </c>
      <c r="D42" s="98">
        <v>0.10338017470565894</v>
      </c>
      <c r="E42" s="98">
        <v>0.16984428408659324</v>
      </c>
      <c r="F42" s="98">
        <v>0.3407519939232814</v>
      </c>
      <c r="G42" s="98">
        <f t="shared" si="5"/>
        <v>0.6139764527155336</v>
      </c>
      <c r="H42" s="96">
        <f t="shared" si="6"/>
        <v>0.00799548</v>
      </c>
      <c r="I42" s="96">
        <f t="shared" si="7"/>
        <v>0.011368302587819163</v>
      </c>
      <c r="J42" s="85">
        <f t="shared" si="4"/>
        <v>5684151</v>
      </c>
    </row>
    <row r="43" spans="1:10" ht="12.75">
      <c r="A43" s="81" t="s">
        <v>35</v>
      </c>
      <c r="B43" s="96">
        <v>0.0513862</v>
      </c>
      <c r="C43" s="97">
        <v>36.13768115942029</v>
      </c>
      <c r="D43" s="98">
        <v>0.04456429417203968</v>
      </c>
      <c r="E43" s="98">
        <v>0.057827726011807384</v>
      </c>
      <c r="F43" s="98">
        <v>0.6553725267046857</v>
      </c>
      <c r="G43" s="98">
        <f t="shared" si="5"/>
        <v>0.7577645468885328</v>
      </c>
      <c r="H43" s="96">
        <f t="shared" si="6"/>
        <v>0.0513862</v>
      </c>
      <c r="I43" s="96">
        <f t="shared" si="7"/>
        <v>0.07306301440791461</v>
      </c>
      <c r="J43" s="85">
        <f t="shared" si="4"/>
        <v>36531507</v>
      </c>
    </row>
    <row r="44" spans="1:10" ht="12.75">
      <c r="A44" s="81" t="s">
        <v>36</v>
      </c>
      <c r="B44" s="96">
        <v>0.00790558</v>
      </c>
      <c r="C44" s="97">
        <v>47.31884057971014</v>
      </c>
      <c r="D44" s="98">
        <v>0.001204004329004329</v>
      </c>
      <c r="E44" s="98">
        <v>0.12842261904761904</v>
      </c>
      <c r="F44" s="98">
        <v>0.5617018398268399</v>
      </c>
      <c r="G44" s="98">
        <f t="shared" si="5"/>
        <v>0.6913284632034632</v>
      </c>
      <c r="H44" s="96">
        <f t="shared" si="6"/>
        <v>0</v>
      </c>
      <c r="I44" s="96">
        <f t="shared" si="7"/>
        <v>0</v>
      </c>
      <c r="J44" s="85">
        <f t="shared" si="4"/>
        <v>0</v>
      </c>
    </row>
    <row r="45" spans="1:10" ht="12.75">
      <c r="A45" s="81" t="s">
        <v>37</v>
      </c>
      <c r="B45" s="96">
        <v>0.01246826</v>
      </c>
      <c r="C45" s="97">
        <v>41.2536231884058</v>
      </c>
      <c r="D45" s="98">
        <v>0.05474759872693279</v>
      </c>
      <c r="E45" s="98">
        <v>0.022949462657170995</v>
      </c>
      <c r="F45" s="98">
        <v>0.22388570939243865</v>
      </c>
      <c r="G45" s="98">
        <f t="shared" si="5"/>
        <v>0.30158277077654244</v>
      </c>
      <c r="H45" s="96">
        <f t="shared" si="6"/>
        <v>0</v>
      </c>
      <c r="I45" s="96">
        <f t="shared" si="7"/>
        <v>0</v>
      </c>
      <c r="J45" s="85">
        <f t="shared" si="4"/>
        <v>0</v>
      </c>
    </row>
    <row r="46" spans="1:10" ht="12.75">
      <c r="A46" s="81" t="s">
        <v>38</v>
      </c>
      <c r="B46" s="96">
        <v>0.0683509</v>
      </c>
      <c r="C46" s="97">
        <v>36.108695652173914</v>
      </c>
      <c r="D46" s="98">
        <v>0.23842536751197824</v>
      </c>
      <c r="E46" s="98">
        <v>0.03130485772712259</v>
      </c>
      <c r="F46" s="98">
        <v>0.5323570126963745</v>
      </c>
      <c r="G46" s="98">
        <f t="shared" si="5"/>
        <v>0.8020872379354753</v>
      </c>
      <c r="H46" s="96">
        <f t="shared" si="6"/>
        <v>0.0683509</v>
      </c>
      <c r="I46" s="96">
        <f t="shared" si="7"/>
        <v>0.09718412319832818</v>
      </c>
      <c r="J46" s="85">
        <f t="shared" si="4"/>
        <v>48592062</v>
      </c>
    </row>
    <row r="47" spans="1:10" ht="12.75">
      <c r="A47" s="81" t="s">
        <v>39</v>
      </c>
      <c r="B47" s="96">
        <v>0.00691008</v>
      </c>
      <c r="C47" s="97">
        <v>36.7536231884058</v>
      </c>
      <c r="D47" s="98">
        <v>0.32441780032280376</v>
      </c>
      <c r="E47" s="98">
        <v>0.032472523249558065</v>
      </c>
      <c r="F47" s="98">
        <v>0.518138498193836</v>
      </c>
      <c r="G47" s="98">
        <f t="shared" si="5"/>
        <v>0.8750288217661978</v>
      </c>
      <c r="H47" s="96">
        <f t="shared" si="6"/>
        <v>0.00691008</v>
      </c>
      <c r="I47" s="96">
        <f t="shared" si="7"/>
        <v>0.009825036188701298</v>
      </c>
      <c r="J47" s="85">
        <f t="shared" si="4"/>
        <v>4912518</v>
      </c>
    </row>
    <row r="48" spans="1:10" ht="12.75">
      <c r="A48" s="81" t="s">
        <v>40</v>
      </c>
      <c r="B48" s="96">
        <v>0.00683051</v>
      </c>
      <c r="C48" s="97">
        <v>49.5</v>
      </c>
      <c r="D48" s="98">
        <v>0.08182326175461004</v>
      </c>
      <c r="E48" s="98">
        <v>0.11198668019934085</v>
      </c>
      <c r="F48" s="98">
        <v>0.23837653525527716</v>
      </c>
      <c r="G48" s="98">
        <f t="shared" si="5"/>
        <v>0.4321864772092281</v>
      </c>
      <c r="H48" s="96">
        <f t="shared" si="6"/>
        <v>0</v>
      </c>
      <c r="I48" s="96">
        <f t="shared" si="7"/>
        <v>0</v>
      </c>
      <c r="J48" s="85">
        <f t="shared" si="4"/>
        <v>0</v>
      </c>
    </row>
    <row r="49" spans="1:10" ht="12.75">
      <c r="A49" s="81" t="s">
        <v>41</v>
      </c>
      <c r="B49" s="96">
        <v>0.00649373</v>
      </c>
      <c r="C49" s="97">
        <v>29.355072463768117</v>
      </c>
      <c r="D49" s="98">
        <v>0.0788496590832377</v>
      </c>
      <c r="E49" s="98">
        <v>0.2594342806993857</v>
      </c>
      <c r="F49" s="98">
        <v>0.3557685816512523</v>
      </c>
      <c r="G49" s="98">
        <f t="shared" si="5"/>
        <v>0.6940525214338757</v>
      </c>
      <c r="H49" s="96">
        <f t="shared" si="6"/>
        <v>0.00649373</v>
      </c>
      <c r="I49" s="96">
        <f t="shared" si="7"/>
        <v>0.00923305262018027</v>
      </c>
      <c r="J49" s="85">
        <f t="shared" si="4"/>
        <v>4616526</v>
      </c>
    </row>
    <row r="50" spans="1:10" ht="12.75">
      <c r="A50" s="81" t="s">
        <v>42</v>
      </c>
      <c r="B50" s="96">
        <v>0.01386403</v>
      </c>
      <c r="C50" s="97">
        <v>44.34057971014492</v>
      </c>
      <c r="D50" s="98">
        <v>0.03172651453255568</v>
      </c>
      <c r="E50" s="98">
        <v>0.0769622792612786</v>
      </c>
      <c r="F50" s="98">
        <v>0.2923903283475841</v>
      </c>
      <c r="G50" s="98">
        <f t="shared" si="5"/>
        <v>0.4010791221414184</v>
      </c>
      <c r="H50" s="96">
        <f t="shared" si="6"/>
        <v>0</v>
      </c>
      <c r="I50" s="96">
        <f t="shared" si="7"/>
        <v>0</v>
      </c>
      <c r="J50" s="85">
        <f t="shared" si="4"/>
        <v>0</v>
      </c>
    </row>
    <row r="51" spans="1:10" ht="12.75">
      <c r="A51" s="81" t="s">
        <v>43</v>
      </c>
      <c r="B51" s="96">
        <v>0.02263997</v>
      </c>
      <c r="C51" s="97">
        <v>55.028985507246375</v>
      </c>
      <c r="D51" s="98">
        <v>0.0011018214091211651</v>
      </c>
      <c r="E51" s="98">
        <v>0.0856672448917845</v>
      </c>
      <c r="F51" s="98">
        <v>0.41446890695282085</v>
      </c>
      <c r="G51" s="98">
        <f t="shared" si="5"/>
        <v>0.5012379732537265</v>
      </c>
      <c r="H51" s="96">
        <f t="shared" si="6"/>
        <v>0</v>
      </c>
      <c r="I51" s="96">
        <f t="shared" si="7"/>
        <v>0</v>
      </c>
      <c r="J51" s="85">
        <f t="shared" si="4"/>
        <v>0</v>
      </c>
    </row>
    <row r="52" spans="1:10" ht="12.75">
      <c r="A52" s="81" t="s">
        <v>44</v>
      </c>
      <c r="B52" s="96">
        <v>0.00747576</v>
      </c>
      <c r="C52" s="97">
        <v>32.833333333333336</v>
      </c>
      <c r="D52" s="98">
        <v>0.008703451483240874</v>
      </c>
      <c r="E52" s="98">
        <v>0.043118626050559744</v>
      </c>
      <c r="F52" s="98">
        <v>0.7634455037703883</v>
      </c>
      <c r="G52" s="98">
        <f t="shared" si="5"/>
        <v>0.815267581304189</v>
      </c>
      <c r="H52" s="96">
        <f t="shared" si="6"/>
        <v>0.00747576</v>
      </c>
      <c r="I52" s="96">
        <f t="shared" si="7"/>
        <v>0.01062934329820286</v>
      </c>
      <c r="J52" s="85">
        <f t="shared" si="4"/>
        <v>5314672</v>
      </c>
    </row>
    <row r="53" spans="1:10" ht="12.75">
      <c r="A53" s="81" t="s">
        <v>45</v>
      </c>
      <c r="B53" s="96">
        <v>0.00595572</v>
      </c>
      <c r="C53" s="97">
        <v>28.20289855072464</v>
      </c>
      <c r="D53" s="98">
        <v>0.5705290773939659</v>
      </c>
      <c r="E53" s="98">
        <v>0.1410581547879318</v>
      </c>
      <c r="F53" s="98">
        <v>0.10660253607345868</v>
      </c>
      <c r="G53" s="98">
        <f t="shared" si="5"/>
        <v>0.8181897682553564</v>
      </c>
      <c r="H53" s="96">
        <f t="shared" si="6"/>
        <v>0.00595572</v>
      </c>
      <c r="I53" s="96">
        <f t="shared" si="7"/>
        <v>0.008468087855679254</v>
      </c>
      <c r="J53" s="85">
        <f t="shared" si="4"/>
        <v>4234044</v>
      </c>
    </row>
    <row r="54" spans="1:10" ht="12.75">
      <c r="A54" s="81" t="s">
        <v>46</v>
      </c>
      <c r="B54" s="96">
        <v>0.01957379</v>
      </c>
      <c r="C54" s="97">
        <v>42.528985507246375</v>
      </c>
      <c r="D54" s="98">
        <v>0.18085511484798636</v>
      </c>
      <c r="E54" s="98">
        <v>0.05692895875220862</v>
      </c>
      <c r="F54" s="98">
        <v>0.25492749649667945</v>
      </c>
      <c r="G54" s="98">
        <f t="shared" si="5"/>
        <v>0.49271157009687444</v>
      </c>
      <c r="H54" s="96">
        <f t="shared" si="6"/>
        <v>0</v>
      </c>
      <c r="I54" s="96">
        <f t="shared" si="7"/>
        <v>0</v>
      </c>
      <c r="J54" s="85">
        <f t="shared" si="4"/>
        <v>0</v>
      </c>
    </row>
    <row r="55" spans="1:10" ht="12.75">
      <c r="A55" s="81" t="s">
        <v>47</v>
      </c>
      <c r="B55" s="96">
        <v>0.02050857</v>
      </c>
      <c r="C55" s="97">
        <v>40.528985507246375</v>
      </c>
      <c r="D55" s="98">
        <v>0.04531683689204143</v>
      </c>
      <c r="E55" s="98">
        <v>0.026313879868657367</v>
      </c>
      <c r="F55" s="98">
        <v>0.19961721967236906</v>
      </c>
      <c r="G55" s="98">
        <f t="shared" si="5"/>
        <v>0.2712479364330679</v>
      </c>
      <c r="H55" s="96">
        <f t="shared" si="6"/>
        <v>0</v>
      </c>
      <c r="I55" s="96">
        <f t="shared" si="7"/>
        <v>0</v>
      </c>
      <c r="J55" s="85">
        <f t="shared" si="4"/>
        <v>0</v>
      </c>
    </row>
    <row r="56" spans="1:10" ht="12.75">
      <c r="A56" s="81" t="s">
        <v>48</v>
      </c>
      <c r="B56" s="96">
        <v>0.00905733</v>
      </c>
      <c r="C56" s="97">
        <v>38.68840579710145</v>
      </c>
      <c r="D56" s="98">
        <v>0.0754883211208286</v>
      </c>
      <c r="E56" s="98">
        <v>0.05960848357221136</v>
      </c>
      <c r="F56" s="98">
        <v>0.4383608741431549</v>
      </c>
      <c r="G56" s="98">
        <f t="shared" si="5"/>
        <v>0.5734576788361948</v>
      </c>
      <c r="H56" s="96">
        <f t="shared" si="6"/>
        <v>0</v>
      </c>
      <c r="I56" s="96">
        <f t="shared" si="7"/>
        <v>0</v>
      </c>
      <c r="J56" s="85">
        <f t="shared" si="4"/>
        <v>0</v>
      </c>
    </row>
    <row r="57" spans="1:10" ht="12.75">
      <c r="A57" s="81" t="s">
        <v>49</v>
      </c>
      <c r="B57" s="96">
        <v>0.03576365</v>
      </c>
      <c r="C57" s="97">
        <v>28.949275362318843</v>
      </c>
      <c r="D57" s="98">
        <v>0.07920197704783535</v>
      </c>
      <c r="E57" s="98">
        <v>0.1074369415790369</v>
      </c>
      <c r="F57" s="98">
        <v>0.5895124415940448</v>
      </c>
      <c r="G57" s="98">
        <f t="shared" si="5"/>
        <v>0.7761513602209171</v>
      </c>
      <c r="H57" s="96">
        <f t="shared" si="6"/>
        <v>0.03576365</v>
      </c>
      <c r="I57" s="96">
        <f t="shared" si="7"/>
        <v>0.05085022973540787</v>
      </c>
      <c r="J57" s="85">
        <f t="shared" si="4"/>
        <v>25425115</v>
      </c>
    </row>
    <row r="58" spans="1:10" ht="12.75">
      <c r="A58" s="81" t="s">
        <v>50</v>
      </c>
      <c r="B58" s="96">
        <v>0.00299313</v>
      </c>
      <c r="C58" s="97">
        <v>28.514492753623188</v>
      </c>
      <c r="D58" s="98">
        <v>0.0026890061019753855</v>
      </c>
      <c r="E58" s="98">
        <v>0.11055952011583411</v>
      </c>
      <c r="F58" s="98">
        <v>0.6087496121625815</v>
      </c>
      <c r="G58" s="98">
        <f t="shared" si="5"/>
        <v>0.721998138380391</v>
      </c>
      <c r="H58" s="96">
        <f t="shared" si="6"/>
        <v>0.00299313</v>
      </c>
      <c r="I58" s="96">
        <f t="shared" si="7"/>
        <v>0.004255755442409859</v>
      </c>
      <c r="J58" s="85">
        <f t="shared" si="4"/>
        <v>2127878</v>
      </c>
    </row>
    <row r="59" spans="2:10" ht="12.75">
      <c r="B59" s="100" t="s">
        <v>58</v>
      </c>
      <c r="C59" s="100"/>
      <c r="D59" s="81"/>
      <c r="J59" s="101"/>
    </row>
    <row r="60" spans="1:10" ht="12.75">
      <c r="A60" s="81" t="s">
        <v>59</v>
      </c>
      <c r="B60" s="102">
        <f>SUM(B8:B58)</f>
        <v>1</v>
      </c>
      <c r="C60" s="102"/>
      <c r="D60" s="81"/>
      <c r="G60" s="103">
        <f>SUM(G8:G58)</f>
        <v>32.809433024165216</v>
      </c>
      <c r="H60" s="103">
        <f>SUM(H8:H58)</f>
        <v>0.7033134400000001</v>
      </c>
      <c r="I60" s="103">
        <f>SUM(I8:I58)</f>
        <v>0.9999999999999999</v>
      </c>
      <c r="J60" s="85">
        <f>SUM(J8:J58)</f>
        <v>500000000</v>
      </c>
    </row>
    <row r="61" spans="2:4" ht="12.75">
      <c r="B61" s="102"/>
      <c r="C61" s="102"/>
      <c r="D61" s="85"/>
    </row>
    <row r="62" spans="1:10" ht="12.75">
      <c r="A62" s="81" t="s">
        <v>60</v>
      </c>
      <c r="B62" s="104"/>
      <c r="C62" s="104"/>
      <c r="D62" s="105">
        <f>E4</f>
        <v>500000000</v>
      </c>
      <c r="E62" s="106"/>
      <c r="F62" s="106"/>
      <c r="G62" s="106"/>
      <c r="H62" s="106"/>
      <c r="I62" s="106"/>
      <c r="J62" s="105"/>
    </row>
    <row r="63" spans="1:10" ht="13.5" thickBot="1">
      <c r="A63" s="81" t="s">
        <v>61</v>
      </c>
      <c r="B63" s="104">
        <v>0</v>
      </c>
      <c r="C63" s="104"/>
      <c r="D63" s="106">
        <f>$B$63*D62</f>
        <v>0</v>
      </c>
      <c r="E63" s="106"/>
      <c r="F63" s="106"/>
      <c r="G63" s="106"/>
      <c r="H63" s="106"/>
      <c r="I63" s="106"/>
      <c r="J63" s="106"/>
    </row>
    <row r="64" spans="1:10" ht="13.5" thickTop="1">
      <c r="A64" s="107" t="s">
        <v>62</v>
      </c>
      <c r="B64" s="107"/>
      <c r="C64" s="107"/>
      <c r="D64" s="108">
        <f>(D62-D63)</f>
        <v>500000000</v>
      </c>
      <c r="E64" s="106"/>
      <c r="F64" s="106"/>
      <c r="G64" s="106"/>
      <c r="H64" s="106"/>
      <c r="I64" s="106"/>
      <c r="J64" s="106"/>
    </row>
    <row r="65" spans="2:10" ht="12.75">
      <c r="B65" s="104"/>
      <c r="C65" s="104"/>
      <c r="D65" s="85"/>
      <c r="E65" s="106"/>
      <c r="F65" s="106"/>
      <c r="G65" s="106"/>
      <c r="H65" s="106"/>
      <c r="I65" s="106"/>
      <c r="J65" s="106"/>
    </row>
    <row r="66" spans="2:5" ht="12.75">
      <c r="B66" s="109" t="s">
        <v>61</v>
      </c>
      <c r="C66" s="109"/>
      <c r="D66" s="109" t="s">
        <v>63</v>
      </c>
      <c r="E66" s="110" t="s">
        <v>64</v>
      </c>
    </row>
    <row r="67" spans="2:5" ht="12.75">
      <c r="B67" s="111" t="s">
        <v>65</v>
      </c>
      <c r="C67" s="111"/>
      <c r="D67" s="112">
        <v>0.01654258</v>
      </c>
      <c r="E67" s="110">
        <f>ROUND(D67*$D$63,0)</f>
        <v>0</v>
      </c>
    </row>
    <row r="68" spans="2:5" ht="12.75">
      <c r="B68" s="111" t="s">
        <v>66</v>
      </c>
      <c r="C68" s="111"/>
      <c r="D68" s="112">
        <v>0.03626904</v>
      </c>
      <c r="E68" s="110">
        <f>ROUND(D68*$D$63,0)</f>
        <v>0</v>
      </c>
    </row>
    <row r="69" spans="2:5" ht="12.75">
      <c r="B69" s="111" t="s">
        <v>67</v>
      </c>
      <c r="C69" s="111"/>
      <c r="D69" s="112">
        <v>0.01259719</v>
      </c>
      <c r="E69" s="110">
        <f>ROUND(D69*$D$63,0)</f>
        <v>0</v>
      </c>
    </row>
    <row r="70" spans="2:5" ht="12.75">
      <c r="B70" s="111" t="s">
        <v>68</v>
      </c>
      <c r="C70" s="111"/>
      <c r="D70" s="112">
        <v>0.90029483</v>
      </c>
      <c r="E70" s="110">
        <f>ROUND(D70*$D$63,0)</f>
        <v>0</v>
      </c>
    </row>
    <row r="71" spans="2:5" ht="12.75">
      <c r="B71" s="111" t="s">
        <v>69</v>
      </c>
      <c r="C71" s="111"/>
      <c r="D71" s="112">
        <v>0.03429636</v>
      </c>
      <c r="E71" s="110">
        <f>ROUND(D71*$D$63,0)</f>
        <v>0</v>
      </c>
    </row>
    <row r="72" spans="2:5" ht="12.75">
      <c r="B72" s="109" t="s">
        <v>60</v>
      </c>
      <c r="C72" s="109"/>
      <c r="D72" s="111"/>
      <c r="E72" s="110">
        <f>SUM(E67:E71)</f>
        <v>0</v>
      </c>
    </row>
    <row r="74" ht="12.75">
      <c r="A74" s="64"/>
    </row>
  </sheetData>
  <mergeCells count="3">
    <mergeCell ref="A1:J1"/>
    <mergeCell ref="A2:J2"/>
    <mergeCell ref="A4:D4"/>
  </mergeCells>
  <printOptions gridLines="1" horizontalCentered="1"/>
  <pageMargins left="0.75" right="0.75" top="0.75" bottom="0.76" header="0.5" footer="0.5"/>
  <pageSetup horizontalDpi="600" verticalDpi="600" orientation="portrait" scale="58" r:id="rId1"/>
  <headerFooter alignWithMargins="0">
    <oddFooter>&amp;L&amp;"Arial,Regular"'&amp;F' [&amp;A]&amp;C&amp;"Arial,Regular"1:10 PM&amp;R&amp;"Arial,Regular"Page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91"/>
  <sheetViews>
    <sheetView view="pageBreakPreview" zoomScale="80" zoomScaleSheetLayoutView="80" workbookViewId="0" topLeftCell="A1">
      <pane xSplit="1" ySplit="5" topLeftCell="B6" activePane="bottomRight" state="frozen"/>
      <selection pane="topLeft" activeCell="H61" sqref="H61"/>
      <selection pane="topRight" activeCell="H61" sqref="H61"/>
      <selection pane="bottomLeft" activeCell="H61" sqref="H61"/>
      <selection pane="bottomRight" activeCell="A1" sqref="A1:IV16384"/>
    </sheetView>
  </sheetViews>
  <sheetFormatPr defaultColWidth="23.66015625" defaultRowHeight="12.75" zeroHeight="1"/>
  <cols>
    <col min="1" max="1" width="44.83203125" style="24" customWidth="1"/>
    <col min="2" max="2" width="28.5" style="24" customWidth="1"/>
    <col min="3" max="3" width="23.16015625" style="24" customWidth="1"/>
    <col min="4" max="7" width="23.66015625" style="24" customWidth="1"/>
    <col min="8" max="8" width="29.5" style="24" bestFit="1" customWidth="1"/>
    <col min="9" max="16384" width="23.66015625" style="24" customWidth="1"/>
  </cols>
  <sheetData>
    <row r="1" spans="1:8" ht="12.75" customHeight="1" hidden="1">
      <c r="A1" s="130" t="s">
        <v>262</v>
      </c>
      <c r="B1" s="130"/>
      <c r="C1" s="130"/>
      <c r="D1" s="130"/>
      <c r="E1" s="130"/>
      <c r="F1" s="130"/>
      <c r="G1" s="130"/>
      <c r="H1" s="130"/>
    </row>
    <row r="2" spans="1:3" ht="12.75" hidden="1">
      <c r="A2" s="113" t="s">
        <v>260</v>
      </c>
      <c r="B2" s="113"/>
      <c r="C2" s="113"/>
    </row>
    <row r="3" spans="1:8" ht="12.75" hidden="1">
      <c r="A3" s="114" t="str">
        <f aca="true" t="shared" si="0" ref="A3:H3">IF(COLUMN()&lt;=26,CHAR(64+COLUMN()),CHAR(64+ROUNDDOWN((COLUMN()-1)/26,0))&amp;CHAR(65+MOD((COLUMN()-1),26)))</f>
        <v>A</v>
      </c>
      <c r="B3" s="114" t="str">
        <f t="shared" si="0"/>
        <v>B</v>
      </c>
      <c r="C3" s="114" t="str">
        <f t="shared" si="0"/>
        <v>C</v>
      </c>
      <c r="D3" s="114" t="str">
        <f t="shared" si="0"/>
        <v>D</v>
      </c>
      <c r="E3" s="114" t="str">
        <f t="shared" si="0"/>
        <v>E</v>
      </c>
      <c r="F3" s="114" t="str">
        <f t="shared" si="0"/>
        <v>F</v>
      </c>
      <c r="G3" s="114" t="str">
        <f t="shared" si="0"/>
        <v>G</v>
      </c>
      <c r="H3" s="114" t="str">
        <f t="shared" si="0"/>
        <v>H</v>
      </c>
    </row>
    <row r="4" spans="1:3" ht="12.75" hidden="1">
      <c r="A4" s="114"/>
      <c r="B4" s="114"/>
      <c r="C4" s="114"/>
    </row>
    <row r="5" spans="1:8" s="116" customFormat="1" ht="60.75" hidden="1" thickBot="1">
      <c r="A5" s="115" t="s">
        <v>78</v>
      </c>
      <c r="B5" s="115" t="s">
        <v>269</v>
      </c>
      <c r="C5" s="115" t="s">
        <v>270</v>
      </c>
      <c r="D5" s="115" t="s">
        <v>266</v>
      </c>
      <c r="E5" s="115" t="s">
        <v>263</v>
      </c>
      <c r="F5" s="115" t="s">
        <v>264</v>
      </c>
      <c r="G5" s="115" t="s">
        <v>267</v>
      </c>
      <c r="H5" s="115" t="s">
        <v>268</v>
      </c>
    </row>
    <row r="6" spans="1:8" ht="12.75" hidden="1">
      <c r="A6" s="117" t="s">
        <v>0</v>
      </c>
      <c r="B6" s="31"/>
      <c r="C6" s="31"/>
      <c r="D6" s="31">
        <f>IF(C6="","",C6+B6)</f>
      </c>
      <c r="E6" s="118">
        <v>16769448</v>
      </c>
      <c r="F6" s="118">
        <v>14540567</v>
      </c>
      <c r="G6" s="118">
        <f>F6+E6</f>
        <v>31310015</v>
      </c>
      <c r="H6" s="118"/>
    </row>
    <row r="7" spans="1:8" ht="12.75" hidden="1">
      <c r="A7" s="24" t="s">
        <v>80</v>
      </c>
      <c r="B7" s="119">
        <v>3581</v>
      </c>
      <c r="C7" s="119">
        <v>3105</v>
      </c>
      <c r="D7" s="119">
        <f>IF(B7="","",C7+B7)</f>
        <v>6686</v>
      </c>
      <c r="E7" s="119"/>
      <c r="F7" s="119"/>
      <c r="G7" s="119"/>
      <c r="H7" s="120">
        <f>D7/$G$6</f>
        <v>0.00021354189705753894</v>
      </c>
    </row>
    <row r="8" spans="1:8" ht="12.75" hidden="1">
      <c r="A8" s="121" t="s">
        <v>82</v>
      </c>
      <c r="B8" s="119">
        <v>53159</v>
      </c>
      <c r="C8" s="119">
        <v>46093</v>
      </c>
      <c r="D8" s="119">
        <f aca="true" t="shared" si="1" ref="D8:D71">IF(B8="","",C8+B8)</f>
        <v>99252</v>
      </c>
      <c r="E8" s="119"/>
      <c r="F8" s="119"/>
      <c r="G8" s="119"/>
      <c r="H8" s="120">
        <f>D8/$G$6</f>
        <v>0.003169976124252895</v>
      </c>
    </row>
    <row r="9" spans="1:8" ht="12.75" hidden="1">
      <c r="A9" s="121" t="s">
        <v>84</v>
      </c>
      <c r="B9" s="119">
        <v>40096</v>
      </c>
      <c r="C9" s="119">
        <v>34767</v>
      </c>
      <c r="D9" s="119">
        <f t="shared" si="1"/>
        <v>74863</v>
      </c>
      <c r="E9" s="119"/>
      <c r="F9" s="119"/>
      <c r="G9" s="119"/>
      <c r="H9" s="120">
        <f>D9/$G$6</f>
        <v>0.002391024086063197</v>
      </c>
    </row>
    <row r="10" spans="1:8" ht="12.75" hidden="1">
      <c r="A10" s="122" t="s">
        <v>1</v>
      </c>
      <c r="B10" s="123"/>
      <c r="C10" s="123"/>
      <c r="D10" s="123">
        <f t="shared" si="1"/>
      </c>
      <c r="E10" s="118">
        <v>10704315</v>
      </c>
      <c r="F10" s="118">
        <v>1867845</v>
      </c>
      <c r="G10" s="118">
        <f>F10+E10</f>
        <v>12572160</v>
      </c>
      <c r="H10" s="118"/>
    </row>
    <row r="11" spans="1:8" ht="12.75" hidden="1">
      <c r="A11" s="27" t="s">
        <v>85</v>
      </c>
      <c r="B11" s="119">
        <v>91415</v>
      </c>
      <c r="C11" s="119">
        <v>15951</v>
      </c>
      <c r="D11" s="119">
        <f t="shared" si="1"/>
        <v>107366</v>
      </c>
      <c r="E11" s="119"/>
      <c r="F11" s="119"/>
      <c r="G11" s="119"/>
      <c r="H11" s="120">
        <f aca="true" t="shared" si="2" ref="H11:H18">D11/$G$10</f>
        <v>0.008539980401140297</v>
      </c>
    </row>
    <row r="12" spans="1:8" ht="12.75" hidden="1">
      <c r="A12" s="121" t="s">
        <v>86</v>
      </c>
      <c r="B12" s="119">
        <v>1479866</v>
      </c>
      <c r="C12" s="119">
        <v>258229</v>
      </c>
      <c r="D12" s="119">
        <f t="shared" si="1"/>
        <v>1738095</v>
      </c>
      <c r="E12" s="119"/>
      <c r="F12" s="119"/>
      <c r="G12" s="119"/>
      <c r="H12" s="120">
        <f t="shared" si="2"/>
        <v>0.1382495132101405</v>
      </c>
    </row>
    <row r="13" spans="1:8" ht="12.75" hidden="1">
      <c r="A13" s="121" t="s">
        <v>87</v>
      </c>
      <c r="B13" s="119">
        <v>72805</v>
      </c>
      <c r="C13" s="119">
        <v>12704</v>
      </c>
      <c r="D13" s="119">
        <f t="shared" si="1"/>
        <v>85509</v>
      </c>
      <c r="E13" s="119"/>
      <c r="F13" s="119"/>
      <c r="G13" s="119"/>
      <c r="H13" s="120">
        <f t="shared" si="2"/>
        <v>0.006801456551618815</v>
      </c>
    </row>
    <row r="14" spans="1:8" ht="12.75" hidden="1">
      <c r="A14" s="121" t="s">
        <v>88</v>
      </c>
      <c r="B14" s="119">
        <v>222007</v>
      </c>
      <c r="C14" s="119">
        <v>38739</v>
      </c>
      <c r="D14" s="119">
        <f t="shared" si="1"/>
        <v>260746</v>
      </c>
      <c r="E14" s="119"/>
      <c r="F14" s="119"/>
      <c r="G14" s="119"/>
      <c r="H14" s="120">
        <f t="shared" si="2"/>
        <v>0.020739952402769293</v>
      </c>
    </row>
    <row r="15" spans="1:8" ht="12.75" hidden="1">
      <c r="A15" s="121" t="s">
        <v>89</v>
      </c>
      <c r="B15" s="119">
        <v>88150</v>
      </c>
      <c r="C15" s="119">
        <v>15382</v>
      </c>
      <c r="D15" s="119">
        <f t="shared" si="1"/>
        <v>103532</v>
      </c>
      <c r="E15" s="119"/>
      <c r="F15" s="119"/>
      <c r="G15" s="119"/>
      <c r="H15" s="120">
        <f t="shared" si="2"/>
        <v>0.00823502087151293</v>
      </c>
    </row>
    <row r="16" spans="1:8" ht="12.75" hidden="1">
      <c r="A16" s="121" t="s">
        <v>90</v>
      </c>
      <c r="B16" s="119">
        <v>7509</v>
      </c>
      <c r="C16" s="119">
        <v>1310</v>
      </c>
      <c r="D16" s="119">
        <f t="shared" si="1"/>
        <v>8819</v>
      </c>
      <c r="E16" s="119"/>
      <c r="F16" s="119"/>
      <c r="G16" s="119"/>
      <c r="H16" s="120">
        <f t="shared" si="2"/>
        <v>0.0007014705508043168</v>
      </c>
    </row>
    <row r="17" spans="1:8" ht="12.75" hidden="1">
      <c r="A17" s="121" t="s">
        <v>91</v>
      </c>
      <c r="B17" s="119">
        <v>829665</v>
      </c>
      <c r="C17" s="119">
        <v>144772</v>
      </c>
      <c r="D17" s="119">
        <f t="shared" si="1"/>
        <v>974437</v>
      </c>
      <c r="E17" s="119"/>
      <c r="F17" s="119"/>
      <c r="G17" s="119"/>
      <c r="H17" s="120">
        <f t="shared" si="2"/>
        <v>0.07750752456220729</v>
      </c>
    </row>
    <row r="18" spans="1:8" ht="12.75" hidden="1">
      <c r="A18" s="121" t="s">
        <v>92</v>
      </c>
      <c r="B18" s="119">
        <v>473398</v>
      </c>
      <c r="C18" s="119">
        <v>82605</v>
      </c>
      <c r="D18" s="119">
        <f t="shared" si="1"/>
        <v>556003</v>
      </c>
      <c r="E18" s="119"/>
      <c r="F18" s="119"/>
      <c r="G18" s="119"/>
      <c r="H18" s="120">
        <f t="shared" si="2"/>
        <v>0.044224938276318466</v>
      </c>
    </row>
    <row r="19" spans="1:8" ht="12.75" hidden="1">
      <c r="A19" s="122" t="s">
        <v>2</v>
      </c>
      <c r="B19" s="123"/>
      <c r="C19" s="123"/>
      <c r="D19" s="123">
        <f t="shared" si="1"/>
      </c>
      <c r="E19" s="118">
        <v>8109905</v>
      </c>
      <c r="F19" s="118">
        <v>7031991</v>
      </c>
      <c r="G19" s="118">
        <f>F19+E19</f>
        <v>15141896</v>
      </c>
      <c r="H19" s="118"/>
    </row>
    <row r="20" spans="1:8" ht="12.75" hidden="1">
      <c r="A20" s="27" t="s">
        <v>93</v>
      </c>
      <c r="B20" s="119">
        <v>5383</v>
      </c>
      <c r="C20" s="119">
        <v>4668</v>
      </c>
      <c r="D20" s="119">
        <f t="shared" si="1"/>
        <v>10051</v>
      </c>
      <c r="E20" s="119"/>
      <c r="F20" s="119"/>
      <c r="G20" s="119"/>
      <c r="H20" s="120">
        <f aca="true" t="shared" si="3" ref="H20:H28">D20/$G$19</f>
        <v>0.0006637874147332673</v>
      </c>
    </row>
    <row r="21" spans="1:8" ht="12.75" hidden="1">
      <c r="A21" s="121" t="s">
        <v>94</v>
      </c>
      <c r="B21" s="119">
        <v>16054</v>
      </c>
      <c r="C21" s="119">
        <v>13920</v>
      </c>
      <c r="D21" s="119">
        <f t="shared" si="1"/>
        <v>29974</v>
      </c>
      <c r="E21" s="119"/>
      <c r="F21" s="119"/>
      <c r="G21" s="119"/>
      <c r="H21" s="120">
        <f t="shared" si="3"/>
        <v>0.001979540739151821</v>
      </c>
    </row>
    <row r="22" spans="1:8" ht="12.75" hidden="1">
      <c r="A22" s="121" t="s">
        <v>95</v>
      </c>
      <c r="B22" s="119">
        <v>3352</v>
      </c>
      <c r="C22" s="119">
        <v>2906</v>
      </c>
      <c r="D22" s="119">
        <f t="shared" si="1"/>
        <v>6258</v>
      </c>
      <c r="E22" s="119"/>
      <c r="F22" s="119"/>
      <c r="G22" s="119"/>
      <c r="H22" s="120">
        <f t="shared" si="3"/>
        <v>0.0004132903831858309</v>
      </c>
    </row>
    <row r="23" spans="1:8" ht="12.75" hidden="1">
      <c r="A23" s="121" t="s">
        <v>96</v>
      </c>
      <c r="B23" s="119">
        <v>54322</v>
      </c>
      <c r="C23" s="119">
        <v>47102</v>
      </c>
      <c r="D23" s="119">
        <f t="shared" si="1"/>
        <v>101424</v>
      </c>
      <c r="E23" s="119"/>
      <c r="F23" s="119"/>
      <c r="G23" s="119"/>
      <c r="H23" s="120">
        <f t="shared" si="3"/>
        <v>0.006698236469197781</v>
      </c>
    </row>
    <row r="24" spans="1:8" ht="12.75" hidden="1">
      <c r="A24" s="121" t="s">
        <v>97</v>
      </c>
      <c r="B24" s="119">
        <v>460925</v>
      </c>
      <c r="C24" s="119">
        <v>399662</v>
      </c>
      <c r="D24" s="119">
        <f t="shared" si="1"/>
        <v>860587</v>
      </c>
      <c r="E24" s="119"/>
      <c r="F24" s="119"/>
      <c r="G24" s="119"/>
      <c r="H24" s="120">
        <f t="shared" si="3"/>
        <v>0.05683482438394769</v>
      </c>
    </row>
    <row r="25" spans="1:8" ht="12.75" hidden="1">
      <c r="A25" s="121" t="s">
        <v>98</v>
      </c>
      <c r="B25" s="119">
        <v>20752</v>
      </c>
      <c r="C25" s="119">
        <v>17994</v>
      </c>
      <c r="D25" s="119">
        <f t="shared" si="1"/>
        <v>38746</v>
      </c>
      <c r="E25" s="119"/>
      <c r="F25" s="119"/>
      <c r="G25" s="119"/>
      <c r="H25" s="120">
        <f t="shared" si="3"/>
        <v>0.0025588605284305216</v>
      </c>
    </row>
    <row r="26" spans="1:8" ht="12.75" hidden="1">
      <c r="A26" s="121" t="s">
        <v>99</v>
      </c>
      <c r="B26" s="119">
        <v>1180</v>
      </c>
      <c r="C26" s="119">
        <v>1023</v>
      </c>
      <c r="D26" s="119">
        <f t="shared" si="1"/>
        <v>2203</v>
      </c>
      <c r="E26" s="119"/>
      <c r="F26" s="119"/>
      <c r="G26" s="119"/>
      <c r="H26" s="120">
        <f t="shared" si="3"/>
        <v>0.00014549036659609866</v>
      </c>
    </row>
    <row r="27" spans="1:8" ht="12.75" hidden="1">
      <c r="A27" s="121" t="s">
        <v>100</v>
      </c>
      <c r="B27" s="119">
        <v>20043</v>
      </c>
      <c r="C27" s="119">
        <v>17379</v>
      </c>
      <c r="D27" s="119">
        <f t="shared" si="1"/>
        <v>37422</v>
      </c>
      <c r="E27" s="119"/>
      <c r="F27" s="119"/>
      <c r="G27" s="119"/>
      <c r="H27" s="120">
        <f t="shared" si="3"/>
        <v>0.0024714210162320492</v>
      </c>
    </row>
    <row r="28" spans="1:8" ht="12.75" hidden="1">
      <c r="A28" s="121" t="s">
        <v>101</v>
      </c>
      <c r="B28" s="119">
        <v>33051</v>
      </c>
      <c r="C28" s="119">
        <v>28658</v>
      </c>
      <c r="D28" s="119">
        <f t="shared" si="1"/>
        <v>61709</v>
      </c>
      <c r="E28" s="119"/>
      <c r="F28" s="119"/>
      <c r="G28" s="119"/>
      <c r="H28" s="120">
        <f t="shared" si="3"/>
        <v>0.0040753813128818215</v>
      </c>
    </row>
    <row r="29" spans="1:8" ht="12.75" hidden="1">
      <c r="A29" s="122" t="s">
        <v>4</v>
      </c>
      <c r="B29" s="123"/>
      <c r="C29" s="123"/>
      <c r="D29" s="123">
        <f t="shared" si="1"/>
      </c>
      <c r="E29" s="118">
        <v>89963206</v>
      </c>
      <c r="F29" s="118">
        <v>63220742</v>
      </c>
      <c r="G29" s="118">
        <f>F29+E29</f>
        <v>153183948</v>
      </c>
      <c r="H29" s="118"/>
    </row>
    <row r="30" spans="1:8" ht="12.75" hidden="1">
      <c r="A30" s="27" t="s">
        <v>102</v>
      </c>
      <c r="B30" s="119">
        <v>7046</v>
      </c>
      <c r="C30" s="119">
        <v>4952</v>
      </c>
      <c r="D30" s="119">
        <f t="shared" si="1"/>
        <v>11998</v>
      </c>
      <c r="E30" s="119"/>
      <c r="F30" s="119"/>
      <c r="G30" s="119"/>
      <c r="H30" s="120">
        <f aca="true" t="shared" si="4" ref="H30:H53">D30/$G$29</f>
        <v>7.832413354433194E-05</v>
      </c>
    </row>
    <row r="31" spans="1:8" ht="12.75" hidden="1">
      <c r="A31" s="27" t="s">
        <v>103</v>
      </c>
      <c r="B31" s="119">
        <v>1301</v>
      </c>
      <c r="C31" s="119">
        <v>914</v>
      </c>
      <c r="D31" s="119">
        <f t="shared" si="1"/>
        <v>2215</v>
      </c>
      <c r="E31" s="119"/>
      <c r="F31" s="119"/>
      <c r="G31" s="119"/>
      <c r="H31" s="120">
        <f t="shared" si="4"/>
        <v>1.4459739606659047E-05</v>
      </c>
    </row>
    <row r="32" spans="1:8" ht="12.75" hidden="1">
      <c r="A32" s="121" t="s">
        <v>104</v>
      </c>
      <c r="B32" s="119">
        <v>5854</v>
      </c>
      <c r="C32" s="119">
        <v>4114</v>
      </c>
      <c r="D32" s="119">
        <f t="shared" si="1"/>
        <v>9968</v>
      </c>
      <c r="E32" s="119"/>
      <c r="F32" s="119"/>
      <c r="G32" s="119"/>
      <c r="H32" s="120">
        <f t="shared" si="4"/>
        <v>6.507209227953833E-05</v>
      </c>
    </row>
    <row r="33" spans="1:8" ht="12.75" hidden="1">
      <c r="A33" s="121" t="s">
        <v>105</v>
      </c>
      <c r="B33" s="119">
        <v>2710</v>
      </c>
      <c r="C33" s="119">
        <v>1904</v>
      </c>
      <c r="D33" s="119">
        <f t="shared" si="1"/>
        <v>4614</v>
      </c>
      <c r="E33" s="119"/>
      <c r="F33" s="119"/>
      <c r="G33" s="119"/>
      <c r="H33" s="120">
        <f t="shared" si="4"/>
        <v>3.0120649456038305E-05</v>
      </c>
    </row>
    <row r="34" spans="1:8" ht="12.75" hidden="1">
      <c r="A34" s="121" t="s">
        <v>106</v>
      </c>
      <c r="B34" s="119">
        <v>48567</v>
      </c>
      <c r="C34" s="119">
        <v>34130</v>
      </c>
      <c r="D34" s="119">
        <f t="shared" si="1"/>
        <v>82697</v>
      </c>
      <c r="E34" s="119"/>
      <c r="F34" s="119"/>
      <c r="G34" s="119"/>
      <c r="H34" s="120">
        <f t="shared" si="4"/>
        <v>0.0005398542150121369</v>
      </c>
    </row>
    <row r="35" spans="1:8" ht="12.75" hidden="1">
      <c r="A35" s="121" t="s">
        <v>107</v>
      </c>
      <c r="B35" s="119">
        <v>7372</v>
      </c>
      <c r="C35" s="119">
        <v>5181</v>
      </c>
      <c r="D35" s="119">
        <f t="shared" si="1"/>
        <v>12553</v>
      </c>
      <c r="E35" s="119"/>
      <c r="F35" s="119"/>
      <c r="G35" s="119"/>
      <c r="H35" s="120">
        <f t="shared" si="4"/>
        <v>8.194722856992822E-05</v>
      </c>
    </row>
    <row r="36" spans="1:8" ht="12.75" hidden="1">
      <c r="A36" s="121" t="s">
        <v>108</v>
      </c>
      <c r="B36" s="119">
        <v>74693</v>
      </c>
      <c r="C36" s="119">
        <v>52490</v>
      </c>
      <c r="D36" s="119">
        <f t="shared" si="1"/>
        <v>127183</v>
      </c>
      <c r="E36" s="119"/>
      <c r="F36" s="119"/>
      <c r="G36" s="119"/>
      <c r="H36" s="120">
        <f t="shared" si="4"/>
        <v>0.0008302632335863285</v>
      </c>
    </row>
    <row r="37" spans="1:8" ht="12.75" hidden="1">
      <c r="A37" s="121" t="s">
        <v>109</v>
      </c>
      <c r="B37" s="119">
        <v>35232</v>
      </c>
      <c r="C37" s="119">
        <v>24759</v>
      </c>
      <c r="D37" s="119">
        <f t="shared" si="1"/>
        <v>59991</v>
      </c>
      <c r="E37" s="119"/>
      <c r="F37" s="119"/>
      <c r="G37" s="119"/>
      <c r="H37" s="120">
        <f t="shared" si="4"/>
        <v>0.0003916271958208049</v>
      </c>
    </row>
    <row r="38" spans="1:8" ht="12.75" hidden="1">
      <c r="A38" s="121" t="s">
        <v>110</v>
      </c>
      <c r="B38" s="119">
        <v>20110</v>
      </c>
      <c r="C38" s="119">
        <v>14132</v>
      </c>
      <c r="D38" s="119">
        <f t="shared" si="1"/>
        <v>34242</v>
      </c>
      <c r="E38" s="119"/>
      <c r="F38" s="119"/>
      <c r="G38" s="119"/>
      <c r="H38" s="120">
        <f t="shared" si="4"/>
        <v>0.00022353517093057297</v>
      </c>
    </row>
    <row r="39" spans="1:8" ht="12.75" hidden="1">
      <c r="A39" s="121" t="s">
        <v>111</v>
      </c>
      <c r="B39" s="119">
        <v>175132</v>
      </c>
      <c r="C39" s="119">
        <v>123072</v>
      </c>
      <c r="D39" s="119">
        <f t="shared" si="1"/>
        <v>298204</v>
      </c>
      <c r="E39" s="119"/>
      <c r="F39" s="119"/>
      <c r="G39" s="119"/>
      <c r="H39" s="120">
        <f t="shared" si="4"/>
        <v>0.001946705277500747</v>
      </c>
    </row>
    <row r="40" spans="1:8" ht="12.75" hidden="1">
      <c r="A40" s="121" t="s">
        <v>112</v>
      </c>
      <c r="B40" s="119">
        <v>8996</v>
      </c>
      <c r="C40" s="119">
        <v>6322</v>
      </c>
      <c r="D40" s="119">
        <f t="shared" si="1"/>
        <v>15318</v>
      </c>
      <c r="E40" s="119"/>
      <c r="F40" s="119"/>
      <c r="G40" s="119"/>
      <c r="H40" s="120">
        <f t="shared" si="4"/>
        <v>9.999742270645747E-05</v>
      </c>
    </row>
    <row r="41" spans="1:8" ht="12.75" hidden="1">
      <c r="A41" s="121" t="s">
        <v>113</v>
      </c>
      <c r="B41" s="119">
        <v>42225</v>
      </c>
      <c r="C41" s="119">
        <v>29673</v>
      </c>
      <c r="D41" s="119">
        <f t="shared" si="1"/>
        <v>71898</v>
      </c>
      <c r="E41" s="119"/>
      <c r="F41" s="119"/>
      <c r="G41" s="119"/>
      <c r="H41" s="120">
        <f t="shared" si="4"/>
        <v>0.000469357272342922</v>
      </c>
    </row>
    <row r="42" spans="1:8" ht="12.75" hidden="1">
      <c r="A42" s="121" t="s">
        <v>114</v>
      </c>
      <c r="B42" s="119">
        <v>4228</v>
      </c>
      <c r="C42" s="119">
        <v>2971</v>
      </c>
      <c r="D42" s="119">
        <f t="shared" si="1"/>
        <v>7199</v>
      </c>
      <c r="E42" s="119"/>
      <c r="F42" s="119"/>
      <c r="G42" s="119"/>
      <c r="H42" s="120">
        <f t="shared" si="4"/>
        <v>4.699578574642821E-05</v>
      </c>
    </row>
    <row r="43" spans="1:8" ht="12.75" hidden="1">
      <c r="A43" s="121" t="s">
        <v>115</v>
      </c>
      <c r="B43" s="119">
        <v>20326</v>
      </c>
      <c r="C43" s="119">
        <v>14284</v>
      </c>
      <c r="D43" s="119">
        <f t="shared" si="1"/>
        <v>34610</v>
      </c>
      <c r="E43" s="119"/>
      <c r="F43" s="119"/>
      <c r="G43" s="119"/>
      <c r="H43" s="120">
        <f t="shared" si="4"/>
        <v>0.00022593751141601338</v>
      </c>
    </row>
    <row r="44" spans="1:8" ht="12.75" hidden="1">
      <c r="A44" s="121" t="s">
        <v>116</v>
      </c>
      <c r="B44" s="119">
        <v>52144</v>
      </c>
      <c r="C44" s="119">
        <v>36644</v>
      </c>
      <c r="D44" s="119">
        <f t="shared" si="1"/>
        <v>88788</v>
      </c>
      <c r="E44" s="119"/>
      <c r="F44" s="119"/>
      <c r="G44" s="119"/>
      <c r="H44" s="120">
        <f t="shared" si="4"/>
        <v>0.000579616866905663</v>
      </c>
    </row>
    <row r="45" spans="1:8" ht="12.75" hidden="1">
      <c r="A45" s="121" t="s">
        <v>117</v>
      </c>
      <c r="B45" s="119">
        <v>2385</v>
      </c>
      <c r="C45" s="119">
        <v>1676</v>
      </c>
      <c r="D45" s="119">
        <f t="shared" si="1"/>
        <v>4061</v>
      </c>
      <c r="E45" s="119"/>
      <c r="F45" s="119"/>
      <c r="G45" s="119"/>
      <c r="H45" s="120">
        <f t="shared" si="4"/>
        <v>2.6510610628732456E-05</v>
      </c>
    </row>
    <row r="46" spans="1:8" ht="12.75" hidden="1">
      <c r="A46" s="121" t="s">
        <v>118</v>
      </c>
      <c r="B46" s="119">
        <v>48458</v>
      </c>
      <c r="C46" s="119">
        <v>34053</v>
      </c>
      <c r="D46" s="119">
        <f t="shared" si="1"/>
        <v>82511</v>
      </c>
      <c r="E46" s="119"/>
      <c r="F46" s="119"/>
      <c r="G46" s="119"/>
      <c r="H46" s="120">
        <f t="shared" si="4"/>
        <v>0.0005386399885711263</v>
      </c>
    </row>
    <row r="47" spans="1:8" ht="12.75" hidden="1">
      <c r="A47" s="121" t="s">
        <v>119</v>
      </c>
      <c r="B47" s="119">
        <v>31167</v>
      </c>
      <c r="C47" s="119">
        <v>21902</v>
      </c>
      <c r="D47" s="119">
        <f t="shared" si="1"/>
        <v>53069</v>
      </c>
      <c r="E47" s="119"/>
      <c r="F47" s="119"/>
      <c r="G47" s="119"/>
      <c r="H47" s="120">
        <f t="shared" si="4"/>
        <v>0.0003464396935376023</v>
      </c>
    </row>
    <row r="48" spans="1:8" ht="12.75" hidden="1">
      <c r="A48" s="121" t="s">
        <v>120</v>
      </c>
      <c r="B48" s="119">
        <v>7914</v>
      </c>
      <c r="C48" s="119">
        <v>5561</v>
      </c>
      <c r="D48" s="119">
        <f t="shared" si="1"/>
        <v>13475</v>
      </c>
      <c r="E48" s="119"/>
      <c r="F48" s="119"/>
      <c r="G48" s="119"/>
      <c r="H48" s="120">
        <f t="shared" si="4"/>
        <v>8.796613598181971E-05</v>
      </c>
    </row>
    <row r="49" spans="1:8" ht="12.75" hidden="1">
      <c r="A49" s="121" t="s">
        <v>121</v>
      </c>
      <c r="B49" s="119">
        <v>3577</v>
      </c>
      <c r="C49" s="119">
        <v>2514</v>
      </c>
      <c r="D49" s="119">
        <f t="shared" si="1"/>
        <v>6091</v>
      </c>
      <c r="E49" s="119"/>
      <c r="F49" s="119"/>
      <c r="G49" s="119"/>
      <c r="H49" s="120">
        <f t="shared" si="4"/>
        <v>3.9762651893526075E-05</v>
      </c>
    </row>
    <row r="50" spans="1:8" ht="12.75" hidden="1">
      <c r="A50" s="121" t="s">
        <v>122</v>
      </c>
      <c r="B50" s="119">
        <v>3577</v>
      </c>
      <c r="C50" s="119">
        <v>2514</v>
      </c>
      <c r="D50" s="119">
        <f t="shared" si="1"/>
        <v>6091</v>
      </c>
      <c r="E50" s="119"/>
      <c r="F50" s="119"/>
      <c r="G50" s="119"/>
      <c r="H50" s="120">
        <f t="shared" si="4"/>
        <v>3.9762651893526075E-05</v>
      </c>
    </row>
    <row r="51" spans="1:8" ht="12.75" hidden="1">
      <c r="A51" s="24" t="s">
        <v>123</v>
      </c>
      <c r="B51" s="119">
        <v>5475</v>
      </c>
      <c r="C51" s="119">
        <v>3848</v>
      </c>
      <c r="D51" s="119">
        <f t="shared" si="1"/>
        <v>9323</v>
      </c>
      <c r="E51" s="119"/>
      <c r="F51" s="119"/>
      <c r="G51" s="119"/>
      <c r="H51" s="120">
        <f t="shared" si="4"/>
        <v>6.086146833087237E-05</v>
      </c>
    </row>
    <row r="52" spans="1:8" ht="12.75" hidden="1">
      <c r="A52" s="121" t="s">
        <v>124</v>
      </c>
      <c r="B52" s="119">
        <v>4607</v>
      </c>
      <c r="C52" s="119">
        <v>3238</v>
      </c>
      <c r="D52" s="119">
        <f t="shared" si="1"/>
        <v>7845</v>
      </c>
      <c r="E52" s="119"/>
      <c r="F52" s="119"/>
      <c r="G52" s="119"/>
      <c r="H52" s="120">
        <f t="shared" si="4"/>
        <v>5.121293779423938E-05</v>
      </c>
    </row>
    <row r="53" spans="1:8" ht="12.75" hidden="1">
      <c r="A53" s="121" t="s">
        <v>125</v>
      </c>
      <c r="B53" s="119">
        <v>63202</v>
      </c>
      <c r="C53" s="119">
        <v>44415</v>
      </c>
      <c r="D53" s="119">
        <f t="shared" si="1"/>
        <v>107617</v>
      </c>
      <c r="E53" s="119"/>
      <c r="F53" s="119"/>
      <c r="G53" s="119"/>
      <c r="H53" s="120">
        <f t="shared" si="4"/>
        <v>0.0007025344457109828</v>
      </c>
    </row>
    <row r="54" spans="1:8" ht="12.75" hidden="1">
      <c r="A54" s="122" t="s">
        <v>5</v>
      </c>
      <c r="B54" s="123"/>
      <c r="C54" s="123"/>
      <c r="D54" s="123">
        <f t="shared" si="1"/>
      </c>
      <c r="E54" s="118">
        <v>31367366</v>
      </c>
      <c r="F54" s="118">
        <v>361826</v>
      </c>
      <c r="G54" s="118">
        <f>F54+E54</f>
        <v>31729192</v>
      </c>
      <c r="H54" s="118"/>
    </row>
    <row r="55" spans="1:8" ht="12.75" hidden="1">
      <c r="A55" s="121" t="s">
        <v>126</v>
      </c>
      <c r="B55" s="119">
        <v>25000</v>
      </c>
      <c r="C55" s="119">
        <v>288</v>
      </c>
      <c r="D55" s="119">
        <f t="shared" si="1"/>
        <v>25288</v>
      </c>
      <c r="E55" s="119"/>
      <c r="F55" s="119"/>
      <c r="G55" s="119"/>
      <c r="H55" s="120">
        <f>D55/$G$54</f>
        <v>0.0007969947674683932</v>
      </c>
    </row>
    <row r="56" spans="1:8" ht="12.75" hidden="1">
      <c r="A56" s="122" t="s">
        <v>9</v>
      </c>
      <c r="B56" s="123"/>
      <c r="C56" s="123"/>
      <c r="D56" s="123">
        <f t="shared" si="1"/>
      </c>
      <c r="E56" s="118">
        <v>26534274</v>
      </c>
      <c r="F56" s="118">
        <v>23007519</v>
      </c>
      <c r="G56" s="118">
        <f>F56+E56</f>
        <v>49541793</v>
      </c>
      <c r="H56" s="118"/>
    </row>
    <row r="57" spans="1:8" ht="12.75" hidden="1">
      <c r="A57" s="24" t="s">
        <v>128</v>
      </c>
      <c r="B57" s="119">
        <v>6802</v>
      </c>
      <c r="C57" s="119">
        <v>5898</v>
      </c>
      <c r="D57" s="119">
        <f t="shared" si="1"/>
        <v>12700</v>
      </c>
      <c r="E57" s="119"/>
      <c r="F57" s="119"/>
      <c r="G57" s="119"/>
      <c r="H57" s="120">
        <f>D57/$G$56</f>
        <v>0.00025634922014227464</v>
      </c>
    </row>
    <row r="58" spans="1:8" ht="12.75" hidden="1">
      <c r="A58" s="122" t="s">
        <v>12</v>
      </c>
      <c r="B58" s="123"/>
      <c r="C58" s="123"/>
      <c r="D58" s="123">
        <f t="shared" si="1"/>
      </c>
      <c r="E58" s="118">
        <v>12235363</v>
      </c>
      <c r="F58" s="118">
        <v>2135005</v>
      </c>
      <c r="G58" s="118">
        <f>F58+E58</f>
        <v>14370368</v>
      </c>
      <c r="H58" s="118"/>
    </row>
    <row r="59" spans="1:8" ht="12.75" hidden="1">
      <c r="A59" s="27" t="s">
        <v>129</v>
      </c>
      <c r="B59" s="119">
        <v>37012</v>
      </c>
      <c r="C59" s="119">
        <v>6458</v>
      </c>
      <c r="D59" s="119">
        <f t="shared" si="1"/>
        <v>43470</v>
      </c>
      <c r="E59" s="119"/>
      <c r="F59" s="119"/>
      <c r="G59" s="119"/>
      <c r="H59" s="120">
        <f>D59/$G$58</f>
        <v>0.003024974725769027</v>
      </c>
    </row>
    <row r="60" spans="1:8" ht="12.75" hidden="1">
      <c r="A60" s="27" t="s">
        <v>131</v>
      </c>
      <c r="B60" s="119">
        <v>85648</v>
      </c>
      <c r="C60" s="119">
        <v>14945</v>
      </c>
      <c r="D60" s="119">
        <f t="shared" si="1"/>
        <v>100593</v>
      </c>
      <c r="E60" s="119"/>
      <c r="F60" s="119"/>
      <c r="G60" s="119"/>
      <c r="H60" s="120">
        <f>D60/$G$58</f>
        <v>0.007000029505159506</v>
      </c>
    </row>
    <row r="61" spans="1:8" ht="12.75" hidden="1">
      <c r="A61" s="121" t="s">
        <v>132</v>
      </c>
      <c r="B61" s="119">
        <v>471061</v>
      </c>
      <c r="C61" s="119">
        <v>82198</v>
      </c>
      <c r="D61" s="119">
        <f t="shared" si="1"/>
        <v>553259</v>
      </c>
      <c r="E61" s="119"/>
      <c r="F61" s="119"/>
      <c r="G61" s="119"/>
      <c r="H61" s="120">
        <f>D61/$G$58</f>
        <v>0.03849998830927642</v>
      </c>
    </row>
    <row r="62" spans="1:8" ht="12.75" hidden="1">
      <c r="A62" s="122" t="s">
        <v>14</v>
      </c>
      <c r="B62" s="123"/>
      <c r="C62" s="123"/>
      <c r="D62" s="123">
        <f t="shared" si="1"/>
      </c>
      <c r="E62" s="118">
        <v>51280512</v>
      </c>
      <c r="F62" s="118">
        <v>2705717</v>
      </c>
      <c r="G62" s="118">
        <f>F62+E62</f>
        <v>53986229</v>
      </c>
      <c r="H62" s="118"/>
    </row>
    <row r="63" spans="1:8" ht="12.75" hidden="1">
      <c r="A63" s="121" t="s">
        <v>133</v>
      </c>
      <c r="B63" s="119">
        <v>6664</v>
      </c>
      <c r="C63" s="119">
        <v>352</v>
      </c>
      <c r="D63" s="119">
        <f t="shared" si="1"/>
        <v>7016</v>
      </c>
      <c r="E63" s="119"/>
      <c r="F63" s="119"/>
      <c r="G63" s="119"/>
      <c r="H63" s="120">
        <f>D63/$G$62</f>
        <v>0.00012995906789488852</v>
      </c>
    </row>
    <row r="64" spans="1:8" ht="12.75" hidden="1">
      <c r="A64" s="122" t="s">
        <v>16</v>
      </c>
      <c r="B64" s="123"/>
      <c r="C64" s="123"/>
      <c r="D64" s="123">
        <f t="shared" si="1"/>
      </c>
      <c r="E64" s="118">
        <v>16690421</v>
      </c>
      <c r="F64" s="118">
        <v>10108016</v>
      </c>
      <c r="G64" s="118">
        <f>F64+E64</f>
        <v>26798437</v>
      </c>
      <c r="H64" s="118"/>
    </row>
    <row r="65" spans="1:8" ht="12.75" hidden="1">
      <c r="A65" s="121" t="s">
        <v>134</v>
      </c>
      <c r="B65" s="119">
        <v>12420</v>
      </c>
      <c r="C65" s="119">
        <v>7522</v>
      </c>
      <c r="D65" s="119">
        <f t="shared" si="1"/>
        <v>19942</v>
      </c>
      <c r="E65" s="119"/>
      <c r="F65" s="119"/>
      <c r="G65" s="119"/>
      <c r="H65" s="120">
        <f>D65/$G$64</f>
        <v>0.000744147876982527</v>
      </c>
    </row>
    <row r="66" spans="1:8" ht="12.75" hidden="1">
      <c r="A66" s="122" t="s">
        <v>19</v>
      </c>
      <c r="B66" s="123"/>
      <c r="C66" s="123"/>
      <c r="D66" s="123">
        <f t="shared" si="1"/>
      </c>
      <c r="E66" s="118">
        <v>26509531</v>
      </c>
      <c r="F66" s="118">
        <v>305790</v>
      </c>
      <c r="G66" s="118">
        <f>F66+E66</f>
        <v>26815321</v>
      </c>
      <c r="H66" s="118"/>
    </row>
    <row r="67" spans="1:8" ht="12.75" hidden="1">
      <c r="A67" s="27" t="s">
        <v>135</v>
      </c>
      <c r="B67" s="30">
        <v>115316</v>
      </c>
      <c r="C67" s="30">
        <v>1330</v>
      </c>
      <c r="D67" s="30">
        <f t="shared" si="1"/>
        <v>116646</v>
      </c>
      <c r="E67" s="30"/>
      <c r="F67" s="30"/>
      <c r="G67" s="30"/>
      <c r="H67" s="120">
        <f>D67/$G$66</f>
        <v>0.004349975896242302</v>
      </c>
    </row>
    <row r="68" spans="1:8" ht="12.75" hidden="1">
      <c r="A68" s="27" t="s">
        <v>136</v>
      </c>
      <c r="B68" s="119">
        <v>115316</v>
      </c>
      <c r="C68" s="119">
        <v>1330</v>
      </c>
      <c r="D68" s="119">
        <f t="shared" si="1"/>
        <v>116646</v>
      </c>
      <c r="E68" s="119"/>
      <c r="F68" s="119"/>
      <c r="G68" s="119"/>
      <c r="H68" s="120">
        <f>D68/$G$66</f>
        <v>0.004349975896242302</v>
      </c>
    </row>
    <row r="69" spans="1:8" ht="12.75" hidden="1">
      <c r="A69" s="27" t="s">
        <v>137</v>
      </c>
      <c r="B69" s="30">
        <v>220029</v>
      </c>
      <c r="C69" s="30">
        <v>2538</v>
      </c>
      <c r="D69" s="30">
        <f t="shared" si="1"/>
        <v>222567</v>
      </c>
      <c r="E69" s="30"/>
      <c r="F69" s="30"/>
      <c r="G69" s="30"/>
      <c r="H69" s="120">
        <f>D69/$G$66</f>
        <v>0.008299993872905717</v>
      </c>
    </row>
    <row r="70" spans="1:8" ht="12.75" hidden="1">
      <c r="A70" s="121" t="s">
        <v>138</v>
      </c>
      <c r="B70" s="119">
        <v>306980</v>
      </c>
      <c r="C70" s="119">
        <v>3541</v>
      </c>
      <c r="D70" s="119">
        <f t="shared" si="1"/>
        <v>310521</v>
      </c>
      <c r="E70" s="119"/>
      <c r="F70" s="119"/>
      <c r="G70" s="119"/>
      <c r="H70" s="120">
        <f>D70/$G$66</f>
        <v>0.011579984442476002</v>
      </c>
    </row>
    <row r="71" spans="1:8" ht="12.75" hidden="1">
      <c r="A71" s="121" t="s">
        <v>139</v>
      </c>
      <c r="B71" s="119">
        <v>211281</v>
      </c>
      <c r="C71" s="119">
        <v>2437</v>
      </c>
      <c r="D71" s="119">
        <f t="shared" si="1"/>
        <v>213718</v>
      </c>
      <c r="E71" s="119"/>
      <c r="F71" s="119"/>
      <c r="G71" s="119"/>
      <c r="H71" s="120">
        <f>D71/$G$66</f>
        <v>0.007969995958653636</v>
      </c>
    </row>
    <row r="72" spans="1:8" ht="12.75" hidden="1">
      <c r="A72" s="122" t="s">
        <v>21</v>
      </c>
      <c r="B72" s="123"/>
      <c r="C72" s="123"/>
      <c r="D72" s="123">
        <f aca="true" t="shared" si="5" ref="D72:D135">IF(B72="","",C72+B72)</f>
      </c>
      <c r="E72" s="118">
        <v>81853223</v>
      </c>
      <c r="F72" s="118">
        <v>944184</v>
      </c>
      <c r="G72" s="118">
        <f>F72+E72</f>
        <v>82797407</v>
      </c>
      <c r="H72" s="118"/>
    </row>
    <row r="73" spans="1:8" ht="12.75" hidden="1">
      <c r="A73" s="121" t="s">
        <v>140</v>
      </c>
      <c r="B73" s="119">
        <v>32741</v>
      </c>
      <c r="C73" s="119">
        <v>378</v>
      </c>
      <c r="D73" s="119">
        <f t="shared" si="5"/>
        <v>33119</v>
      </c>
      <c r="E73" s="119"/>
      <c r="F73" s="119"/>
      <c r="G73" s="119"/>
      <c r="H73" s="120">
        <f>D73/$G$72</f>
        <v>0.00040000044928943245</v>
      </c>
    </row>
    <row r="74" spans="1:8" ht="12.75" hidden="1">
      <c r="A74" s="122" t="s">
        <v>22</v>
      </c>
      <c r="B74" s="123"/>
      <c r="C74" s="123"/>
      <c r="D74" s="123">
        <f t="shared" si="5"/>
      </c>
      <c r="E74" s="118">
        <v>107529532</v>
      </c>
      <c r="F74" s="118">
        <v>1240362</v>
      </c>
      <c r="G74" s="118">
        <f>F74+E74</f>
        <v>108769894</v>
      </c>
      <c r="H74" s="118"/>
    </row>
    <row r="75" spans="1:8" ht="12.75" hidden="1">
      <c r="A75" s="121" t="s">
        <v>141</v>
      </c>
      <c r="B75" s="119">
        <v>42063</v>
      </c>
      <c r="C75" s="119">
        <v>485</v>
      </c>
      <c r="D75" s="119">
        <f t="shared" si="5"/>
        <v>42548</v>
      </c>
      <c r="E75" s="119"/>
      <c r="F75" s="119"/>
      <c r="G75" s="119"/>
      <c r="H75" s="120">
        <f aca="true" t="shared" si="6" ref="H75:H80">D75/$G$74</f>
        <v>0.00039117441817126345</v>
      </c>
    </row>
    <row r="76" spans="1:8" ht="12.75" hidden="1">
      <c r="A76" s="27" t="s">
        <v>142</v>
      </c>
      <c r="B76" s="31">
        <v>144269</v>
      </c>
      <c r="C76" s="31">
        <v>1664</v>
      </c>
      <c r="D76" s="31">
        <f t="shared" si="5"/>
        <v>145933</v>
      </c>
      <c r="E76" s="31"/>
      <c r="F76" s="31"/>
      <c r="G76" s="31"/>
      <c r="H76" s="120">
        <f t="shared" si="6"/>
        <v>0.0013416672080235731</v>
      </c>
    </row>
    <row r="77" spans="1:8" ht="12.75" hidden="1">
      <c r="A77" s="121" t="s">
        <v>143</v>
      </c>
      <c r="B77" s="119">
        <v>110995</v>
      </c>
      <c r="C77" s="119">
        <v>1280</v>
      </c>
      <c r="D77" s="119">
        <f t="shared" si="5"/>
        <v>112275</v>
      </c>
      <c r="E77" s="119"/>
      <c r="F77" s="119"/>
      <c r="G77" s="119"/>
      <c r="H77" s="120">
        <f t="shared" si="6"/>
        <v>0.0010322249647498967</v>
      </c>
    </row>
    <row r="78" spans="1:8" ht="12.75" hidden="1">
      <c r="A78" s="121" t="s">
        <v>144</v>
      </c>
      <c r="B78" s="119">
        <v>20341</v>
      </c>
      <c r="C78" s="119">
        <v>235</v>
      </c>
      <c r="D78" s="119">
        <f t="shared" si="5"/>
        <v>20576</v>
      </c>
      <c r="E78" s="119"/>
      <c r="F78" s="119"/>
      <c r="G78" s="119"/>
      <c r="H78" s="120">
        <f t="shared" si="6"/>
        <v>0.00018916999220390892</v>
      </c>
    </row>
    <row r="79" spans="1:8" ht="12.75" hidden="1">
      <c r="A79" s="121" t="s">
        <v>145</v>
      </c>
      <c r="B79" s="119">
        <v>69686</v>
      </c>
      <c r="C79" s="119">
        <v>804</v>
      </c>
      <c r="D79" s="119">
        <f t="shared" si="5"/>
        <v>70490</v>
      </c>
      <c r="E79" s="119"/>
      <c r="F79" s="119"/>
      <c r="G79" s="119"/>
      <c r="H79" s="120">
        <f t="shared" si="6"/>
        <v>0.0006480653552903159</v>
      </c>
    </row>
    <row r="80" spans="1:8" ht="12.75" hidden="1">
      <c r="A80" s="121" t="s">
        <v>146</v>
      </c>
      <c r="B80" s="119">
        <v>350000</v>
      </c>
      <c r="C80" s="119">
        <v>4037</v>
      </c>
      <c r="D80" s="119">
        <f t="shared" si="5"/>
        <v>354037</v>
      </c>
      <c r="E80" s="119"/>
      <c r="F80" s="119"/>
      <c r="G80" s="119"/>
      <c r="H80" s="120">
        <f t="shared" si="6"/>
        <v>0.0032549172108230612</v>
      </c>
    </row>
    <row r="81" spans="1:8" ht="12.75" hidden="1">
      <c r="A81" s="122" t="s">
        <v>24</v>
      </c>
      <c r="B81" s="123"/>
      <c r="C81" s="123"/>
      <c r="D81" s="123">
        <f t="shared" si="5"/>
      </c>
      <c r="E81" s="118">
        <v>14377197</v>
      </c>
      <c r="F81" s="118">
        <v>12466278</v>
      </c>
      <c r="G81" s="118">
        <f>F81+E81</f>
        <v>26843475</v>
      </c>
      <c r="H81" s="118"/>
    </row>
    <row r="82" spans="1:8" ht="12.75" hidden="1">
      <c r="A82" s="121" t="s">
        <v>147</v>
      </c>
      <c r="B82" s="119">
        <v>27247</v>
      </c>
      <c r="C82" s="119">
        <v>23626</v>
      </c>
      <c r="D82" s="119">
        <f t="shared" si="5"/>
        <v>50873</v>
      </c>
      <c r="E82" s="119"/>
      <c r="F82" s="119"/>
      <c r="G82" s="119"/>
      <c r="H82" s="120">
        <f>D82/$G$81</f>
        <v>0.0018951719179428148</v>
      </c>
    </row>
    <row r="83" spans="1:8" ht="12.75" hidden="1">
      <c r="A83" s="122" t="s">
        <v>26</v>
      </c>
      <c r="B83" s="123"/>
      <c r="C83" s="123"/>
      <c r="D83" s="123">
        <f t="shared" si="5"/>
      </c>
      <c r="E83" s="118">
        <v>14351303</v>
      </c>
      <c r="F83" s="118">
        <v>2504226</v>
      </c>
      <c r="G83" s="118">
        <f>F83+E83</f>
        <v>16855529</v>
      </c>
      <c r="H83" s="118"/>
    </row>
    <row r="84" spans="1:8" ht="12.75" hidden="1">
      <c r="A84" s="121" t="s">
        <v>148</v>
      </c>
      <c r="B84" s="119">
        <v>425330</v>
      </c>
      <c r="C84" s="119">
        <v>74218</v>
      </c>
      <c r="D84" s="119">
        <f t="shared" si="5"/>
        <v>499548</v>
      </c>
      <c r="E84" s="119"/>
      <c r="F84" s="119"/>
      <c r="G84" s="119"/>
      <c r="H84" s="120">
        <f aca="true" t="shared" si="7" ref="H84:H89">D84/$G$83</f>
        <v>0.02963704075974121</v>
      </c>
    </row>
    <row r="85" spans="1:8" ht="12.75" hidden="1">
      <c r="A85" s="27" t="s">
        <v>149</v>
      </c>
      <c r="B85" s="119">
        <v>687657</v>
      </c>
      <c r="C85" s="119">
        <v>119992</v>
      </c>
      <c r="D85" s="119">
        <f t="shared" si="5"/>
        <v>807649</v>
      </c>
      <c r="E85" s="119"/>
      <c r="F85" s="119"/>
      <c r="G85" s="119"/>
      <c r="H85" s="120">
        <f t="shared" si="7"/>
        <v>0.04791596870083401</v>
      </c>
    </row>
    <row r="86" spans="1:8" ht="12.75" hidden="1">
      <c r="A86" s="121" t="s">
        <v>150</v>
      </c>
      <c r="B86" s="119">
        <v>196355</v>
      </c>
      <c r="C86" s="119">
        <v>34263</v>
      </c>
      <c r="D86" s="119">
        <f t="shared" si="5"/>
        <v>230618</v>
      </c>
      <c r="E86" s="119"/>
      <c r="F86" s="119"/>
      <c r="G86" s="119"/>
      <c r="H86" s="120">
        <f t="shared" si="7"/>
        <v>0.013682038694840132</v>
      </c>
    </row>
    <row r="87" spans="1:8" ht="12.75" hidden="1">
      <c r="A87" s="121" t="s">
        <v>151</v>
      </c>
      <c r="B87" s="119">
        <v>394245</v>
      </c>
      <c r="C87" s="119">
        <v>68794</v>
      </c>
      <c r="D87" s="119">
        <f t="shared" si="5"/>
        <v>463039</v>
      </c>
      <c r="E87" s="119"/>
      <c r="F87" s="119"/>
      <c r="G87" s="119"/>
      <c r="H87" s="120">
        <f t="shared" si="7"/>
        <v>0.027471045257612504</v>
      </c>
    </row>
    <row r="88" spans="1:8" ht="12.75" hidden="1">
      <c r="A88" s="121" t="s">
        <v>152</v>
      </c>
      <c r="B88" s="119">
        <v>209500</v>
      </c>
      <c r="C88" s="119">
        <v>36557</v>
      </c>
      <c r="D88" s="119">
        <f t="shared" si="5"/>
        <v>246057</v>
      </c>
      <c r="E88" s="119"/>
      <c r="F88" s="119"/>
      <c r="G88" s="119"/>
      <c r="H88" s="120">
        <f t="shared" si="7"/>
        <v>0.014597999267777356</v>
      </c>
    </row>
    <row r="89" spans="1:8" ht="12.75" hidden="1">
      <c r="A89" s="121" t="s">
        <v>153</v>
      </c>
      <c r="B89" s="119">
        <v>259802</v>
      </c>
      <c r="C89" s="119">
        <v>45334</v>
      </c>
      <c r="D89" s="119">
        <f t="shared" si="5"/>
        <v>305136</v>
      </c>
      <c r="E89" s="119"/>
      <c r="F89" s="119"/>
      <c r="G89" s="119"/>
      <c r="H89" s="120">
        <f t="shared" si="7"/>
        <v>0.018103021269756648</v>
      </c>
    </row>
    <row r="90" spans="1:8" ht="12.75" hidden="1">
      <c r="A90" s="122" t="s">
        <v>27</v>
      </c>
      <c r="B90" s="123"/>
      <c r="C90" s="123"/>
      <c r="D90" s="123">
        <f t="shared" si="5"/>
      </c>
      <c r="E90" s="118">
        <v>17973100</v>
      </c>
      <c r="F90" s="118">
        <v>3136209</v>
      </c>
      <c r="G90" s="118">
        <f>F90+E90</f>
        <v>21109309</v>
      </c>
      <c r="H90" s="118"/>
    </row>
    <row r="91" spans="1:8" ht="12.75" hidden="1">
      <c r="A91" s="121" t="s">
        <v>154</v>
      </c>
      <c r="B91" s="119">
        <v>3600</v>
      </c>
      <c r="C91" s="119">
        <v>628</v>
      </c>
      <c r="D91" s="119">
        <f t="shared" si="5"/>
        <v>4228</v>
      </c>
      <c r="E91" s="119"/>
      <c r="F91" s="119"/>
      <c r="G91" s="119"/>
      <c r="H91" s="120">
        <f>D91/$G$90</f>
        <v>0.00020029078166414638</v>
      </c>
    </row>
    <row r="92" spans="1:8" ht="12.75" hidden="1">
      <c r="A92" s="122" t="s">
        <v>30</v>
      </c>
      <c r="B92" s="123"/>
      <c r="C92" s="123"/>
      <c r="D92" s="123">
        <f t="shared" si="5"/>
      </c>
      <c r="E92" s="118">
        <v>75987987</v>
      </c>
      <c r="F92" s="118">
        <v>1551897</v>
      </c>
      <c r="G92" s="118">
        <f>F92+E92</f>
        <v>77539884</v>
      </c>
      <c r="H92" s="118"/>
    </row>
    <row r="93" spans="1:8" ht="12.75" hidden="1">
      <c r="A93" s="121" t="s">
        <v>155</v>
      </c>
      <c r="B93" s="119">
        <v>189980</v>
      </c>
      <c r="C93" s="119">
        <v>3880</v>
      </c>
      <c r="D93" s="119">
        <f t="shared" si="5"/>
        <v>193860</v>
      </c>
      <c r="E93" s="119"/>
      <c r="F93" s="119"/>
      <c r="G93" s="119"/>
      <c r="H93" s="120">
        <f>D93/$G$92</f>
        <v>0.002500132705898812</v>
      </c>
    </row>
    <row r="94" spans="1:8" ht="12.75" hidden="1">
      <c r="A94" s="122" t="s">
        <v>31</v>
      </c>
      <c r="B94" s="123"/>
      <c r="C94" s="123"/>
      <c r="D94" s="123">
        <f t="shared" si="5"/>
      </c>
      <c r="E94" s="118">
        <v>10153038</v>
      </c>
      <c r="F94" s="118">
        <v>1771650</v>
      </c>
      <c r="G94" s="118">
        <f>F94+E94</f>
        <v>11924688</v>
      </c>
      <c r="H94" s="118"/>
    </row>
    <row r="95" spans="1:8" ht="12.75" hidden="1">
      <c r="A95" s="121" t="s">
        <v>156</v>
      </c>
      <c r="B95" s="119">
        <v>17163</v>
      </c>
      <c r="C95" s="119">
        <v>2995</v>
      </c>
      <c r="D95" s="119">
        <f t="shared" si="5"/>
        <v>20158</v>
      </c>
      <c r="E95" s="119"/>
      <c r="F95" s="119"/>
      <c r="G95" s="119"/>
      <c r="H95" s="120">
        <f>D95/$G$94</f>
        <v>0.0016904425507820414</v>
      </c>
    </row>
    <row r="96" spans="1:8" ht="12.75" hidden="1">
      <c r="A96" s="27" t="s">
        <v>157</v>
      </c>
      <c r="B96" s="119">
        <v>17098</v>
      </c>
      <c r="C96" s="119">
        <v>2984</v>
      </c>
      <c r="D96" s="119">
        <f t="shared" si="5"/>
        <v>20082</v>
      </c>
      <c r="E96" s="119"/>
      <c r="F96" s="119"/>
      <c r="G96" s="119"/>
      <c r="H96" s="120">
        <f>D96/$G$94</f>
        <v>0.0016840692184147711</v>
      </c>
    </row>
    <row r="97" spans="1:8" ht="12.75" hidden="1">
      <c r="A97" s="121" t="s">
        <v>158</v>
      </c>
      <c r="B97" s="119">
        <v>651081</v>
      </c>
      <c r="C97" s="119">
        <v>113610</v>
      </c>
      <c r="D97" s="119">
        <f t="shared" si="5"/>
        <v>764691</v>
      </c>
      <c r="E97" s="119"/>
      <c r="F97" s="119"/>
      <c r="G97" s="119"/>
      <c r="H97" s="120">
        <f>D97/$G$94</f>
        <v>0.06412670922710934</v>
      </c>
    </row>
    <row r="98" spans="1:8" ht="12.75" hidden="1">
      <c r="A98" s="121" t="s">
        <v>159</v>
      </c>
      <c r="B98" s="119">
        <v>13102</v>
      </c>
      <c r="C98" s="119">
        <v>2286</v>
      </c>
      <c r="D98" s="119">
        <f t="shared" si="5"/>
        <v>15388</v>
      </c>
      <c r="E98" s="119"/>
      <c r="F98" s="119"/>
      <c r="G98" s="119"/>
      <c r="H98" s="120">
        <f>D98/$G$94</f>
        <v>0.0012904320850994173</v>
      </c>
    </row>
    <row r="99" spans="1:8" ht="12.75" hidden="1">
      <c r="A99" s="121" t="s">
        <v>160</v>
      </c>
      <c r="B99" s="119">
        <v>62363</v>
      </c>
      <c r="C99" s="119">
        <v>10882</v>
      </c>
      <c r="D99" s="119">
        <f t="shared" si="5"/>
        <v>73245</v>
      </c>
      <c r="E99" s="119"/>
      <c r="F99" s="119"/>
      <c r="G99" s="119"/>
      <c r="H99" s="120">
        <f>D99/$G$94</f>
        <v>0.006142299068956773</v>
      </c>
    </row>
    <row r="100" spans="1:8" ht="12.75" hidden="1">
      <c r="A100" s="122" t="s">
        <v>32</v>
      </c>
      <c r="B100" s="123"/>
      <c r="C100" s="123"/>
      <c r="D100" s="123">
        <f t="shared" si="5"/>
      </c>
      <c r="E100" s="118">
        <v>248112276</v>
      </c>
      <c r="F100" s="118">
        <v>2861997</v>
      </c>
      <c r="G100" s="118">
        <f>F100+E100</f>
        <v>250974273</v>
      </c>
      <c r="H100" s="118"/>
    </row>
    <row r="101" spans="1:8" ht="12.75" hidden="1">
      <c r="A101" s="121" t="s">
        <v>161</v>
      </c>
      <c r="B101" s="119">
        <v>83661</v>
      </c>
      <c r="C101" s="119">
        <v>965</v>
      </c>
      <c r="D101" s="119">
        <f t="shared" si="5"/>
        <v>84626</v>
      </c>
      <c r="E101" s="119"/>
      <c r="F101" s="119"/>
      <c r="G101" s="119"/>
      <c r="H101" s="120">
        <f>D101/$G$100</f>
        <v>0.00033718993978319045</v>
      </c>
    </row>
    <row r="102" spans="1:8" ht="12.75" hidden="1">
      <c r="A102" s="27" t="s">
        <v>162</v>
      </c>
      <c r="B102" s="119">
        <v>48483</v>
      </c>
      <c r="C102" s="119">
        <v>559</v>
      </c>
      <c r="D102" s="119">
        <f t="shared" si="5"/>
        <v>49042</v>
      </c>
      <c r="E102" s="119"/>
      <c r="F102" s="119"/>
      <c r="G102" s="119"/>
      <c r="H102" s="120">
        <f>D102/$G$100</f>
        <v>0.00019540648295851424</v>
      </c>
    </row>
    <row r="103" spans="1:8" ht="12.75" hidden="1">
      <c r="A103" s="122" t="s">
        <v>33</v>
      </c>
      <c r="B103" s="123"/>
      <c r="C103" s="123"/>
      <c r="D103" s="123">
        <f t="shared" si="5"/>
      </c>
      <c r="E103" s="118">
        <v>36976258</v>
      </c>
      <c r="F103" s="118">
        <v>32061626</v>
      </c>
      <c r="G103" s="118">
        <f>F103+E103</f>
        <v>69037884</v>
      </c>
      <c r="H103" s="118"/>
    </row>
    <row r="104" spans="1:8" ht="12.75" hidden="1">
      <c r="A104" s="121" t="s">
        <v>163</v>
      </c>
      <c r="B104" s="119">
        <v>657597</v>
      </c>
      <c r="C104" s="119">
        <v>570194</v>
      </c>
      <c r="D104" s="119">
        <f t="shared" si="5"/>
        <v>1227791</v>
      </c>
      <c r="E104" s="119"/>
      <c r="F104" s="119"/>
      <c r="G104" s="119"/>
      <c r="H104" s="120">
        <f>D104/$G$103</f>
        <v>0.01778430810538747</v>
      </c>
    </row>
    <row r="105" spans="1:8" ht="12.75" hidden="1">
      <c r="A105" s="122" t="s">
        <v>34</v>
      </c>
      <c r="B105" s="123"/>
      <c r="C105" s="123"/>
      <c r="D105" s="123">
        <f t="shared" si="5"/>
      </c>
      <c r="E105" s="118">
        <v>15589857</v>
      </c>
      <c r="F105" s="118">
        <v>2720346</v>
      </c>
      <c r="G105" s="118">
        <f>F105+E105</f>
        <v>18310203</v>
      </c>
      <c r="H105" s="118"/>
    </row>
    <row r="106" spans="1:8" ht="12.75" hidden="1">
      <c r="A106" s="121" t="s">
        <v>164</v>
      </c>
      <c r="B106" s="119">
        <v>701544</v>
      </c>
      <c r="C106" s="119">
        <v>122416</v>
      </c>
      <c r="D106" s="119">
        <f t="shared" si="5"/>
        <v>823960</v>
      </c>
      <c r="E106" s="119"/>
      <c r="F106" s="119"/>
      <c r="G106" s="119"/>
      <c r="H106" s="120">
        <f>D106/$G$105</f>
        <v>0.04500004724142054</v>
      </c>
    </row>
    <row r="107" spans="1:8" ht="12.75" hidden="1">
      <c r="A107" s="27" t="s">
        <v>165</v>
      </c>
      <c r="B107" s="119">
        <v>608004</v>
      </c>
      <c r="C107" s="119">
        <v>106093</v>
      </c>
      <c r="D107" s="119">
        <f t="shared" si="5"/>
        <v>714097</v>
      </c>
      <c r="E107" s="119"/>
      <c r="F107" s="119"/>
      <c r="G107" s="119"/>
      <c r="H107" s="120">
        <f>D107/$G$105</f>
        <v>0.038999949918632794</v>
      </c>
    </row>
    <row r="108" spans="1:8" ht="12.75" hidden="1">
      <c r="A108" s="121" t="s">
        <v>166</v>
      </c>
      <c r="B108" s="119">
        <v>608004</v>
      </c>
      <c r="C108" s="119">
        <v>106093</v>
      </c>
      <c r="D108" s="119">
        <f t="shared" si="5"/>
        <v>714097</v>
      </c>
      <c r="E108" s="119"/>
      <c r="F108" s="119"/>
      <c r="G108" s="119"/>
      <c r="H108" s="120">
        <f>D108/$G$105</f>
        <v>0.038999949918632794</v>
      </c>
    </row>
    <row r="109" spans="1:8" ht="12.75" hidden="1">
      <c r="A109" s="121" t="s">
        <v>167</v>
      </c>
      <c r="B109" s="119">
        <v>1498185</v>
      </c>
      <c r="C109" s="119">
        <v>261425</v>
      </c>
      <c r="D109" s="119">
        <f t="shared" si="5"/>
        <v>1759610</v>
      </c>
      <c r="E109" s="119"/>
      <c r="F109" s="119"/>
      <c r="G109" s="119"/>
      <c r="H109" s="120">
        <f>D109/$G$105</f>
        <v>0.09609997223952133</v>
      </c>
    </row>
    <row r="110" spans="1:8" ht="12.75" hidden="1">
      <c r="A110" s="122" t="s">
        <v>36</v>
      </c>
      <c r="B110" s="123"/>
      <c r="C110" s="123"/>
      <c r="D110" s="123">
        <f t="shared" si="5"/>
      </c>
      <c r="E110" s="118">
        <v>15414567</v>
      </c>
      <c r="F110" s="118">
        <v>13365767</v>
      </c>
      <c r="G110" s="118">
        <f>F110+E110</f>
        <v>28780334</v>
      </c>
      <c r="H110" s="118"/>
    </row>
    <row r="111" spans="1:8" ht="12.75" hidden="1">
      <c r="A111" s="121" t="s">
        <v>168</v>
      </c>
      <c r="B111" s="119">
        <v>8979</v>
      </c>
      <c r="C111" s="119">
        <v>7786</v>
      </c>
      <c r="D111" s="119">
        <f t="shared" si="5"/>
        <v>16765</v>
      </c>
      <c r="E111" s="119"/>
      <c r="F111" s="119"/>
      <c r="G111" s="119"/>
      <c r="H111" s="120">
        <f>D111/$G$110</f>
        <v>0.0005825158248684675</v>
      </c>
    </row>
    <row r="112" spans="1:8" ht="12.75" hidden="1">
      <c r="A112" s="27" t="s">
        <v>169</v>
      </c>
      <c r="B112" s="119">
        <v>5755</v>
      </c>
      <c r="C112" s="119">
        <v>4990</v>
      </c>
      <c r="D112" s="119">
        <f t="shared" si="5"/>
        <v>10745</v>
      </c>
      <c r="E112" s="119"/>
      <c r="F112" s="119"/>
      <c r="G112" s="119"/>
      <c r="H112" s="120">
        <f aca="true" t="shared" si="8" ref="H112:H139">D112/$G$110</f>
        <v>0.00037334521552112636</v>
      </c>
    </row>
    <row r="113" spans="1:8" ht="12.75" hidden="1">
      <c r="A113" s="121" t="s">
        <v>170</v>
      </c>
      <c r="B113" s="119">
        <v>7735</v>
      </c>
      <c r="C113" s="119">
        <v>6707</v>
      </c>
      <c r="D113" s="119">
        <f t="shared" si="5"/>
        <v>14442</v>
      </c>
      <c r="E113" s="119"/>
      <c r="F113" s="119"/>
      <c r="G113" s="119"/>
      <c r="H113" s="120">
        <f t="shared" si="8"/>
        <v>0.0005018009867432394</v>
      </c>
    </row>
    <row r="114" spans="1:8" ht="12.75" hidden="1">
      <c r="A114" s="121" t="s">
        <v>171</v>
      </c>
      <c r="B114" s="119">
        <v>9025</v>
      </c>
      <c r="C114" s="119">
        <v>7825</v>
      </c>
      <c r="D114" s="119">
        <f t="shared" si="5"/>
        <v>16850</v>
      </c>
      <c r="E114" s="119"/>
      <c r="F114" s="119"/>
      <c r="G114" s="119"/>
      <c r="H114" s="120">
        <f t="shared" si="8"/>
        <v>0.0005854692304821758</v>
      </c>
    </row>
    <row r="115" spans="1:8" ht="12.75" hidden="1">
      <c r="A115" s="121" t="s">
        <v>172</v>
      </c>
      <c r="B115" s="119">
        <v>557910</v>
      </c>
      <c r="C115" s="119">
        <v>483756</v>
      </c>
      <c r="D115" s="119">
        <f t="shared" si="5"/>
        <v>1041666</v>
      </c>
      <c r="E115" s="119"/>
      <c r="F115" s="119"/>
      <c r="G115" s="119"/>
      <c r="H115" s="120">
        <f t="shared" si="8"/>
        <v>0.03619367308245971</v>
      </c>
    </row>
    <row r="116" spans="1:8" ht="12.75" hidden="1">
      <c r="A116" s="121" t="s">
        <v>173</v>
      </c>
      <c r="B116" s="119">
        <v>29238</v>
      </c>
      <c r="C116" s="119">
        <v>25352</v>
      </c>
      <c r="D116" s="119">
        <f t="shared" si="5"/>
        <v>54590</v>
      </c>
      <c r="E116" s="119"/>
      <c r="F116" s="119"/>
      <c r="G116" s="119"/>
      <c r="H116" s="120">
        <f t="shared" si="8"/>
        <v>0.0018967813229686633</v>
      </c>
    </row>
    <row r="117" spans="1:8" ht="12.75" hidden="1">
      <c r="A117" s="121" t="s">
        <v>174</v>
      </c>
      <c r="B117" s="119">
        <v>75111</v>
      </c>
      <c r="C117" s="119">
        <v>65128</v>
      </c>
      <c r="D117" s="119">
        <f t="shared" si="5"/>
        <v>140239</v>
      </c>
      <c r="E117" s="119"/>
      <c r="F117" s="119"/>
      <c r="G117" s="119"/>
      <c r="H117" s="120">
        <f t="shared" si="8"/>
        <v>0.004872737057186341</v>
      </c>
    </row>
    <row r="118" spans="1:8" ht="12.75" hidden="1">
      <c r="A118" s="121" t="s">
        <v>175</v>
      </c>
      <c r="B118" s="119">
        <v>210872</v>
      </c>
      <c r="C118" s="119">
        <v>182844</v>
      </c>
      <c r="D118" s="119">
        <f t="shared" si="5"/>
        <v>393716</v>
      </c>
      <c r="E118" s="119"/>
      <c r="F118" s="119"/>
      <c r="G118" s="119"/>
      <c r="H118" s="120">
        <f t="shared" si="8"/>
        <v>0.013680035818903284</v>
      </c>
    </row>
    <row r="119" spans="1:8" ht="12.75" hidden="1">
      <c r="A119" s="121" t="s">
        <v>176</v>
      </c>
      <c r="B119" s="119">
        <v>11787</v>
      </c>
      <c r="C119" s="119">
        <v>10220</v>
      </c>
      <c r="D119" s="119">
        <f t="shared" si="5"/>
        <v>22007</v>
      </c>
      <c r="E119" s="119"/>
      <c r="F119" s="119"/>
      <c r="G119" s="119"/>
      <c r="H119" s="120">
        <f t="shared" si="8"/>
        <v>0.0007646540863632784</v>
      </c>
    </row>
    <row r="120" spans="1:8" ht="12.75" hidden="1">
      <c r="A120" s="121" t="s">
        <v>177</v>
      </c>
      <c r="B120" s="119">
        <v>33670</v>
      </c>
      <c r="C120" s="119">
        <v>29195</v>
      </c>
      <c r="D120" s="119">
        <f t="shared" si="5"/>
        <v>62865</v>
      </c>
      <c r="E120" s="119"/>
      <c r="F120" s="119"/>
      <c r="G120" s="119"/>
      <c r="H120" s="120">
        <f t="shared" si="8"/>
        <v>0.002184304045950266</v>
      </c>
    </row>
    <row r="121" spans="1:8" ht="12.75" hidden="1">
      <c r="A121" s="121" t="s">
        <v>178</v>
      </c>
      <c r="B121" s="119">
        <v>4000</v>
      </c>
      <c r="C121" s="119">
        <v>3468</v>
      </c>
      <c r="D121" s="119">
        <f t="shared" si="5"/>
        <v>7468</v>
      </c>
      <c r="E121" s="119"/>
      <c r="F121" s="119"/>
      <c r="G121" s="119"/>
      <c r="H121" s="120">
        <f t="shared" si="8"/>
        <v>0.00025948274262557205</v>
      </c>
    </row>
    <row r="122" spans="1:8" ht="12.75" hidden="1">
      <c r="A122" s="121" t="s">
        <v>179</v>
      </c>
      <c r="B122" s="119">
        <v>4000</v>
      </c>
      <c r="C122" s="119">
        <v>3468</v>
      </c>
      <c r="D122" s="119">
        <f t="shared" si="5"/>
        <v>7468</v>
      </c>
      <c r="E122" s="119"/>
      <c r="F122" s="119"/>
      <c r="G122" s="119"/>
      <c r="H122" s="120">
        <f t="shared" si="8"/>
        <v>0.00025948274262557205</v>
      </c>
    </row>
    <row r="123" spans="1:8" ht="12.75" hidden="1">
      <c r="A123" s="121" t="s">
        <v>180</v>
      </c>
      <c r="B123" s="119">
        <v>7827</v>
      </c>
      <c r="C123" s="119">
        <v>6787</v>
      </c>
      <c r="D123" s="119">
        <f t="shared" si="5"/>
        <v>14614</v>
      </c>
      <c r="E123" s="119"/>
      <c r="F123" s="119"/>
      <c r="G123" s="119"/>
      <c r="H123" s="120">
        <f t="shared" si="8"/>
        <v>0.0005077772898674491</v>
      </c>
    </row>
    <row r="124" spans="1:8" ht="12.75" hidden="1">
      <c r="A124" s="121" t="s">
        <v>181</v>
      </c>
      <c r="B124" s="119">
        <v>4604</v>
      </c>
      <c r="C124" s="119">
        <v>3992</v>
      </c>
      <c r="D124" s="119">
        <f t="shared" si="5"/>
        <v>8596</v>
      </c>
      <c r="E124" s="119"/>
      <c r="F124" s="119"/>
      <c r="G124" s="119"/>
      <c r="H124" s="120">
        <f t="shared" si="8"/>
        <v>0.00029867617241690107</v>
      </c>
    </row>
    <row r="125" spans="1:8" ht="12.75" hidden="1">
      <c r="A125" s="121" t="s">
        <v>182</v>
      </c>
      <c r="B125" s="119">
        <v>4000</v>
      </c>
      <c r="C125" s="119">
        <v>3468</v>
      </c>
      <c r="D125" s="119">
        <f t="shared" si="5"/>
        <v>7468</v>
      </c>
      <c r="E125" s="119"/>
      <c r="F125" s="119"/>
      <c r="G125" s="119"/>
      <c r="H125" s="120">
        <f t="shared" si="8"/>
        <v>0.00025948274262557205</v>
      </c>
    </row>
    <row r="126" spans="1:8" ht="12.75" hidden="1">
      <c r="A126" s="121" t="s">
        <v>183</v>
      </c>
      <c r="B126" s="119">
        <v>140755</v>
      </c>
      <c r="C126" s="119">
        <v>122047</v>
      </c>
      <c r="D126" s="119">
        <f t="shared" si="5"/>
        <v>262802</v>
      </c>
      <c r="E126" s="119"/>
      <c r="F126" s="119"/>
      <c r="G126" s="119"/>
      <c r="H126" s="120">
        <f t="shared" si="8"/>
        <v>0.009131304730514942</v>
      </c>
    </row>
    <row r="127" spans="1:8" ht="12.75" hidden="1">
      <c r="A127" s="121" t="s">
        <v>184</v>
      </c>
      <c r="B127" s="119">
        <v>53311</v>
      </c>
      <c r="C127" s="119">
        <v>46225</v>
      </c>
      <c r="D127" s="119">
        <f t="shared" si="5"/>
        <v>99536</v>
      </c>
      <c r="E127" s="119"/>
      <c r="F127" s="119"/>
      <c r="G127" s="119"/>
      <c r="H127" s="120">
        <f t="shared" si="8"/>
        <v>0.003458472719600822</v>
      </c>
    </row>
    <row r="128" spans="1:8" ht="12.75" hidden="1">
      <c r="A128" s="121" t="s">
        <v>185</v>
      </c>
      <c r="B128" s="119">
        <v>4236</v>
      </c>
      <c r="C128" s="119">
        <v>3673</v>
      </c>
      <c r="D128" s="119">
        <f t="shared" si="5"/>
        <v>7909</v>
      </c>
      <c r="E128" s="119"/>
      <c r="F128" s="119"/>
      <c r="G128" s="119"/>
      <c r="H128" s="120">
        <f t="shared" si="8"/>
        <v>0.00027480570586845866</v>
      </c>
    </row>
    <row r="129" spans="1:8" ht="12.75" hidden="1">
      <c r="A129" s="121" t="s">
        <v>186</v>
      </c>
      <c r="B129" s="119">
        <v>4000</v>
      </c>
      <c r="C129" s="119">
        <v>3468</v>
      </c>
      <c r="D129" s="119">
        <f t="shared" si="5"/>
        <v>7468</v>
      </c>
      <c r="E129" s="119"/>
      <c r="F129" s="119"/>
      <c r="G129" s="119"/>
      <c r="H129" s="120">
        <f t="shared" si="8"/>
        <v>0.00025948274262557205</v>
      </c>
    </row>
    <row r="130" spans="1:8" ht="12.75" hidden="1">
      <c r="A130" s="121" t="s">
        <v>187</v>
      </c>
      <c r="B130" s="119">
        <v>4789</v>
      </c>
      <c r="C130" s="119">
        <v>4152</v>
      </c>
      <c r="D130" s="119">
        <f t="shared" si="5"/>
        <v>8941</v>
      </c>
      <c r="E130" s="119"/>
      <c r="F130" s="119"/>
      <c r="G130" s="119"/>
      <c r="H130" s="120">
        <f t="shared" si="8"/>
        <v>0.00031066352461371714</v>
      </c>
    </row>
    <row r="131" spans="1:8" ht="12.75" hidden="1">
      <c r="A131" s="121" t="s">
        <v>188</v>
      </c>
      <c r="B131" s="119">
        <v>10360</v>
      </c>
      <c r="C131" s="119">
        <v>8983</v>
      </c>
      <c r="D131" s="119">
        <f t="shared" si="5"/>
        <v>19343</v>
      </c>
      <c r="E131" s="119"/>
      <c r="F131" s="119"/>
      <c r="G131" s="119"/>
      <c r="H131" s="120">
        <f t="shared" si="8"/>
        <v>0.0006720908798348205</v>
      </c>
    </row>
    <row r="132" spans="1:8" ht="12.75" hidden="1">
      <c r="A132" s="121" t="s">
        <v>189</v>
      </c>
      <c r="B132" s="119">
        <v>11327</v>
      </c>
      <c r="C132" s="119">
        <v>9821</v>
      </c>
      <c r="D132" s="119">
        <f t="shared" si="5"/>
        <v>21148</v>
      </c>
      <c r="E132" s="119"/>
      <c r="F132" s="119"/>
      <c r="G132" s="119"/>
      <c r="H132" s="120">
        <f t="shared" si="8"/>
        <v>0.0007348073166906263</v>
      </c>
    </row>
    <row r="133" spans="1:8" ht="12.75" hidden="1">
      <c r="A133" s="121" t="s">
        <v>190</v>
      </c>
      <c r="B133" s="119">
        <v>9929</v>
      </c>
      <c r="C133" s="119">
        <v>8609</v>
      </c>
      <c r="D133" s="119">
        <f t="shared" si="5"/>
        <v>18538</v>
      </c>
      <c r="E133" s="119"/>
      <c r="F133" s="119"/>
      <c r="G133" s="119"/>
      <c r="H133" s="120">
        <f t="shared" si="8"/>
        <v>0.0006441203913755831</v>
      </c>
    </row>
    <row r="134" spans="1:8" ht="12.75" hidden="1">
      <c r="A134" s="121" t="s">
        <v>191</v>
      </c>
      <c r="B134" s="119">
        <v>27902</v>
      </c>
      <c r="C134" s="119">
        <v>24193</v>
      </c>
      <c r="D134" s="119">
        <f t="shared" si="5"/>
        <v>52095</v>
      </c>
      <c r="E134" s="119"/>
      <c r="F134" s="119"/>
      <c r="G134" s="119"/>
      <c r="H134" s="120">
        <f t="shared" si="8"/>
        <v>0.0018100901817192253</v>
      </c>
    </row>
    <row r="135" spans="1:8" ht="12.75" hidden="1">
      <c r="A135" s="121" t="s">
        <v>192</v>
      </c>
      <c r="B135" s="119">
        <v>5479</v>
      </c>
      <c r="C135" s="119">
        <v>4751</v>
      </c>
      <c r="D135" s="119">
        <f t="shared" si="5"/>
        <v>10230</v>
      </c>
      <c r="E135" s="119"/>
      <c r="F135" s="119"/>
      <c r="G135" s="119"/>
      <c r="H135" s="120">
        <f t="shared" si="8"/>
        <v>0.00035545105209689365</v>
      </c>
    </row>
    <row r="136" spans="1:8" ht="12.75" hidden="1">
      <c r="A136" s="121" t="s">
        <v>193</v>
      </c>
      <c r="B136" s="119">
        <v>4000</v>
      </c>
      <c r="C136" s="119">
        <v>3468</v>
      </c>
      <c r="D136" s="119">
        <f aca="true" t="shared" si="9" ref="D136:D181">IF(B136="","",C136+B136)</f>
        <v>7468</v>
      </c>
      <c r="E136" s="119"/>
      <c r="F136" s="119"/>
      <c r="G136" s="119"/>
      <c r="H136" s="120">
        <f t="shared" si="8"/>
        <v>0.00025948274262557205</v>
      </c>
    </row>
    <row r="137" spans="1:8" ht="12.75" hidden="1">
      <c r="A137" s="121" t="s">
        <v>194</v>
      </c>
      <c r="B137" s="119">
        <v>4000</v>
      </c>
      <c r="C137" s="119">
        <v>3468</v>
      </c>
      <c r="D137" s="119">
        <f t="shared" si="9"/>
        <v>7468</v>
      </c>
      <c r="E137" s="119"/>
      <c r="F137" s="119"/>
      <c r="G137" s="119"/>
      <c r="H137" s="120">
        <f t="shared" si="8"/>
        <v>0.00025948274262557205</v>
      </c>
    </row>
    <row r="138" spans="1:8" ht="12.75" hidden="1">
      <c r="A138" s="121" t="s">
        <v>195</v>
      </c>
      <c r="B138" s="119">
        <v>119713</v>
      </c>
      <c r="C138" s="119">
        <v>103802</v>
      </c>
      <c r="D138" s="119">
        <f t="shared" si="9"/>
        <v>223515</v>
      </c>
      <c r="E138" s="119"/>
      <c r="F138" s="119"/>
      <c r="G138" s="119"/>
      <c r="H138" s="120">
        <f t="shared" si="8"/>
        <v>0.007766240655858962</v>
      </c>
    </row>
    <row r="139" spans="1:8" ht="12.75" hidden="1">
      <c r="A139" s="121" t="s">
        <v>196</v>
      </c>
      <c r="B139" s="119">
        <v>4098</v>
      </c>
      <c r="C139" s="119">
        <v>3553</v>
      </c>
      <c r="D139" s="119">
        <f t="shared" si="9"/>
        <v>7651</v>
      </c>
      <c r="E139" s="119"/>
      <c r="F139" s="119"/>
      <c r="G139" s="119"/>
      <c r="H139" s="120">
        <f t="shared" si="8"/>
        <v>0.00026584125118214405</v>
      </c>
    </row>
    <row r="140" spans="1:8" ht="12.75" hidden="1">
      <c r="A140" s="122" t="s">
        <v>37</v>
      </c>
      <c r="B140" s="123"/>
      <c r="C140" s="123"/>
      <c r="D140" s="123">
        <f t="shared" si="9"/>
      </c>
      <c r="E140" s="118">
        <v>24311035</v>
      </c>
      <c r="F140" s="118">
        <v>280430</v>
      </c>
      <c r="G140" s="118">
        <f>F140+E140</f>
        <v>24591465</v>
      </c>
      <c r="H140" s="118"/>
    </row>
    <row r="141" spans="1:8" ht="12.75" hidden="1">
      <c r="A141" s="121" t="s">
        <v>197</v>
      </c>
      <c r="B141" s="119">
        <v>118845</v>
      </c>
      <c r="C141" s="119">
        <v>1371</v>
      </c>
      <c r="D141" s="119">
        <f t="shared" si="9"/>
        <v>120216</v>
      </c>
      <c r="E141" s="119"/>
      <c r="F141" s="119"/>
      <c r="G141" s="119"/>
      <c r="H141" s="120">
        <f>D141/$G$140</f>
        <v>0.0048885253481238304</v>
      </c>
    </row>
    <row r="142" spans="1:8" ht="12.75" hidden="1">
      <c r="A142" s="121" t="s">
        <v>198</v>
      </c>
      <c r="B142" s="119">
        <v>15232</v>
      </c>
      <c r="C142" s="119">
        <v>176</v>
      </c>
      <c r="D142" s="119">
        <f t="shared" si="9"/>
        <v>15408</v>
      </c>
      <c r="E142" s="119"/>
      <c r="F142" s="119"/>
      <c r="G142" s="119"/>
      <c r="H142" s="120">
        <f>D142/$G$140</f>
        <v>0.0006265588487713115</v>
      </c>
    </row>
    <row r="143" spans="1:8" ht="12.75" hidden="1">
      <c r="A143" s="27" t="s">
        <v>199</v>
      </c>
      <c r="B143" s="119">
        <v>114665</v>
      </c>
      <c r="C143" s="119">
        <v>1323</v>
      </c>
      <c r="D143" s="119">
        <f t="shared" si="9"/>
        <v>115988</v>
      </c>
      <c r="E143" s="119"/>
      <c r="F143" s="119"/>
      <c r="G143" s="119"/>
      <c r="H143" s="120">
        <f>D143/$G$140</f>
        <v>0.004716595778250706</v>
      </c>
    </row>
    <row r="144" spans="1:8" ht="12.75" hidden="1">
      <c r="A144" s="121" t="s">
        <v>200</v>
      </c>
      <c r="B144" s="119">
        <v>12000</v>
      </c>
      <c r="C144" s="119">
        <v>138</v>
      </c>
      <c r="D144" s="119">
        <f t="shared" si="9"/>
        <v>12138</v>
      </c>
      <c r="E144" s="119"/>
      <c r="F144" s="119"/>
      <c r="G144" s="119"/>
      <c r="H144" s="120">
        <f>D144/$G$140</f>
        <v>0.000493585884370858</v>
      </c>
    </row>
    <row r="145" spans="1:8" ht="12.75" hidden="1">
      <c r="A145" s="121" t="s">
        <v>201</v>
      </c>
      <c r="B145" s="119">
        <v>170177</v>
      </c>
      <c r="C145" s="119">
        <v>1963</v>
      </c>
      <c r="D145" s="119">
        <f t="shared" si="9"/>
        <v>172140</v>
      </c>
      <c r="E145" s="119"/>
      <c r="F145" s="119"/>
      <c r="G145" s="119"/>
      <c r="H145" s="120">
        <f>D145/$G$140</f>
        <v>0.006999989630548648</v>
      </c>
    </row>
    <row r="146" spans="1:8" ht="12.75" hidden="1">
      <c r="A146" s="122" t="s">
        <v>39</v>
      </c>
      <c r="B146" s="123"/>
      <c r="C146" s="123"/>
      <c r="D146" s="123">
        <f t="shared" si="9"/>
      </c>
      <c r="E146" s="118">
        <v>13473508</v>
      </c>
      <c r="F146" s="118">
        <v>2351055</v>
      </c>
      <c r="G146" s="118">
        <f>F146+E146</f>
        <v>15824563</v>
      </c>
      <c r="H146" s="118"/>
    </row>
    <row r="147" spans="1:8" ht="12.75" hidden="1">
      <c r="A147" s="121" t="s">
        <v>202</v>
      </c>
      <c r="B147" s="119">
        <v>38177</v>
      </c>
      <c r="C147" s="119">
        <v>6662</v>
      </c>
      <c r="D147" s="119">
        <f t="shared" si="9"/>
        <v>44839</v>
      </c>
      <c r="E147" s="119"/>
      <c r="F147" s="119"/>
      <c r="G147" s="119"/>
      <c r="H147" s="120">
        <f>D147/$G$146</f>
        <v>0.0028335063660209765</v>
      </c>
    </row>
    <row r="148" spans="1:8" ht="12.75" hidden="1">
      <c r="A148" s="122" t="s">
        <v>41</v>
      </c>
      <c r="B148" s="123"/>
      <c r="C148" s="123"/>
      <c r="D148" s="123">
        <f t="shared" si="9"/>
      </c>
      <c r="E148" s="118">
        <v>12661694</v>
      </c>
      <c r="F148" s="118">
        <v>2209398</v>
      </c>
      <c r="G148" s="118">
        <f>F148+E148</f>
        <v>14871092</v>
      </c>
      <c r="H148" s="118"/>
    </row>
    <row r="149" spans="1:8" ht="12.75" hidden="1">
      <c r="A149" s="27" t="s">
        <v>203</v>
      </c>
      <c r="B149" s="119">
        <v>357060</v>
      </c>
      <c r="C149" s="119">
        <v>62305</v>
      </c>
      <c r="D149" s="119">
        <f t="shared" si="9"/>
        <v>419365</v>
      </c>
      <c r="E149" s="119"/>
      <c r="F149" s="119"/>
      <c r="G149" s="119"/>
      <c r="H149" s="120">
        <f>D149/$G$148</f>
        <v>0.028200013825481006</v>
      </c>
    </row>
    <row r="150" spans="1:8" ht="12.75" hidden="1">
      <c r="A150" s="121" t="s">
        <v>204</v>
      </c>
      <c r="B150" s="119">
        <v>48114</v>
      </c>
      <c r="C150" s="119">
        <v>8396</v>
      </c>
      <c r="D150" s="119">
        <f t="shared" si="9"/>
        <v>56510</v>
      </c>
      <c r="E150" s="119"/>
      <c r="F150" s="119"/>
      <c r="G150" s="119"/>
      <c r="H150" s="120">
        <f aca="true" t="shared" si="10" ref="H150:H155">D150/$G$148</f>
        <v>0.0037999899402142087</v>
      </c>
    </row>
    <row r="151" spans="1:8" ht="12.75" hidden="1">
      <c r="A151" s="27" t="s">
        <v>205</v>
      </c>
      <c r="B151" s="31">
        <v>739443</v>
      </c>
      <c r="C151" s="31">
        <v>129029</v>
      </c>
      <c r="D151" s="31">
        <f t="shared" si="9"/>
        <v>868472</v>
      </c>
      <c r="E151" s="31"/>
      <c r="F151" s="31"/>
      <c r="G151" s="31"/>
      <c r="H151" s="120">
        <f t="shared" si="10"/>
        <v>0.05840001527796345</v>
      </c>
    </row>
    <row r="152" spans="1:8" ht="12.75" hidden="1">
      <c r="A152" s="121" t="s">
        <v>206</v>
      </c>
      <c r="B152" s="119">
        <v>582438</v>
      </c>
      <c r="C152" s="119">
        <v>101632</v>
      </c>
      <c r="D152" s="119">
        <f t="shared" si="9"/>
        <v>684070</v>
      </c>
      <c r="E152" s="119"/>
      <c r="F152" s="119"/>
      <c r="G152" s="119"/>
      <c r="H152" s="120">
        <f t="shared" si="10"/>
        <v>0.04599998439926268</v>
      </c>
    </row>
    <row r="153" spans="1:8" ht="12.75" hidden="1">
      <c r="A153" s="121" t="s">
        <v>207</v>
      </c>
      <c r="B153" s="119">
        <v>235508</v>
      </c>
      <c r="C153" s="119">
        <v>41095</v>
      </c>
      <c r="D153" s="119">
        <f t="shared" si="9"/>
        <v>276603</v>
      </c>
      <c r="E153" s="119"/>
      <c r="F153" s="119"/>
      <c r="G153" s="119"/>
      <c r="H153" s="120">
        <f t="shared" si="10"/>
        <v>0.018600046318051157</v>
      </c>
    </row>
    <row r="154" spans="1:8" ht="12.75" hidden="1">
      <c r="A154" s="121" t="s">
        <v>208</v>
      </c>
      <c r="B154" s="119">
        <v>146876</v>
      </c>
      <c r="C154" s="119">
        <v>25629</v>
      </c>
      <c r="D154" s="119">
        <f t="shared" si="9"/>
        <v>172505</v>
      </c>
      <c r="E154" s="119"/>
      <c r="F154" s="119"/>
      <c r="G154" s="119"/>
      <c r="H154" s="120">
        <f t="shared" si="10"/>
        <v>0.011600022378988712</v>
      </c>
    </row>
    <row r="155" spans="1:8" ht="12.75" hidden="1">
      <c r="A155" s="121" t="s">
        <v>209</v>
      </c>
      <c r="B155" s="119">
        <v>141811</v>
      </c>
      <c r="C155" s="119">
        <v>24745</v>
      </c>
      <c r="D155" s="119">
        <f t="shared" si="9"/>
        <v>166556</v>
      </c>
      <c r="E155" s="119"/>
      <c r="F155" s="119"/>
      <c r="G155" s="119"/>
      <c r="H155" s="120">
        <f t="shared" si="10"/>
        <v>0.011199984506853968</v>
      </c>
    </row>
    <row r="156" spans="1:8" ht="12.75" hidden="1">
      <c r="A156" s="122" t="s">
        <v>44</v>
      </c>
      <c r="B156" s="123"/>
      <c r="C156" s="123"/>
      <c r="D156" s="123">
        <f t="shared" si="9"/>
      </c>
      <c r="E156" s="118">
        <v>14576490</v>
      </c>
      <c r="F156" s="118">
        <v>2543519</v>
      </c>
      <c r="G156" s="118">
        <f>F156+E156</f>
        <v>17120009</v>
      </c>
      <c r="H156" s="118"/>
    </row>
    <row r="157" spans="1:8" ht="12.75" hidden="1">
      <c r="A157" s="121" t="s">
        <v>158</v>
      </c>
      <c r="B157" s="119">
        <v>131063</v>
      </c>
      <c r="C157" s="119">
        <v>22870</v>
      </c>
      <c r="D157" s="119">
        <f t="shared" si="9"/>
        <v>153933</v>
      </c>
      <c r="E157" s="119"/>
      <c r="F157" s="119"/>
      <c r="G157" s="119"/>
      <c r="H157" s="120">
        <f>D157/$G$156</f>
        <v>0.008991408824609847</v>
      </c>
    </row>
    <row r="158" spans="1:8" ht="12.75" hidden="1">
      <c r="A158" s="121" t="s">
        <v>210</v>
      </c>
      <c r="B158" s="119">
        <v>60000</v>
      </c>
      <c r="C158" s="119">
        <v>10470</v>
      </c>
      <c r="D158" s="119">
        <f t="shared" si="9"/>
        <v>70470</v>
      </c>
      <c r="E158" s="119"/>
      <c r="F158" s="119"/>
      <c r="G158" s="119"/>
      <c r="H158" s="120">
        <f>D158/$G$156</f>
        <v>0.004116236153847816</v>
      </c>
    </row>
    <row r="159" spans="1:8" ht="12.75" hidden="1">
      <c r="A159" s="27" t="s">
        <v>211</v>
      </c>
      <c r="B159" s="119">
        <v>100000</v>
      </c>
      <c r="C159" s="119">
        <v>17449</v>
      </c>
      <c r="D159" s="119">
        <f t="shared" si="9"/>
        <v>117449</v>
      </c>
      <c r="E159" s="119"/>
      <c r="F159" s="119"/>
      <c r="G159" s="119"/>
      <c r="H159" s="120">
        <f>D159/$G$156</f>
        <v>0.006860335178562114</v>
      </c>
    </row>
    <row r="160" spans="1:8" ht="12.75" hidden="1">
      <c r="A160" s="122" t="s">
        <v>47</v>
      </c>
      <c r="B160" s="123"/>
      <c r="C160" s="123"/>
      <c r="D160" s="123">
        <f t="shared" si="9"/>
      </c>
      <c r="E160" s="118">
        <v>39988303</v>
      </c>
      <c r="F160" s="118">
        <v>461268</v>
      </c>
      <c r="G160" s="118">
        <f>F160+E160</f>
        <v>40449571</v>
      </c>
      <c r="H160" s="118"/>
    </row>
    <row r="161" spans="1:8" ht="12.75" hidden="1">
      <c r="A161" s="121" t="s">
        <v>212</v>
      </c>
      <c r="B161" s="119">
        <v>338701</v>
      </c>
      <c r="C161" s="119">
        <v>3907</v>
      </c>
      <c r="D161" s="119">
        <f t="shared" si="9"/>
        <v>342608</v>
      </c>
      <c r="E161" s="119"/>
      <c r="F161" s="119"/>
      <c r="G161" s="119"/>
      <c r="H161" s="120">
        <f>D161/$G$160</f>
        <v>0.00847000330361971</v>
      </c>
    </row>
    <row r="162" spans="1:8" ht="12.75" hidden="1">
      <c r="A162" s="121" t="s">
        <v>213</v>
      </c>
      <c r="B162" s="119">
        <v>8460</v>
      </c>
      <c r="C162" s="119">
        <v>98</v>
      </c>
      <c r="D162" s="119">
        <f t="shared" si="9"/>
        <v>8558</v>
      </c>
      <c r="E162" s="119"/>
      <c r="F162" s="119"/>
      <c r="G162" s="119"/>
      <c r="H162" s="120">
        <f aca="true" t="shared" si="11" ref="H162:H179">D162/$G$160</f>
        <v>0.00021157208317487472</v>
      </c>
    </row>
    <row r="163" spans="1:8" ht="12.75" hidden="1">
      <c r="A163" s="27" t="s">
        <v>214</v>
      </c>
      <c r="B163" s="119">
        <v>9877</v>
      </c>
      <c r="C163" s="119">
        <v>114</v>
      </c>
      <c r="D163" s="119">
        <f t="shared" si="9"/>
        <v>9991</v>
      </c>
      <c r="E163" s="31"/>
      <c r="F163" s="31"/>
      <c r="G163" s="31"/>
      <c r="H163" s="120">
        <f t="shared" si="11"/>
        <v>0.00024699891131107425</v>
      </c>
    </row>
    <row r="164" spans="1:8" ht="12.75" hidden="1">
      <c r="A164" s="121" t="s">
        <v>215</v>
      </c>
      <c r="B164" s="119">
        <v>9877</v>
      </c>
      <c r="C164" s="119">
        <v>114</v>
      </c>
      <c r="D164" s="119">
        <f t="shared" si="9"/>
        <v>9991</v>
      </c>
      <c r="E164" s="119"/>
      <c r="F164" s="119"/>
      <c r="G164" s="119"/>
      <c r="H164" s="120">
        <f t="shared" si="11"/>
        <v>0.00024699891131107425</v>
      </c>
    </row>
    <row r="165" spans="1:8" ht="12.75" hidden="1">
      <c r="A165" s="121" t="s">
        <v>216</v>
      </c>
      <c r="B165" s="119">
        <v>24153</v>
      </c>
      <c r="C165" s="119">
        <v>279</v>
      </c>
      <c r="D165" s="119">
        <f t="shared" si="9"/>
        <v>24432</v>
      </c>
      <c r="E165" s="119"/>
      <c r="F165" s="119"/>
      <c r="G165" s="119"/>
      <c r="H165" s="120">
        <f t="shared" si="11"/>
        <v>0.0006040113503305141</v>
      </c>
    </row>
    <row r="166" spans="1:8" ht="12.75" hidden="1">
      <c r="A166" s="121" t="s">
        <v>217</v>
      </c>
      <c r="B166" s="119">
        <v>99931</v>
      </c>
      <c r="C166" s="119">
        <v>1153</v>
      </c>
      <c r="D166" s="119">
        <f t="shared" si="9"/>
        <v>101084</v>
      </c>
      <c r="E166" s="119"/>
      <c r="F166" s="119"/>
      <c r="G166" s="119"/>
      <c r="H166" s="120">
        <f t="shared" si="11"/>
        <v>0.0024990129067129045</v>
      </c>
    </row>
    <row r="167" spans="1:8" ht="12.75" hidden="1">
      <c r="A167" s="121" t="s">
        <v>218</v>
      </c>
      <c r="B167" s="119">
        <v>77937</v>
      </c>
      <c r="C167" s="119">
        <v>899</v>
      </c>
      <c r="D167" s="119">
        <f t="shared" si="9"/>
        <v>78836</v>
      </c>
      <c r="E167" s="119"/>
      <c r="F167" s="119"/>
      <c r="G167" s="119"/>
      <c r="H167" s="120">
        <f t="shared" si="11"/>
        <v>0.0019489947124531927</v>
      </c>
    </row>
    <row r="168" spans="1:8" ht="12.75" hidden="1">
      <c r="A168" s="121" t="s">
        <v>219</v>
      </c>
      <c r="B168" s="119">
        <v>35670</v>
      </c>
      <c r="C168" s="119">
        <v>411</v>
      </c>
      <c r="D168" s="119">
        <f t="shared" si="9"/>
        <v>36081</v>
      </c>
      <c r="E168" s="119"/>
      <c r="F168" s="119"/>
      <c r="G168" s="119"/>
      <c r="H168" s="120">
        <f t="shared" si="11"/>
        <v>0.0008919995715158512</v>
      </c>
    </row>
    <row r="169" spans="1:8" ht="12.75" hidden="1">
      <c r="A169" s="121" t="s">
        <v>220</v>
      </c>
      <c r="B169" s="119">
        <v>27432</v>
      </c>
      <c r="C169" s="119">
        <v>316</v>
      </c>
      <c r="D169" s="119">
        <f t="shared" si="9"/>
        <v>27748</v>
      </c>
      <c r="E169" s="119"/>
      <c r="F169" s="119"/>
      <c r="G169" s="119"/>
      <c r="H169" s="120">
        <f t="shared" si="11"/>
        <v>0.0006859899700790399</v>
      </c>
    </row>
    <row r="170" spans="1:8" ht="12.75" hidden="1">
      <c r="A170" s="121" t="s">
        <v>221</v>
      </c>
      <c r="B170" s="119">
        <v>16475</v>
      </c>
      <c r="C170" s="119">
        <v>190</v>
      </c>
      <c r="D170" s="119">
        <f t="shared" si="9"/>
        <v>16665</v>
      </c>
      <c r="E170" s="119"/>
      <c r="F170" s="119"/>
      <c r="G170" s="119"/>
      <c r="H170" s="120">
        <f t="shared" si="11"/>
        <v>0.0004119944807325645</v>
      </c>
    </row>
    <row r="171" spans="1:8" ht="12.75" hidden="1">
      <c r="A171" s="121" t="s">
        <v>222</v>
      </c>
      <c r="B171" s="119">
        <v>111447</v>
      </c>
      <c r="C171" s="119">
        <v>1286</v>
      </c>
      <c r="D171" s="119">
        <f t="shared" si="9"/>
        <v>112733</v>
      </c>
      <c r="E171" s="119"/>
      <c r="F171" s="119"/>
      <c r="G171" s="119"/>
      <c r="H171" s="120">
        <f t="shared" si="11"/>
        <v>0.0027870011278982414</v>
      </c>
    </row>
    <row r="172" spans="1:8" ht="12.75" hidden="1">
      <c r="A172" s="121" t="s">
        <v>223</v>
      </c>
      <c r="B172" s="119">
        <v>31831</v>
      </c>
      <c r="C172" s="119">
        <v>367</v>
      </c>
      <c r="D172" s="119">
        <f t="shared" si="9"/>
        <v>32198</v>
      </c>
      <c r="E172" s="119"/>
      <c r="F172" s="119"/>
      <c r="G172" s="119"/>
      <c r="H172" s="120">
        <f t="shared" si="11"/>
        <v>0.0007960034977874055</v>
      </c>
    </row>
    <row r="173" spans="1:8" ht="12.75" hidden="1">
      <c r="A173" s="121" t="s">
        <v>224</v>
      </c>
      <c r="B173" s="119">
        <v>86735</v>
      </c>
      <c r="C173" s="119">
        <v>1000</v>
      </c>
      <c r="D173" s="119">
        <f t="shared" si="9"/>
        <v>87735</v>
      </c>
      <c r="E173" s="119"/>
      <c r="F173" s="119"/>
      <c r="G173" s="119"/>
      <c r="H173" s="120">
        <f t="shared" si="11"/>
        <v>0.0021689970457288658</v>
      </c>
    </row>
    <row r="174" spans="1:8" ht="12.75" hidden="1">
      <c r="A174" s="121" t="s">
        <v>225</v>
      </c>
      <c r="B174" s="119">
        <v>32910</v>
      </c>
      <c r="C174" s="119">
        <v>380</v>
      </c>
      <c r="D174" s="119">
        <f t="shared" si="9"/>
        <v>33290</v>
      </c>
      <c r="E174" s="119"/>
      <c r="F174" s="119"/>
      <c r="G174" s="119"/>
      <c r="H174" s="120">
        <f t="shared" si="11"/>
        <v>0.0008230000758228066</v>
      </c>
    </row>
    <row r="175" spans="1:8" ht="12.75" hidden="1">
      <c r="A175" s="121" t="s">
        <v>226</v>
      </c>
      <c r="B175" s="119">
        <v>52665</v>
      </c>
      <c r="C175" s="119">
        <v>607</v>
      </c>
      <c r="D175" s="119">
        <f t="shared" si="9"/>
        <v>53272</v>
      </c>
      <c r="E175" s="119"/>
      <c r="F175" s="119"/>
      <c r="G175" s="119"/>
      <c r="H175" s="120">
        <f t="shared" si="11"/>
        <v>0.001316997898444955</v>
      </c>
    </row>
    <row r="176" spans="1:8" ht="12.75" hidden="1">
      <c r="A176" s="121" t="s">
        <v>227</v>
      </c>
      <c r="B176" s="119">
        <v>111247</v>
      </c>
      <c r="C176" s="119">
        <v>1283</v>
      </c>
      <c r="D176" s="119">
        <f t="shared" si="9"/>
        <v>112530</v>
      </c>
      <c r="E176" s="119"/>
      <c r="F176" s="119"/>
      <c r="G176" s="119"/>
      <c r="H176" s="120">
        <f t="shared" si="11"/>
        <v>0.002781982533263455</v>
      </c>
    </row>
    <row r="177" spans="1:8" ht="12.75" hidden="1">
      <c r="A177" s="121" t="s">
        <v>228</v>
      </c>
      <c r="B177" s="119">
        <v>69740</v>
      </c>
      <c r="C177" s="119">
        <v>804</v>
      </c>
      <c r="D177" s="119">
        <f t="shared" si="9"/>
        <v>70544</v>
      </c>
      <c r="E177" s="119"/>
      <c r="F177" s="119"/>
      <c r="G177" s="119"/>
      <c r="H177" s="120">
        <f t="shared" si="11"/>
        <v>0.0017439987187997618</v>
      </c>
    </row>
    <row r="178" spans="1:8" ht="12.75" hidden="1">
      <c r="A178" s="121" t="s">
        <v>229</v>
      </c>
      <c r="B178" s="119">
        <v>42268</v>
      </c>
      <c r="C178" s="119">
        <v>488</v>
      </c>
      <c r="D178" s="119">
        <f t="shared" si="9"/>
        <v>42756</v>
      </c>
      <c r="E178" s="119"/>
      <c r="F178" s="119"/>
      <c r="G178" s="119"/>
      <c r="H178" s="120">
        <f t="shared" si="11"/>
        <v>0.0010570198630783995</v>
      </c>
    </row>
    <row r="179" spans="1:8" ht="12.75" hidden="1">
      <c r="A179" s="121" t="s">
        <v>230</v>
      </c>
      <c r="B179" s="119">
        <v>359015</v>
      </c>
      <c r="C179" s="119">
        <v>4141</v>
      </c>
      <c r="D179" s="119">
        <f t="shared" si="9"/>
        <v>363156</v>
      </c>
      <c r="E179" s="119"/>
      <c r="F179" s="119"/>
      <c r="G179" s="119"/>
      <c r="H179" s="120">
        <f t="shared" si="11"/>
        <v>0.00897799385808072</v>
      </c>
    </row>
    <row r="180" spans="1:8" ht="12.75" hidden="1">
      <c r="A180" s="122" t="s">
        <v>50</v>
      </c>
      <c r="B180" s="123"/>
      <c r="C180" s="123"/>
      <c r="D180" s="123">
        <f t="shared" si="9"/>
      </c>
      <c r="E180" s="118">
        <v>5836106</v>
      </c>
      <c r="F180" s="118">
        <v>1018369</v>
      </c>
      <c r="G180" s="118">
        <f>F180+E180</f>
        <v>6854475</v>
      </c>
      <c r="H180" s="118"/>
    </row>
    <row r="181" spans="1:8" ht="13.5" hidden="1" thickBot="1">
      <c r="A181" s="121" t="s">
        <v>231</v>
      </c>
      <c r="B181" s="119">
        <v>210000</v>
      </c>
      <c r="C181" s="119">
        <v>36644</v>
      </c>
      <c r="D181" s="119">
        <f t="shared" si="9"/>
        <v>246644</v>
      </c>
      <c r="E181" s="119"/>
      <c r="F181" s="119"/>
      <c r="G181" s="119"/>
      <c r="H181" s="120">
        <f>D181/G$180</f>
        <v>0.035982916270027976</v>
      </c>
    </row>
    <row r="182" spans="1:8" ht="13.5" hidden="1" thickTop="1">
      <c r="A182" s="124" t="s">
        <v>265</v>
      </c>
      <c r="B182" s="125"/>
      <c r="C182" s="125"/>
      <c r="D182" s="125"/>
      <c r="E182" s="125"/>
      <c r="F182" s="125"/>
      <c r="G182" s="125"/>
      <c r="H182" s="126"/>
    </row>
    <row r="183" spans="1:3" ht="12.75" hidden="1">
      <c r="A183" s="121"/>
      <c r="B183" s="121"/>
      <c r="C183" s="119"/>
    </row>
    <row r="184" spans="1:2" ht="12.75" hidden="1">
      <c r="A184" s="64" t="s">
        <v>261</v>
      </c>
      <c r="B184" s="64"/>
    </row>
    <row r="185" ht="12.75" hidden="1"/>
    <row r="186" ht="12.75" hidden="1"/>
    <row r="187" spans="1:2" ht="12.75" hidden="1">
      <c r="A187" s="24" t="s">
        <v>256</v>
      </c>
      <c r="B187" s="24" t="s">
        <v>257</v>
      </c>
    </row>
    <row r="188" spans="1:2" ht="12.75" hidden="1">
      <c r="A188" s="24" t="s">
        <v>258</v>
      </c>
      <c r="B188" s="119">
        <v>8728</v>
      </c>
    </row>
    <row r="189" spans="1:2" ht="12.75" hidden="1">
      <c r="A189" s="24" t="s">
        <v>253</v>
      </c>
      <c r="B189" s="119">
        <v>47216</v>
      </c>
    </row>
    <row r="190" spans="1:2" ht="12.75" hidden="1">
      <c r="A190" s="24" t="s">
        <v>254</v>
      </c>
      <c r="B190" s="119">
        <v>28179</v>
      </c>
    </row>
    <row r="191" spans="1:2" ht="12.75" hidden="1">
      <c r="A191" s="24" t="s">
        <v>255</v>
      </c>
      <c r="B191" s="119">
        <v>74658</v>
      </c>
    </row>
    <row r="192" spans="1:2" ht="12.75" hidden="1">
      <c r="A192" s="24" t="s">
        <v>259</v>
      </c>
      <c r="B192" s="119">
        <v>158781</v>
      </c>
    </row>
    <row r="193" ht="12.75" hidden="1"/>
    <row r="194" ht="12.75" hidden="1">
      <c r="A194" s="64" t="s">
        <v>261</v>
      </c>
    </row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>
      <c r="C491" s="119"/>
    </row>
  </sheetData>
  <sheetProtection/>
  <mergeCells count="1">
    <mergeCell ref="A1:H1"/>
  </mergeCells>
  <printOptions gridLines="1" horizontalCentered="1"/>
  <pageMargins left="0.75" right="0.75" top="0.75" bottom="0.76" header="0.5" footer="0.5"/>
  <pageSetup fitToHeight="0" horizontalDpi="600" verticalDpi="600" orientation="landscape" scale="58" r:id="rId1"/>
  <headerFooter alignWithMargins="0">
    <oddFooter>&amp;L&amp;"Arial,Regular"'&amp;F' [&amp;A]&amp;C&amp;"Arial,Regular"1:10 PM&amp;R&amp;"Arial,Regular"Page &amp;P of &amp;N</oddFooter>
  </headerFooter>
  <rowBreaks count="3" manualBreakCount="3">
    <brk id="53" max="7" man="1"/>
    <brk id="109" max="7" man="1"/>
    <brk id="1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5"/>
  <sheetViews>
    <sheetView zoomScaleSheetLayoutView="80" workbookViewId="0" topLeftCell="A1">
      <pane xSplit="1" ySplit="8" topLeftCell="B9" activePane="bottomRight" state="frozen"/>
      <selection pane="topLeft" activeCell="H61" sqref="H61"/>
      <selection pane="topRight" activeCell="H61" sqref="H61"/>
      <selection pane="bottomLeft" activeCell="H61" sqref="H61"/>
      <selection pane="bottomRight" activeCell="A191" sqref="A191"/>
    </sheetView>
  </sheetViews>
  <sheetFormatPr defaultColWidth="23.66015625" defaultRowHeight="12.75"/>
  <cols>
    <col min="1" max="1" width="57.66015625" style="5" customWidth="1"/>
    <col min="2" max="2" width="20.66015625" style="5" customWidth="1"/>
    <col min="3" max="3" width="9" style="5" customWidth="1"/>
    <col min="4" max="4" width="10.5" style="5" customWidth="1"/>
    <col min="5" max="5" width="18.66015625" style="5" bestFit="1" customWidth="1"/>
    <col min="6" max="6" width="21.16015625" style="5" bestFit="1" customWidth="1"/>
    <col min="7" max="7" width="21.33203125" style="5" bestFit="1" customWidth="1"/>
    <col min="8" max="8" width="16.83203125" style="5" customWidth="1"/>
    <col min="9" max="9" width="19.16015625" style="5" customWidth="1"/>
    <col min="10" max="10" width="5" style="5" customWidth="1"/>
    <col min="11" max="16384" width="23.66015625" style="5" customWidth="1"/>
  </cols>
  <sheetData>
    <row r="1" spans="1:10" ht="12.75" customHeight="1">
      <c r="A1" s="131" t="str">
        <f>"Low Income Home Energy Assistance Program (LIHEAP) State Allotments of "&amp;TEXT('$500MEC_60%&amp;40Deg'!$E$4/1000000,"$0.00")&amp;" Million in Emergency Contingency Funds Reflecting LI Households using FO, LPG &amp; NG for Heat"</f>
        <v>Low Income Home Energy Assistance Program (LIHEAP) State Allotments of $500.00 Million in Emergency Contingency Funds Reflecting LI Households using FO, LPG &amp; NG for Heat</v>
      </c>
      <c r="B1" s="131"/>
      <c r="C1" s="131"/>
      <c r="D1" s="131"/>
      <c r="E1" s="131"/>
      <c r="F1" s="131"/>
      <c r="G1" s="131"/>
      <c r="H1" s="131"/>
      <c r="I1" s="131"/>
      <c r="J1" s="4" t="s">
        <v>58</v>
      </c>
    </row>
    <row r="2" spans="1:10" ht="12.75">
      <c r="A2" s="132" t="s">
        <v>260</v>
      </c>
      <c r="B2" s="132"/>
      <c r="C2" s="132"/>
      <c r="D2" s="132"/>
      <c r="E2" s="132"/>
      <c r="F2" s="132"/>
      <c r="G2" s="132"/>
      <c r="H2" s="132"/>
      <c r="I2" s="132"/>
      <c r="J2" s="25"/>
    </row>
    <row r="3" ht="14.25">
      <c r="A3" s="16" t="s">
        <v>233</v>
      </c>
    </row>
    <row r="4" spans="1:2" ht="12.75">
      <c r="A4" s="4" t="s">
        <v>70</v>
      </c>
      <c r="B4" s="4" t="s">
        <v>71</v>
      </c>
    </row>
    <row r="5" spans="1:8" ht="12.75">
      <c r="A5" s="4" t="s">
        <v>72</v>
      </c>
      <c r="B5" s="4" t="s">
        <v>73</v>
      </c>
      <c r="G5" s="62"/>
      <c r="H5" s="62"/>
    </row>
    <row r="6" spans="1:2" ht="12.75">
      <c r="A6" s="4" t="s">
        <v>74</v>
      </c>
      <c r="B6" s="4" t="s">
        <v>75</v>
      </c>
    </row>
    <row r="7" spans="1:2" ht="12.75">
      <c r="A7" s="4" t="s">
        <v>76</v>
      </c>
      <c r="B7" s="4" t="s">
        <v>77</v>
      </c>
    </row>
    <row r="8" spans="1:9" ht="39" thickBot="1">
      <c r="A8" s="17" t="s">
        <v>78</v>
      </c>
      <c r="B8" s="17" t="s">
        <v>234</v>
      </c>
      <c r="C8" s="17" t="s">
        <v>235</v>
      </c>
      <c r="D8" s="17" t="s">
        <v>79</v>
      </c>
      <c r="E8" s="17" t="s">
        <v>236</v>
      </c>
      <c r="F8" s="65" t="s">
        <v>242</v>
      </c>
      <c r="G8" s="71" t="s">
        <v>237</v>
      </c>
      <c r="H8" s="17" t="s">
        <v>238</v>
      </c>
      <c r="I8" s="17" t="s">
        <v>239</v>
      </c>
    </row>
    <row r="9" spans="1:9" ht="12.75">
      <c r="A9" s="18" t="s">
        <v>0</v>
      </c>
      <c r="B9" s="19"/>
      <c r="C9" s="19"/>
      <c r="D9" s="19"/>
      <c r="E9" s="20">
        <f>'$500MEC_60%&amp;40Deg'!J8</f>
        <v>0</v>
      </c>
      <c r="F9" s="66"/>
      <c r="G9" s="72"/>
      <c r="H9" s="20">
        <f>SUM($G10:$G12)</f>
        <v>0</v>
      </c>
      <c r="I9" s="20">
        <f>$E9-$H9</f>
        <v>0</v>
      </c>
    </row>
    <row r="10" spans="1:7" ht="12.75">
      <c r="A10" s="5" t="s">
        <v>80</v>
      </c>
      <c r="B10" s="5">
        <v>449603</v>
      </c>
      <c r="C10" s="5">
        <v>96</v>
      </c>
      <c r="D10" s="6" t="s">
        <v>81</v>
      </c>
      <c r="E10" s="7"/>
      <c r="F10" s="63">
        <f>TribesFY06BG!H7</f>
        <v>0.00021354189705753894</v>
      </c>
      <c r="G10" s="73">
        <f>ROUND($E$9*F10,0)</f>
        <v>0</v>
      </c>
    </row>
    <row r="11" spans="1:9" ht="12.75">
      <c r="A11" s="4" t="s">
        <v>82</v>
      </c>
      <c r="B11" s="8">
        <v>449603</v>
      </c>
      <c r="C11" s="4" t="s">
        <v>58</v>
      </c>
      <c r="D11" s="6" t="s">
        <v>83</v>
      </c>
      <c r="E11" s="7"/>
      <c r="F11" s="63">
        <f>TribesFY06BG!H8</f>
        <v>0.003169976124252895</v>
      </c>
      <c r="G11" s="73">
        <f>ROUND($E$9*F11,0)</f>
        <v>0</v>
      </c>
      <c r="I11" s="7"/>
    </row>
    <row r="12" spans="1:9" ht="12.75">
      <c r="A12" s="4" t="s">
        <v>84</v>
      </c>
      <c r="B12" s="8">
        <v>449603</v>
      </c>
      <c r="C12" s="8">
        <v>1075</v>
      </c>
      <c r="D12" s="6" t="s">
        <v>81</v>
      </c>
      <c r="E12" s="7"/>
      <c r="F12" s="63">
        <f>TribesFY06BG!H9</f>
        <v>0.002391024086063197</v>
      </c>
      <c r="G12" s="73">
        <f>ROUND($E$9*F12,0)</f>
        <v>0</v>
      </c>
      <c r="I12" s="7"/>
    </row>
    <row r="13" spans="1:9" ht="12.75">
      <c r="A13" s="21" t="s">
        <v>1</v>
      </c>
      <c r="B13" s="22"/>
      <c r="C13" s="22"/>
      <c r="D13" s="22"/>
      <c r="E13" s="23">
        <f>'$500MEC_60%&amp;40Deg'!J9</f>
        <v>3902854</v>
      </c>
      <c r="F13" s="67"/>
      <c r="G13" s="74"/>
      <c r="H13" s="23">
        <f>SUM(G14:G21)</f>
        <v>1190370</v>
      </c>
      <c r="I13" s="23">
        <f>E13-H13</f>
        <v>2712484</v>
      </c>
    </row>
    <row r="14" spans="1:9" ht="12.75">
      <c r="A14" s="26" t="s">
        <v>85</v>
      </c>
      <c r="B14" s="19">
        <v>37808</v>
      </c>
      <c r="C14" s="19">
        <v>164</v>
      </c>
      <c r="D14" s="19" t="s">
        <v>83</v>
      </c>
      <c r="E14" s="20"/>
      <c r="F14" s="63">
        <f>TribesFY06BG!H11</f>
        <v>0.008539980401140297</v>
      </c>
      <c r="G14" s="73">
        <f>ROUND(F14*$E$13,0)</f>
        <v>33330</v>
      </c>
      <c r="H14" s="20"/>
      <c r="I14" s="20"/>
    </row>
    <row r="15" spans="1:9" ht="12.75">
      <c r="A15" s="4" t="s">
        <v>86</v>
      </c>
      <c r="B15" s="8">
        <v>37808</v>
      </c>
      <c r="C15" s="9">
        <v>2029</v>
      </c>
      <c r="D15" s="6" t="s">
        <v>83</v>
      </c>
      <c r="E15" s="7"/>
      <c r="F15" s="63">
        <f>TribesFY06BG!H12</f>
        <v>0.1382495132101405</v>
      </c>
      <c r="G15" s="73">
        <f aca="true" t="shared" si="0" ref="G15:G21">ROUND(F15*$E$13,0)</f>
        <v>539568</v>
      </c>
      <c r="I15" s="4"/>
    </row>
    <row r="16" spans="1:9" ht="12.75">
      <c r="A16" s="4" t="s">
        <v>87</v>
      </c>
      <c r="B16" s="8">
        <v>37808</v>
      </c>
      <c r="C16" s="9">
        <v>111</v>
      </c>
      <c r="D16" s="6" t="s">
        <v>83</v>
      </c>
      <c r="E16" s="7"/>
      <c r="F16" s="63">
        <f>TribesFY06BG!H13</f>
        <v>0.006801456551618815</v>
      </c>
      <c r="G16" s="73">
        <f t="shared" si="0"/>
        <v>26545</v>
      </c>
      <c r="I16" s="4"/>
    </row>
    <row r="17" spans="1:9" ht="12.75">
      <c r="A17" s="4" t="s">
        <v>88</v>
      </c>
      <c r="B17" s="8">
        <v>37808</v>
      </c>
      <c r="C17" s="9">
        <v>229</v>
      </c>
      <c r="D17" s="6" t="s">
        <v>83</v>
      </c>
      <c r="E17" s="7"/>
      <c r="F17" s="63">
        <f>TribesFY06BG!H14</f>
        <v>0.020739952402769293</v>
      </c>
      <c r="G17" s="73">
        <f t="shared" si="0"/>
        <v>80945</v>
      </c>
      <c r="I17" s="5" t="s">
        <v>58</v>
      </c>
    </row>
    <row r="18" spans="1:9" ht="12.75">
      <c r="A18" s="4" t="s">
        <v>89</v>
      </c>
      <c r="B18" s="8">
        <v>37808</v>
      </c>
      <c r="C18" s="9">
        <v>275</v>
      </c>
      <c r="D18" s="6" t="s">
        <v>83</v>
      </c>
      <c r="E18" s="7"/>
      <c r="F18" s="63">
        <f>TribesFY06BG!H15</f>
        <v>0.00823502087151293</v>
      </c>
      <c r="G18" s="73">
        <f t="shared" si="0"/>
        <v>32140</v>
      </c>
      <c r="I18" s="4"/>
    </row>
    <row r="19" spans="1:7" ht="12.75">
      <c r="A19" s="4" t="s">
        <v>90</v>
      </c>
      <c r="B19" s="8">
        <v>37808</v>
      </c>
      <c r="C19" s="9">
        <v>8</v>
      </c>
      <c r="D19" s="6" t="s">
        <v>83</v>
      </c>
      <c r="E19" s="7"/>
      <c r="F19" s="63">
        <f>TribesFY06BG!H16</f>
        <v>0.0007014705508043168</v>
      </c>
      <c r="G19" s="73">
        <f t="shared" si="0"/>
        <v>2738</v>
      </c>
    </row>
    <row r="20" spans="1:7" ht="12.75">
      <c r="A20" s="4" t="s">
        <v>91</v>
      </c>
      <c r="B20" s="8">
        <v>37808</v>
      </c>
      <c r="C20" s="9">
        <v>1385</v>
      </c>
      <c r="D20" s="6" t="s">
        <v>83</v>
      </c>
      <c r="E20" s="7"/>
      <c r="F20" s="63">
        <f>TribesFY06BG!H17</f>
        <v>0.07750752456220729</v>
      </c>
      <c r="G20" s="73">
        <f t="shared" si="0"/>
        <v>302501</v>
      </c>
    </row>
    <row r="21" spans="1:9" ht="12.75">
      <c r="A21" s="4" t="s">
        <v>92</v>
      </c>
      <c r="B21" s="8">
        <v>37808</v>
      </c>
      <c r="C21" s="9">
        <v>1171</v>
      </c>
      <c r="D21" s="6" t="s">
        <v>83</v>
      </c>
      <c r="E21" s="7"/>
      <c r="F21" s="63">
        <f>TribesFY06BG!H18</f>
        <v>0.044224938276318466</v>
      </c>
      <c r="G21" s="73">
        <f t="shared" si="0"/>
        <v>172603</v>
      </c>
      <c r="I21" s="5" t="s">
        <v>58</v>
      </c>
    </row>
    <row r="22" spans="1:9" ht="12.75">
      <c r="A22" s="21" t="s">
        <v>2</v>
      </c>
      <c r="B22" s="22"/>
      <c r="C22" s="22"/>
      <c r="D22" s="22"/>
      <c r="E22" s="23">
        <f>'$500MEC_60%&amp;40Deg'!J10</f>
        <v>0</v>
      </c>
      <c r="F22" s="67"/>
      <c r="G22" s="74"/>
      <c r="H22" s="23">
        <f>SUM(G23:G31)</f>
        <v>0</v>
      </c>
      <c r="I22" s="23">
        <f>E22-H22</f>
        <v>0</v>
      </c>
    </row>
    <row r="23" spans="1:9" ht="12.75">
      <c r="A23" s="26" t="s">
        <v>93</v>
      </c>
      <c r="B23" s="19">
        <v>343522</v>
      </c>
      <c r="C23" s="19">
        <v>228</v>
      </c>
      <c r="D23" s="19" t="s">
        <v>81</v>
      </c>
      <c r="E23" s="20"/>
      <c r="F23" s="63">
        <f>TribesFY06BG!H20</f>
        <v>0.0006637874147332673</v>
      </c>
      <c r="G23" s="73">
        <f>ROUND($E$22*F23,0)</f>
        <v>0</v>
      </c>
      <c r="H23" s="20"/>
      <c r="I23" s="20"/>
    </row>
    <row r="24" spans="1:7" ht="12.75">
      <c r="A24" s="4" t="s">
        <v>94</v>
      </c>
      <c r="B24" s="8">
        <v>343522</v>
      </c>
      <c r="C24" s="9">
        <v>680</v>
      </c>
      <c r="D24" s="6" t="s">
        <v>81</v>
      </c>
      <c r="F24" s="63">
        <f>TribesFY06BG!H21</f>
        <v>0.001979540739151821</v>
      </c>
      <c r="G24" s="73">
        <f aca="true" t="shared" si="1" ref="G24:G31">ROUND($E$22*F24,0)</f>
        <v>0</v>
      </c>
    </row>
    <row r="25" spans="1:7" ht="12.75">
      <c r="A25" s="4" t="s">
        <v>95</v>
      </c>
      <c r="B25" s="8">
        <v>343522</v>
      </c>
      <c r="C25" s="9">
        <v>142</v>
      </c>
      <c r="D25" s="6" t="s">
        <v>81</v>
      </c>
      <c r="E25" s="7"/>
      <c r="F25" s="63">
        <f>TribesFY06BG!H22</f>
        <v>0.0004132903831858309</v>
      </c>
      <c r="G25" s="73">
        <f t="shared" si="1"/>
        <v>0</v>
      </c>
    </row>
    <row r="26" spans="1:7" ht="12.75">
      <c r="A26" s="4" t="s">
        <v>96</v>
      </c>
      <c r="B26" s="8">
        <v>343522</v>
      </c>
      <c r="C26" s="9">
        <v>2301</v>
      </c>
      <c r="D26" s="6" t="s">
        <v>81</v>
      </c>
      <c r="E26" s="7"/>
      <c r="F26" s="63">
        <f>TribesFY06BG!H23</f>
        <v>0.006698236469197781</v>
      </c>
      <c r="G26" s="73">
        <f t="shared" si="1"/>
        <v>0</v>
      </c>
    </row>
    <row r="27" spans="1:7" ht="12.75">
      <c r="A27" s="4" t="s">
        <v>97</v>
      </c>
      <c r="B27" s="8">
        <v>343522</v>
      </c>
      <c r="C27" s="9">
        <v>19524</v>
      </c>
      <c r="D27" s="6" t="s">
        <v>81</v>
      </c>
      <c r="E27" s="7"/>
      <c r="F27" s="63">
        <f>TribesFY06BG!H24</f>
        <v>0.05683482438394769</v>
      </c>
      <c r="G27" s="73">
        <f t="shared" si="1"/>
        <v>0</v>
      </c>
    </row>
    <row r="28" spans="1:7" ht="12.75">
      <c r="A28" s="4" t="s">
        <v>98</v>
      </c>
      <c r="B28" s="8">
        <v>343522</v>
      </c>
      <c r="C28" s="9">
        <v>879</v>
      </c>
      <c r="D28" s="6" t="s">
        <v>81</v>
      </c>
      <c r="E28" s="7"/>
      <c r="F28" s="63">
        <f>TribesFY06BG!H25</f>
        <v>0.0025588605284305216</v>
      </c>
      <c r="G28" s="73">
        <f t="shared" si="1"/>
        <v>0</v>
      </c>
    </row>
    <row r="29" spans="1:7" ht="12.75">
      <c r="A29" s="4" t="s">
        <v>99</v>
      </c>
      <c r="B29" s="8">
        <v>343522</v>
      </c>
      <c r="C29" s="9">
        <v>50</v>
      </c>
      <c r="D29" s="6" t="s">
        <v>81</v>
      </c>
      <c r="E29" s="7"/>
      <c r="F29" s="63">
        <f>TribesFY06BG!H26</f>
        <v>0.00014549036659609866</v>
      </c>
      <c r="G29" s="73">
        <f t="shared" si="1"/>
        <v>0</v>
      </c>
    </row>
    <row r="30" spans="1:7" ht="12.75">
      <c r="A30" s="4" t="s">
        <v>100</v>
      </c>
      <c r="B30" s="8">
        <v>343522</v>
      </c>
      <c r="C30" s="9">
        <v>849</v>
      </c>
      <c r="D30" s="6" t="s">
        <v>81</v>
      </c>
      <c r="E30" s="7"/>
      <c r="F30" s="63">
        <f>TribesFY06BG!H27</f>
        <v>0.0024714210162320492</v>
      </c>
      <c r="G30" s="73">
        <f t="shared" si="1"/>
        <v>0</v>
      </c>
    </row>
    <row r="31" spans="1:7" ht="12.75">
      <c r="A31" s="4" t="s">
        <v>101</v>
      </c>
      <c r="B31" s="8">
        <v>343522</v>
      </c>
      <c r="C31" s="9">
        <v>1400</v>
      </c>
      <c r="D31" s="6" t="s">
        <v>81</v>
      </c>
      <c r="E31" s="7"/>
      <c r="F31" s="63">
        <f>TribesFY06BG!H28</f>
        <v>0.0040753813128818215</v>
      </c>
      <c r="G31" s="73">
        <f t="shared" si="1"/>
        <v>0</v>
      </c>
    </row>
    <row r="32" spans="1:9" ht="12.75">
      <c r="A32" s="21" t="s">
        <v>4</v>
      </c>
      <c r="B32" s="22"/>
      <c r="C32" s="22"/>
      <c r="D32" s="22"/>
      <c r="E32" s="23">
        <f>'$500MEC_60%&amp;40Deg'!J12</f>
        <v>0</v>
      </c>
      <c r="F32" s="67"/>
      <c r="G32" s="74"/>
      <c r="H32" s="23">
        <f>SUM(G33:G56)</f>
        <v>0</v>
      </c>
      <c r="I32" s="23">
        <f>E32-H32</f>
        <v>0</v>
      </c>
    </row>
    <row r="33" spans="1:9" ht="12.75">
      <c r="A33" s="26" t="s">
        <v>102</v>
      </c>
      <c r="B33" s="19">
        <v>1659723</v>
      </c>
      <c r="C33" s="19">
        <v>130</v>
      </c>
      <c r="D33" s="19" t="s">
        <v>81</v>
      </c>
      <c r="E33" s="20"/>
      <c r="F33" s="63">
        <f>TribesFY06BG!H30</f>
        <v>7.832413354433194E-05</v>
      </c>
      <c r="G33" s="73">
        <f>ROUND($E$32*F33,0)</f>
        <v>0</v>
      </c>
      <c r="H33" s="20"/>
      <c r="I33" s="20"/>
    </row>
    <row r="34" spans="1:9" ht="12.75">
      <c r="A34" s="26" t="s">
        <v>103</v>
      </c>
      <c r="B34" s="19">
        <v>1659723</v>
      </c>
      <c r="C34" s="19">
        <v>24</v>
      </c>
      <c r="D34" s="19" t="s">
        <v>81</v>
      </c>
      <c r="E34" s="20"/>
      <c r="F34" s="63">
        <f>TribesFY06BG!H31</f>
        <v>1.4459739606659047E-05</v>
      </c>
      <c r="G34" s="73">
        <f aca="true" t="shared" si="2" ref="G34:G56">ROUND($E$32*F34,0)</f>
        <v>0</v>
      </c>
      <c r="H34" s="20"/>
      <c r="I34" s="20"/>
    </row>
    <row r="35" spans="1:9" ht="12.75">
      <c r="A35" s="4" t="s">
        <v>104</v>
      </c>
      <c r="B35" s="8">
        <v>1659723</v>
      </c>
      <c r="C35" s="5">
        <v>108</v>
      </c>
      <c r="D35" s="6" t="s">
        <v>81</v>
      </c>
      <c r="E35" s="7"/>
      <c r="F35" s="63">
        <f>TribesFY06BG!H32</f>
        <v>6.507209227953833E-05</v>
      </c>
      <c r="G35" s="73">
        <f t="shared" si="2"/>
        <v>0</v>
      </c>
      <c r="H35" s="7"/>
      <c r="I35" s="7"/>
    </row>
    <row r="36" spans="1:7" ht="12.75">
      <c r="A36" s="4" t="s">
        <v>105</v>
      </c>
      <c r="B36" s="8">
        <v>1659723</v>
      </c>
      <c r="C36" s="9">
        <v>50</v>
      </c>
      <c r="D36" s="6" t="s">
        <v>81</v>
      </c>
      <c r="E36" s="7"/>
      <c r="F36" s="63">
        <f>TribesFY06BG!H33</f>
        <v>3.0120649456038305E-05</v>
      </c>
      <c r="G36" s="73">
        <f t="shared" si="2"/>
        <v>0</v>
      </c>
    </row>
    <row r="37" spans="1:9" ht="12.75">
      <c r="A37" s="4" t="s">
        <v>106</v>
      </c>
      <c r="B37" s="8">
        <v>1659723</v>
      </c>
      <c r="C37" s="9">
        <v>896</v>
      </c>
      <c r="D37" s="6" t="s">
        <v>81</v>
      </c>
      <c r="E37" s="7"/>
      <c r="F37" s="63">
        <f>TribesFY06BG!H34</f>
        <v>0.0005398542150121369</v>
      </c>
      <c r="G37" s="73">
        <f t="shared" si="2"/>
        <v>0</v>
      </c>
      <c r="I37" s="7"/>
    </row>
    <row r="38" spans="1:9" ht="12.75">
      <c r="A38" s="4" t="s">
        <v>107</v>
      </c>
      <c r="B38" s="8">
        <v>1659723</v>
      </c>
      <c r="C38" s="9">
        <v>136</v>
      </c>
      <c r="D38" s="6" t="s">
        <v>81</v>
      </c>
      <c r="E38" s="7"/>
      <c r="F38" s="63">
        <f>TribesFY06BG!H35</f>
        <v>8.194722856992822E-05</v>
      </c>
      <c r="G38" s="73">
        <f t="shared" si="2"/>
        <v>0</v>
      </c>
      <c r="I38" s="7"/>
    </row>
    <row r="39" spans="1:7" ht="12.75">
      <c r="A39" s="4" t="s">
        <v>108</v>
      </c>
      <c r="B39" s="8">
        <v>1659723</v>
      </c>
      <c r="C39" s="9">
        <v>1378</v>
      </c>
      <c r="D39" s="6" t="s">
        <v>81</v>
      </c>
      <c r="E39" s="7"/>
      <c r="F39" s="63">
        <f>TribesFY06BG!H36</f>
        <v>0.0008302632335863285</v>
      </c>
      <c r="G39" s="73">
        <f t="shared" si="2"/>
        <v>0</v>
      </c>
    </row>
    <row r="40" spans="1:7" ht="12.75">
      <c r="A40" s="4" t="s">
        <v>109</v>
      </c>
      <c r="B40" s="8">
        <v>1659723</v>
      </c>
      <c r="C40" s="9">
        <v>650</v>
      </c>
      <c r="D40" s="6" t="s">
        <v>81</v>
      </c>
      <c r="F40" s="63">
        <f>TribesFY06BG!H37</f>
        <v>0.0003916271958208049</v>
      </c>
      <c r="G40" s="73">
        <f t="shared" si="2"/>
        <v>0</v>
      </c>
    </row>
    <row r="41" spans="1:9" ht="12.75">
      <c r="A41" s="4" t="s">
        <v>110</v>
      </c>
      <c r="B41" s="8">
        <v>1659723</v>
      </c>
      <c r="C41" s="9">
        <v>371</v>
      </c>
      <c r="D41" s="6" t="s">
        <v>81</v>
      </c>
      <c r="E41" s="7"/>
      <c r="F41" s="63">
        <f>TribesFY06BG!H38</f>
        <v>0.00022353517093057297</v>
      </c>
      <c r="G41" s="73">
        <f t="shared" si="2"/>
        <v>0</v>
      </c>
      <c r="I41" s="7"/>
    </row>
    <row r="42" spans="1:9" ht="12.75">
      <c r="A42" s="4" t="s">
        <v>111</v>
      </c>
      <c r="B42" s="8">
        <v>1659723</v>
      </c>
      <c r="C42" s="9">
        <v>3231</v>
      </c>
      <c r="D42" s="6" t="s">
        <v>81</v>
      </c>
      <c r="E42" s="7"/>
      <c r="F42" s="63">
        <f>TribesFY06BG!H39</f>
        <v>0.001946705277500747</v>
      </c>
      <c r="G42" s="73">
        <f t="shared" si="2"/>
        <v>0</v>
      </c>
      <c r="I42" s="7"/>
    </row>
    <row r="43" spans="1:9" ht="12.75">
      <c r="A43" s="4" t="s">
        <v>112</v>
      </c>
      <c r="B43" s="8">
        <v>1659723</v>
      </c>
      <c r="C43" s="9">
        <v>82</v>
      </c>
      <c r="D43" s="6" t="s">
        <v>83</v>
      </c>
      <c r="E43" s="7"/>
      <c r="F43" s="63">
        <f>TribesFY06BG!H40</f>
        <v>9.999742270645747E-05</v>
      </c>
      <c r="G43" s="73">
        <f t="shared" si="2"/>
        <v>0</v>
      </c>
      <c r="I43" s="7"/>
    </row>
    <row r="44" spans="1:9" ht="12.75">
      <c r="A44" s="4" t="s">
        <v>113</v>
      </c>
      <c r="B44" s="8">
        <v>1659723</v>
      </c>
      <c r="C44" s="9">
        <v>779</v>
      </c>
      <c r="D44" s="6" t="s">
        <v>81</v>
      </c>
      <c r="E44" s="7"/>
      <c r="F44" s="63">
        <f>TribesFY06BG!H41</f>
        <v>0.000469357272342922</v>
      </c>
      <c r="G44" s="73">
        <f t="shared" si="2"/>
        <v>0</v>
      </c>
      <c r="I44" s="7"/>
    </row>
    <row r="45" spans="1:7" ht="12.75">
      <c r="A45" s="4" t="s">
        <v>114</v>
      </c>
      <c r="B45" s="8">
        <v>1659723</v>
      </c>
      <c r="C45" s="9">
        <v>78</v>
      </c>
      <c r="D45" s="6" t="s">
        <v>81</v>
      </c>
      <c r="E45" s="7"/>
      <c r="F45" s="63">
        <f>TribesFY06BG!H42</f>
        <v>4.699578574642821E-05</v>
      </c>
      <c r="G45" s="73">
        <f t="shared" si="2"/>
        <v>0</v>
      </c>
    </row>
    <row r="46" spans="1:9" ht="12.75">
      <c r="A46" s="4" t="s">
        <v>115</v>
      </c>
      <c r="B46" s="8">
        <v>1659723</v>
      </c>
      <c r="C46" s="9">
        <v>375</v>
      </c>
      <c r="D46" s="6" t="s">
        <v>81</v>
      </c>
      <c r="E46" s="7"/>
      <c r="F46" s="63">
        <f>TribesFY06BG!H43</f>
        <v>0.00022593751141601338</v>
      </c>
      <c r="G46" s="73">
        <f t="shared" si="2"/>
        <v>0</v>
      </c>
      <c r="I46" s="7"/>
    </row>
    <row r="47" spans="1:9" ht="12.75">
      <c r="A47" s="4" t="s">
        <v>116</v>
      </c>
      <c r="B47" s="8">
        <v>1659723</v>
      </c>
      <c r="C47" s="9">
        <v>962</v>
      </c>
      <c r="D47" s="6" t="s">
        <v>81</v>
      </c>
      <c r="E47" s="7"/>
      <c r="F47" s="63">
        <f>TribesFY06BG!H44</f>
        <v>0.000579616866905663</v>
      </c>
      <c r="G47" s="73">
        <f t="shared" si="2"/>
        <v>0</v>
      </c>
      <c r="I47" s="7"/>
    </row>
    <row r="48" spans="1:7" ht="12.75">
      <c r="A48" s="4" t="s">
        <v>117</v>
      </c>
      <c r="B48" s="8">
        <v>1659723</v>
      </c>
      <c r="C48" s="9">
        <v>44</v>
      </c>
      <c r="D48" s="6" t="s">
        <v>81</v>
      </c>
      <c r="E48" s="7"/>
      <c r="F48" s="63">
        <f>TribesFY06BG!H45</f>
        <v>2.6510610628732456E-05</v>
      </c>
      <c r="G48" s="73">
        <f t="shared" si="2"/>
        <v>0</v>
      </c>
    </row>
    <row r="49" spans="1:7" ht="12.75">
      <c r="A49" s="4" t="s">
        <v>118</v>
      </c>
      <c r="B49" s="8">
        <v>1659723</v>
      </c>
      <c r="C49" s="9">
        <v>894</v>
      </c>
      <c r="D49" s="6" t="s">
        <v>81</v>
      </c>
      <c r="E49" s="7"/>
      <c r="F49" s="63">
        <f>TribesFY06BG!H46</f>
        <v>0.0005386399885711263</v>
      </c>
      <c r="G49" s="73">
        <f t="shared" si="2"/>
        <v>0</v>
      </c>
    </row>
    <row r="50" spans="1:7" ht="12.75">
      <c r="A50" s="4" t="s">
        <v>119</v>
      </c>
      <c r="B50" s="8">
        <v>1659723</v>
      </c>
      <c r="C50" s="9">
        <v>575</v>
      </c>
      <c r="D50" s="6" t="s">
        <v>81</v>
      </c>
      <c r="E50" s="7"/>
      <c r="F50" s="63">
        <f>TribesFY06BG!H47</f>
        <v>0.0003464396935376023</v>
      </c>
      <c r="G50" s="73">
        <f t="shared" si="2"/>
        <v>0</v>
      </c>
    </row>
    <row r="51" spans="1:9" ht="12.75">
      <c r="A51" s="4" t="s">
        <v>120</v>
      </c>
      <c r="B51" s="8">
        <v>1659723</v>
      </c>
      <c r="C51" s="9">
        <v>146</v>
      </c>
      <c r="D51" s="6" t="s">
        <v>81</v>
      </c>
      <c r="E51" s="7"/>
      <c r="F51" s="63">
        <f>TribesFY06BG!H48</f>
        <v>8.796613598181971E-05</v>
      </c>
      <c r="G51" s="73">
        <f t="shared" si="2"/>
        <v>0</v>
      </c>
      <c r="I51" s="7"/>
    </row>
    <row r="52" spans="1:9" ht="12.75">
      <c r="A52" s="4" t="s">
        <v>121</v>
      </c>
      <c r="B52" s="8">
        <v>1659723</v>
      </c>
      <c r="C52" s="9">
        <v>66</v>
      </c>
      <c r="D52" s="6" t="s">
        <v>81</v>
      </c>
      <c r="E52" s="7"/>
      <c r="F52" s="63">
        <f>TribesFY06BG!H49</f>
        <v>3.9762651893526075E-05</v>
      </c>
      <c r="G52" s="73">
        <f t="shared" si="2"/>
        <v>0</v>
      </c>
      <c r="I52" s="7"/>
    </row>
    <row r="53" spans="1:9" ht="12.75">
      <c r="A53" s="4" t="s">
        <v>122</v>
      </c>
      <c r="B53" s="8">
        <v>1659723</v>
      </c>
      <c r="C53" s="9">
        <v>66</v>
      </c>
      <c r="D53" s="6" t="s">
        <v>81</v>
      </c>
      <c r="E53" s="7"/>
      <c r="F53" s="63">
        <f>TribesFY06BG!H50</f>
        <v>3.9762651893526075E-05</v>
      </c>
      <c r="G53" s="73">
        <f t="shared" si="2"/>
        <v>0</v>
      </c>
      <c r="I53" s="7"/>
    </row>
    <row r="54" spans="1:7" ht="12.75">
      <c r="A54" s="5" t="s">
        <v>123</v>
      </c>
      <c r="B54" s="8">
        <v>1659723</v>
      </c>
      <c r="C54" s="10">
        <v>101</v>
      </c>
      <c r="D54" s="6" t="s">
        <v>81</v>
      </c>
      <c r="F54" s="63">
        <f>TribesFY06BG!H51</f>
        <v>6.086146833087237E-05</v>
      </c>
      <c r="G54" s="73">
        <f t="shared" si="2"/>
        <v>0</v>
      </c>
    </row>
    <row r="55" spans="1:7" ht="12.75">
      <c r="A55" s="4" t="s">
        <v>124</v>
      </c>
      <c r="B55" s="8">
        <v>1659723</v>
      </c>
      <c r="C55" s="9">
        <v>85</v>
      </c>
      <c r="D55" s="6" t="s">
        <v>81</v>
      </c>
      <c r="E55" s="7"/>
      <c r="F55" s="63">
        <f>TribesFY06BG!H52</f>
        <v>5.121293779423938E-05</v>
      </c>
      <c r="G55" s="73">
        <f t="shared" si="2"/>
        <v>0</v>
      </c>
    </row>
    <row r="56" spans="1:7" ht="12.75">
      <c r="A56" s="4" t="s">
        <v>125</v>
      </c>
      <c r="B56" s="8">
        <v>1659723</v>
      </c>
      <c r="C56" s="9">
        <v>1166</v>
      </c>
      <c r="D56" s="6" t="s">
        <v>81</v>
      </c>
      <c r="E56" s="7"/>
      <c r="F56" s="63">
        <f>TribesFY06BG!H53</f>
        <v>0.0007025344457109828</v>
      </c>
      <c r="G56" s="73">
        <f t="shared" si="2"/>
        <v>0</v>
      </c>
    </row>
    <row r="57" spans="1:9" ht="12.75">
      <c r="A57" s="21" t="s">
        <v>5</v>
      </c>
      <c r="B57" s="22"/>
      <c r="C57" s="22"/>
      <c r="D57" s="22"/>
      <c r="E57" s="23">
        <f>'$500MEC_60%&amp;40Deg'!J13</f>
        <v>11436722</v>
      </c>
      <c r="F57" s="67"/>
      <c r="G57" s="74"/>
      <c r="H57" s="23">
        <f>G58</f>
        <v>9115</v>
      </c>
      <c r="I57" s="23">
        <f>$E57-$H57</f>
        <v>11427607</v>
      </c>
    </row>
    <row r="58" spans="1:7" ht="12.75">
      <c r="A58" s="4" t="s">
        <v>126</v>
      </c>
      <c r="B58" s="8">
        <v>303357</v>
      </c>
      <c r="C58" s="9">
        <v>165</v>
      </c>
      <c r="D58" s="6" t="s">
        <v>127</v>
      </c>
      <c r="E58" s="7"/>
      <c r="F58" s="63">
        <f>TribesFY06BG!H55</f>
        <v>0.0007969947674683932</v>
      </c>
      <c r="G58" s="73">
        <f>ROUND($E$57*F58,0)</f>
        <v>9115</v>
      </c>
    </row>
    <row r="59" spans="1:9" ht="12.75">
      <c r="A59" s="21" t="s">
        <v>9</v>
      </c>
      <c r="B59" s="22"/>
      <c r="C59" s="22"/>
      <c r="D59" s="22"/>
      <c r="E59" s="23">
        <f>'$500MEC_60%&amp;40Deg'!J17</f>
        <v>0</v>
      </c>
      <c r="F59" s="67"/>
      <c r="G59" s="74"/>
      <c r="H59" s="23">
        <f>G60</f>
        <v>0</v>
      </c>
      <c r="I59" s="23">
        <f>$E59-$H59</f>
        <v>0</v>
      </c>
    </row>
    <row r="60" spans="1:7" ht="12.75">
      <c r="A60" s="5" t="s">
        <v>128</v>
      </c>
      <c r="B60" s="5">
        <v>1205419</v>
      </c>
      <c r="C60" s="5">
        <v>309</v>
      </c>
      <c r="D60" s="11" t="s">
        <v>81</v>
      </c>
      <c r="F60" s="63">
        <f>TribesFY06BG!H57</f>
        <v>0.00025634922014227464</v>
      </c>
      <c r="G60" s="73">
        <f>ROUND($E$59*F60,0)</f>
        <v>0</v>
      </c>
    </row>
    <row r="61" spans="1:9" ht="12.75">
      <c r="A61" s="21" t="s">
        <v>12</v>
      </c>
      <c r="B61" s="22"/>
      <c r="C61" s="22"/>
      <c r="D61" s="22" t="s">
        <v>58</v>
      </c>
      <c r="E61" s="23">
        <f>'$500MEC_60%&amp;40Deg'!J20</f>
        <v>0</v>
      </c>
      <c r="F61" s="67"/>
      <c r="G61" s="74"/>
      <c r="H61" s="23">
        <f>SUM(G62:G64)</f>
        <v>0</v>
      </c>
      <c r="I61" s="23">
        <f>E61-H61</f>
        <v>0</v>
      </c>
    </row>
    <row r="62" spans="1:9" ht="12.75">
      <c r="A62" s="26" t="s">
        <v>129</v>
      </c>
      <c r="B62" s="19">
        <v>84047</v>
      </c>
      <c r="C62" s="19">
        <v>113</v>
      </c>
      <c r="D62" s="19" t="s">
        <v>130</v>
      </c>
      <c r="E62" s="20"/>
      <c r="F62" s="63">
        <f>TribesFY06BG!H59</f>
        <v>0.003024974725769027</v>
      </c>
      <c r="G62" s="73">
        <f>ROUND($E$61*F62,0)</f>
        <v>0</v>
      </c>
      <c r="H62" s="20"/>
      <c r="I62" s="20"/>
    </row>
    <row r="63" spans="1:9" ht="12.75">
      <c r="A63" s="26" t="s">
        <v>131</v>
      </c>
      <c r="B63" s="19">
        <v>84047</v>
      </c>
      <c r="C63" s="19">
        <v>593</v>
      </c>
      <c r="D63" s="19" t="s">
        <v>83</v>
      </c>
      <c r="E63" s="20"/>
      <c r="F63" s="63">
        <f>TribesFY06BG!H60</f>
        <v>0.007000029505159506</v>
      </c>
      <c r="G63" s="73">
        <f>ROUND($E$61*F63,0)</f>
        <v>0</v>
      </c>
      <c r="H63" s="20"/>
      <c r="I63" s="20"/>
    </row>
    <row r="64" spans="1:9" ht="12.75">
      <c r="A64" s="4" t="s">
        <v>132</v>
      </c>
      <c r="B64" s="8">
        <v>84047</v>
      </c>
      <c r="C64" s="5">
        <v>796</v>
      </c>
      <c r="D64" s="6" t="s">
        <v>83</v>
      </c>
      <c r="E64" s="7"/>
      <c r="F64" s="63">
        <f>TribesFY06BG!H61</f>
        <v>0.03849998830927642</v>
      </c>
      <c r="G64" s="73">
        <f>ROUND($E$61*F64,0)</f>
        <v>0</v>
      </c>
      <c r="H64" s="7"/>
      <c r="I64" s="7"/>
    </row>
    <row r="65" spans="1:9" ht="12.75">
      <c r="A65" s="21" t="s">
        <v>14</v>
      </c>
      <c r="B65" s="22"/>
      <c r="C65" s="22"/>
      <c r="D65" s="22"/>
      <c r="E65" s="23">
        <f>'$500MEC_60%&amp;40Deg'!J22</f>
        <v>18697169</v>
      </c>
      <c r="F65" s="67"/>
      <c r="G65" s="74"/>
      <c r="H65" s="23">
        <f>G66</f>
        <v>2430</v>
      </c>
      <c r="I65" s="23">
        <f>E65-H65</f>
        <v>18694739</v>
      </c>
    </row>
    <row r="66" spans="1:9" ht="12.75">
      <c r="A66" s="4" t="s">
        <v>133</v>
      </c>
      <c r="B66" s="8">
        <v>434091</v>
      </c>
      <c r="C66" s="8">
        <v>0</v>
      </c>
      <c r="D66" s="6" t="s">
        <v>127</v>
      </c>
      <c r="E66" s="7"/>
      <c r="F66" s="63">
        <f>TribesFY06BG!H63</f>
        <v>0.00012995906789488852</v>
      </c>
      <c r="G66" s="73">
        <f>ROUND($E$65*F66,0)</f>
        <v>2430</v>
      </c>
      <c r="I66" s="7"/>
    </row>
    <row r="67" spans="1:9" ht="12.75">
      <c r="A67" s="21" t="s">
        <v>16</v>
      </c>
      <c r="B67" s="22"/>
      <c r="C67" s="22"/>
      <c r="D67" s="22" t="s">
        <v>58</v>
      </c>
      <c r="E67" s="23">
        <f>'$500MEC_60%&amp;40Deg'!J24</f>
        <v>0</v>
      </c>
      <c r="F67" s="67"/>
      <c r="G67" s="74"/>
      <c r="H67" s="23">
        <f>G68</f>
        <v>0</v>
      </c>
      <c r="I67" s="23">
        <f>$E67-$H67</f>
        <v>0</v>
      </c>
    </row>
    <row r="68" spans="1:9" s="24" customFormat="1" ht="12.75">
      <c r="A68" s="4" t="s">
        <v>134</v>
      </c>
      <c r="B68" s="8">
        <v>222152</v>
      </c>
      <c r="C68" s="8">
        <v>20</v>
      </c>
      <c r="D68" s="6" t="s">
        <v>127</v>
      </c>
      <c r="E68" s="5"/>
      <c r="F68" s="63">
        <f>TribesFY06BG!H65</f>
        <v>0.000744147876982527</v>
      </c>
      <c r="G68" s="73">
        <f>ROUND($E$67*F68,0)</f>
        <v>0</v>
      </c>
      <c r="H68" s="5"/>
      <c r="I68" s="7"/>
    </row>
    <row r="69" spans="1:9" ht="12.75">
      <c r="A69" s="21" t="s">
        <v>19</v>
      </c>
      <c r="B69" s="22"/>
      <c r="C69" s="22"/>
      <c r="D69" s="22"/>
      <c r="E69" s="23">
        <f>'$500MEC_60%&amp;40Deg'!J27</f>
        <v>9665527</v>
      </c>
      <c r="F69" s="67"/>
      <c r="G69" s="74"/>
      <c r="H69" s="23">
        <f>SUM(G70:G74)</f>
        <v>353275</v>
      </c>
      <c r="I69" s="23">
        <f>E69-H69</f>
        <v>9312252</v>
      </c>
    </row>
    <row r="70" spans="1:9" ht="12.75">
      <c r="A70" s="27" t="s">
        <v>135</v>
      </c>
      <c r="B70" s="28">
        <v>100697</v>
      </c>
      <c r="C70" s="28"/>
      <c r="D70" s="29" t="s">
        <v>83</v>
      </c>
      <c r="E70" s="30"/>
      <c r="F70" s="63">
        <f>TribesFY06BG!H67</f>
        <v>0.004349975896242302</v>
      </c>
      <c r="G70" s="73">
        <f>ROUND($E$69*F70,0)</f>
        <v>42045</v>
      </c>
      <c r="H70" s="31"/>
      <c r="I70" s="30"/>
    </row>
    <row r="71" spans="1:9" ht="12.75">
      <c r="A71" s="26" t="s">
        <v>136</v>
      </c>
      <c r="B71" s="19">
        <v>100697</v>
      </c>
      <c r="C71" s="19"/>
      <c r="D71" s="19" t="s">
        <v>83</v>
      </c>
      <c r="E71" s="20"/>
      <c r="F71" s="63">
        <f>TribesFY06BG!H68</f>
        <v>0.004349975896242302</v>
      </c>
      <c r="G71" s="73">
        <f>ROUND($E$69*F71,0)</f>
        <v>42045</v>
      </c>
      <c r="H71" s="20"/>
      <c r="I71" s="20"/>
    </row>
    <row r="72" spans="1:9" ht="12.75">
      <c r="A72" s="26" t="s">
        <v>137</v>
      </c>
      <c r="B72" s="32">
        <v>100697</v>
      </c>
      <c r="C72" s="19">
        <v>83</v>
      </c>
      <c r="D72" s="33" t="s">
        <v>83</v>
      </c>
      <c r="E72" s="19"/>
      <c r="F72" s="63">
        <f>TribesFY06BG!H69</f>
        <v>0.008299993872905717</v>
      </c>
      <c r="G72" s="73">
        <f>ROUND($E$69*F72,0)</f>
        <v>80224</v>
      </c>
      <c r="H72" s="19"/>
      <c r="I72" s="20"/>
    </row>
    <row r="73" spans="1:9" ht="12.75">
      <c r="A73" s="4" t="s">
        <v>138</v>
      </c>
      <c r="B73" s="8">
        <v>100697</v>
      </c>
      <c r="C73" s="5">
        <v>69</v>
      </c>
      <c r="D73" s="6" t="s">
        <v>83</v>
      </c>
      <c r="E73" s="7"/>
      <c r="F73" s="63">
        <f>TribesFY06BG!H70</f>
        <v>0.011579984442476002</v>
      </c>
      <c r="G73" s="73">
        <f>ROUND($E$69*F73,0)</f>
        <v>111927</v>
      </c>
      <c r="I73" s="7"/>
    </row>
    <row r="74" spans="1:9" ht="12.75">
      <c r="A74" s="4" t="s">
        <v>139</v>
      </c>
      <c r="B74" s="8">
        <v>100697</v>
      </c>
      <c r="C74" s="8">
        <v>95</v>
      </c>
      <c r="D74" s="6" t="s">
        <v>83</v>
      </c>
      <c r="E74" s="7"/>
      <c r="F74" s="63">
        <f>TribesFY06BG!H71</f>
        <v>0.007969995958653636</v>
      </c>
      <c r="G74" s="73">
        <f>ROUND($E$69*F74,0)</f>
        <v>77034</v>
      </c>
      <c r="I74" s="7"/>
    </row>
    <row r="75" spans="1:9" ht="12.75">
      <c r="A75" s="21" t="s">
        <v>21</v>
      </c>
      <c r="B75" s="22"/>
      <c r="C75" s="22"/>
      <c r="D75" s="22"/>
      <c r="E75" s="23">
        <f>'$500MEC_60%&amp;40Deg'!J29</f>
        <v>29844155</v>
      </c>
      <c r="F75" s="67"/>
      <c r="G75" s="74"/>
      <c r="H75" s="23">
        <f>G76</f>
        <v>11938</v>
      </c>
      <c r="I75" s="23">
        <f>E75-H75</f>
        <v>29832217</v>
      </c>
    </row>
    <row r="76" spans="1:9" ht="12.75">
      <c r="A76" s="4" t="s">
        <v>140</v>
      </c>
      <c r="B76" s="8">
        <v>531692</v>
      </c>
      <c r="C76" s="8">
        <v>127</v>
      </c>
      <c r="D76" s="6" t="s">
        <v>83</v>
      </c>
      <c r="E76" s="7"/>
      <c r="F76" s="63">
        <f>TribesFY06BG!H73</f>
        <v>0.00040000044928943245</v>
      </c>
      <c r="G76" s="73">
        <f>ROUND($E$75*F76,0)</f>
        <v>11938</v>
      </c>
      <c r="I76" s="7"/>
    </row>
    <row r="77" spans="1:9" ht="12.75">
      <c r="A77" s="21" t="s">
        <v>22</v>
      </c>
      <c r="B77" s="22"/>
      <c r="C77" s="22"/>
      <c r="D77" s="22"/>
      <c r="E77" s="23">
        <f>'$500MEC_60%&amp;40Deg'!J30</f>
        <v>39205884</v>
      </c>
      <c r="F77" s="67"/>
      <c r="G77" s="74"/>
      <c r="H77" s="23">
        <f>SUM(G78:G83)</f>
        <v>268843</v>
      </c>
      <c r="I77" s="23">
        <f>E77-H77</f>
        <v>38937041</v>
      </c>
    </row>
    <row r="78" spans="1:9" ht="12.75">
      <c r="A78" s="4" t="s">
        <v>141</v>
      </c>
      <c r="B78" s="8">
        <v>856399</v>
      </c>
      <c r="C78" s="8">
        <v>335</v>
      </c>
      <c r="D78" s="6" t="s">
        <v>81</v>
      </c>
      <c r="E78" s="7"/>
      <c r="F78" s="63">
        <f>TribesFY06BG!H75</f>
        <v>0.00039117441817126345</v>
      </c>
      <c r="G78" s="73">
        <f aca="true" t="shared" si="3" ref="G78:G83">ROUND($E$77*F78,0)</f>
        <v>15336</v>
      </c>
      <c r="I78" s="7"/>
    </row>
    <row r="79" spans="1:9" ht="12.75">
      <c r="A79" s="26" t="s">
        <v>142</v>
      </c>
      <c r="B79" s="19">
        <v>856399</v>
      </c>
      <c r="C79" s="19">
        <v>1149</v>
      </c>
      <c r="D79" s="19" t="s">
        <v>81</v>
      </c>
      <c r="E79" s="20"/>
      <c r="F79" s="63">
        <f>TribesFY06BG!H76</f>
        <v>0.0013416672080235731</v>
      </c>
      <c r="G79" s="73">
        <f t="shared" si="3"/>
        <v>52601</v>
      </c>
      <c r="H79" s="20"/>
      <c r="I79" s="20"/>
    </row>
    <row r="80" spans="1:9" ht="12.75">
      <c r="A80" s="4" t="s">
        <v>143</v>
      </c>
      <c r="B80" s="8">
        <v>856399</v>
      </c>
      <c r="C80" s="8">
        <v>884</v>
      </c>
      <c r="D80" s="6" t="s">
        <v>81</v>
      </c>
      <c r="E80" s="7"/>
      <c r="F80" s="63">
        <f>TribesFY06BG!H77</f>
        <v>0.0010322249647498967</v>
      </c>
      <c r="G80" s="73">
        <f t="shared" si="3"/>
        <v>40469</v>
      </c>
      <c r="I80" s="7"/>
    </row>
    <row r="81" spans="1:7" ht="12.75">
      <c r="A81" s="4" t="s">
        <v>144</v>
      </c>
      <c r="B81" s="8">
        <v>856399</v>
      </c>
      <c r="C81" s="8">
        <v>162</v>
      </c>
      <c r="D81" s="6" t="s">
        <v>81</v>
      </c>
      <c r="E81" s="7"/>
      <c r="F81" s="63">
        <f>TribesFY06BG!H78</f>
        <v>0.00018916999220390892</v>
      </c>
      <c r="G81" s="73">
        <f t="shared" si="3"/>
        <v>7417</v>
      </c>
    </row>
    <row r="82" spans="1:7" ht="12.75">
      <c r="A82" s="4" t="s">
        <v>145</v>
      </c>
      <c r="B82" s="8">
        <v>856399</v>
      </c>
      <c r="C82" s="8">
        <v>555</v>
      </c>
      <c r="D82" s="6" t="s">
        <v>81</v>
      </c>
      <c r="E82" s="7"/>
      <c r="F82" s="63">
        <f>TribesFY06BG!H79</f>
        <v>0.0006480653552903159</v>
      </c>
      <c r="G82" s="73">
        <f t="shared" si="3"/>
        <v>25408</v>
      </c>
    </row>
    <row r="83" spans="1:7" ht="12.75">
      <c r="A83" s="4" t="s">
        <v>146</v>
      </c>
      <c r="B83" s="8">
        <v>856399</v>
      </c>
      <c r="C83" s="8">
        <v>1744</v>
      </c>
      <c r="D83" s="6" t="s">
        <v>127</v>
      </c>
      <c r="E83" s="7"/>
      <c r="F83" s="63">
        <f>TribesFY06BG!H80</f>
        <v>0.0032549172108230612</v>
      </c>
      <c r="G83" s="73">
        <f t="shared" si="3"/>
        <v>127612</v>
      </c>
    </row>
    <row r="84" spans="1:9" ht="12.75">
      <c r="A84" s="21" t="s">
        <v>24</v>
      </c>
      <c r="B84" s="22"/>
      <c r="C84" s="22"/>
      <c r="D84" s="22"/>
      <c r="E84" s="23">
        <f>'$500MEC_60%&amp;40Deg'!J32</f>
        <v>0</v>
      </c>
      <c r="F84" s="67"/>
      <c r="G84" s="74"/>
      <c r="H84" s="23">
        <f>$G85</f>
        <v>0</v>
      </c>
      <c r="I84" s="23">
        <f>$E84-$H84</f>
        <v>0</v>
      </c>
    </row>
    <row r="85" spans="1:9" ht="12.75">
      <c r="A85" s="4" t="s">
        <v>147</v>
      </c>
      <c r="B85" s="8">
        <v>319230</v>
      </c>
      <c r="C85" s="8">
        <v>605</v>
      </c>
      <c r="D85" s="6" t="s">
        <v>130</v>
      </c>
      <c r="E85" s="7"/>
      <c r="F85" s="63">
        <f>TribesFY06BG!H82</f>
        <v>0.0018951719179428148</v>
      </c>
      <c r="G85" s="73">
        <f>ROUND($E$84*F85,0)</f>
        <v>0</v>
      </c>
      <c r="I85" s="7"/>
    </row>
    <row r="86" spans="1:9" ht="12.75">
      <c r="A86" s="21" t="s">
        <v>26</v>
      </c>
      <c r="B86" s="22"/>
      <c r="C86" s="22"/>
      <c r="D86" s="22"/>
      <c r="E86" s="23">
        <f>'$500MEC_60%&amp;40Deg'!J34</f>
        <v>5232567</v>
      </c>
      <c r="F86" s="67"/>
      <c r="G86" s="74"/>
      <c r="H86" s="23">
        <f>SUM($G87:$G92)</f>
        <v>792248</v>
      </c>
      <c r="I86" s="23">
        <f>$E86-$H86</f>
        <v>4440319</v>
      </c>
    </row>
    <row r="87" spans="1:9" ht="12.75">
      <c r="A87" s="4" t="s">
        <v>148</v>
      </c>
      <c r="B87" s="8"/>
      <c r="C87" s="8">
        <v>928</v>
      </c>
      <c r="D87" s="6" t="s">
        <v>83</v>
      </c>
      <c r="E87" s="7"/>
      <c r="F87" s="63">
        <f>TribesFY06BG!H84</f>
        <v>0.02963704075974121</v>
      </c>
      <c r="G87" s="73">
        <f aca="true" t="shared" si="4" ref="G87:G92">ROUND($E$86*F87,0)</f>
        <v>155078</v>
      </c>
      <c r="I87" s="7"/>
    </row>
    <row r="88" spans="1:9" ht="12.75">
      <c r="A88" s="26" t="s">
        <v>149</v>
      </c>
      <c r="B88" s="19"/>
      <c r="C88" s="19">
        <v>1135</v>
      </c>
      <c r="D88" s="19" t="s">
        <v>83</v>
      </c>
      <c r="E88" s="20"/>
      <c r="F88" s="63">
        <f>TribesFY06BG!H85</f>
        <v>0.04791596870083401</v>
      </c>
      <c r="G88" s="73">
        <f t="shared" si="4"/>
        <v>250724</v>
      </c>
      <c r="H88" s="20"/>
      <c r="I88" s="20"/>
    </row>
    <row r="89" spans="1:9" ht="12.75">
      <c r="A89" s="4" t="s">
        <v>150</v>
      </c>
      <c r="C89" s="5">
        <v>246</v>
      </c>
      <c r="D89" s="6" t="s">
        <v>83</v>
      </c>
      <c r="E89" s="7"/>
      <c r="F89" s="63">
        <f>TribesFY06BG!H86</f>
        <v>0.013682038694840132</v>
      </c>
      <c r="G89" s="73">
        <f t="shared" si="4"/>
        <v>71592</v>
      </c>
      <c r="I89" s="12"/>
    </row>
    <row r="90" spans="1:7" ht="12.75">
      <c r="A90" s="4" t="s">
        <v>151</v>
      </c>
      <c r="C90" s="5">
        <v>871</v>
      </c>
      <c r="D90" s="6" t="s">
        <v>83</v>
      </c>
      <c r="E90" s="7"/>
      <c r="F90" s="63">
        <f>TribesFY06BG!H87</f>
        <v>0.027471045257612504</v>
      </c>
      <c r="G90" s="73">
        <f t="shared" si="4"/>
        <v>143744</v>
      </c>
    </row>
    <row r="91" spans="1:7" ht="12.75">
      <c r="A91" s="4" t="s">
        <v>152</v>
      </c>
      <c r="C91" s="5">
        <v>381</v>
      </c>
      <c r="D91" s="6" t="s">
        <v>83</v>
      </c>
      <c r="E91" s="7"/>
      <c r="F91" s="63">
        <f>TribesFY06BG!H88</f>
        <v>0.014597999267777356</v>
      </c>
      <c r="G91" s="73">
        <f t="shared" si="4"/>
        <v>76385</v>
      </c>
    </row>
    <row r="92" spans="1:7" ht="12.75">
      <c r="A92" s="4" t="s">
        <v>153</v>
      </c>
      <c r="C92" s="5">
        <v>536</v>
      </c>
      <c r="D92" s="6" t="s">
        <v>83</v>
      </c>
      <c r="E92" s="7"/>
      <c r="F92" s="63">
        <f>TribesFY06BG!H89</f>
        <v>0.018103021269756648</v>
      </c>
      <c r="G92" s="73">
        <f t="shared" si="4"/>
        <v>94725</v>
      </c>
    </row>
    <row r="93" spans="1:9" ht="12.75">
      <c r="A93" s="21" t="s">
        <v>27</v>
      </c>
      <c r="B93" s="22"/>
      <c r="C93" s="22"/>
      <c r="D93" s="22"/>
      <c r="E93" s="23">
        <f>'$500MEC_60%&amp;40Deg'!J35</f>
        <v>6553095</v>
      </c>
      <c r="F93" s="67"/>
      <c r="G93" s="74"/>
      <c r="H93" s="23">
        <f>G94</f>
        <v>1313</v>
      </c>
      <c r="I93" s="23">
        <f>$E93-$H93</f>
        <v>6551782</v>
      </c>
    </row>
    <row r="94" spans="1:7" ht="12.75">
      <c r="A94" s="4" t="s">
        <v>154</v>
      </c>
      <c r="B94" s="5">
        <v>136572</v>
      </c>
      <c r="D94" s="6" t="s">
        <v>127</v>
      </c>
      <c r="E94" s="7"/>
      <c r="F94" s="63">
        <f>TribesFY06BG!H91</f>
        <v>0.00020029078166414638</v>
      </c>
      <c r="G94" s="73">
        <f>ROUND($E$93*F94,0)</f>
        <v>1313</v>
      </c>
    </row>
    <row r="95" spans="1:9" ht="12.75">
      <c r="A95" s="21" t="s">
        <v>30</v>
      </c>
      <c r="B95" s="22"/>
      <c r="C95" s="22"/>
      <c r="D95" s="22"/>
      <c r="E95" s="23">
        <f>'$500MEC_60%&amp;40Deg'!J38</f>
        <v>27705656</v>
      </c>
      <c r="F95" s="67"/>
      <c r="G95" s="74"/>
      <c r="H95" s="23">
        <f>SUM($G96:G96)</f>
        <v>69268</v>
      </c>
      <c r="I95" s="23">
        <f>$E95-$H95</f>
        <v>27636388</v>
      </c>
    </row>
    <row r="96" spans="1:7" ht="12.75">
      <c r="A96" s="4" t="s">
        <v>155</v>
      </c>
      <c r="B96" s="5">
        <v>602367</v>
      </c>
      <c r="C96" s="5">
        <v>1506</v>
      </c>
      <c r="D96" s="6" t="s">
        <v>130</v>
      </c>
      <c r="E96" s="7"/>
      <c r="F96" s="63">
        <f>TribesFY06BG!H93</f>
        <v>0.002500132705898812</v>
      </c>
      <c r="G96" s="73">
        <f>ROUND($E$95*F96,0)</f>
        <v>69268</v>
      </c>
    </row>
    <row r="97" spans="1:9" ht="12.75">
      <c r="A97" s="21" t="s">
        <v>31</v>
      </c>
      <c r="B97" s="22"/>
      <c r="C97" s="22"/>
      <c r="D97" s="22"/>
      <c r="E97" s="23">
        <f>'$500MEC_60%&amp;40Deg'!J39</f>
        <v>0</v>
      </c>
      <c r="F97" s="67"/>
      <c r="G97" s="74"/>
      <c r="H97" s="23">
        <f>SUM($G98:$G102)</f>
        <v>0</v>
      </c>
      <c r="I97" s="23">
        <f>E97-H97</f>
        <v>0</v>
      </c>
    </row>
    <row r="98" spans="1:9" ht="12.75">
      <c r="A98" s="4" t="s">
        <v>156</v>
      </c>
      <c r="B98" s="8">
        <v>154990</v>
      </c>
      <c r="C98" s="8">
        <v>262</v>
      </c>
      <c r="D98" s="6" t="s">
        <v>130</v>
      </c>
      <c r="E98" s="7"/>
      <c r="F98" s="63">
        <f>TribesFY06BG!H95</f>
        <v>0.0016904425507820414</v>
      </c>
      <c r="G98" s="73">
        <f>ROUND($E$97*F98,0)</f>
        <v>0</v>
      </c>
      <c r="I98" s="7"/>
    </row>
    <row r="99" spans="1:9" ht="12.75">
      <c r="A99" s="26" t="s">
        <v>157</v>
      </c>
      <c r="B99" s="19">
        <v>154990</v>
      </c>
      <c r="C99" s="19">
        <v>261</v>
      </c>
      <c r="D99" s="19" t="s">
        <v>130</v>
      </c>
      <c r="E99" s="20"/>
      <c r="F99" s="63">
        <f>TribesFY06BG!H96</f>
        <v>0.0016840692184147711</v>
      </c>
      <c r="G99" s="73">
        <f>ROUND($E$97*F99,0)</f>
        <v>0</v>
      </c>
      <c r="H99" s="20"/>
      <c r="I99" s="20"/>
    </row>
    <row r="100" spans="1:9" ht="12.75">
      <c r="A100" s="4" t="s">
        <v>158</v>
      </c>
      <c r="B100" s="8">
        <v>154990</v>
      </c>
      <c r="C100" s="8">
        <v>9939</v>
      </c>
      <c r="D100" s="6" t="s">
        <v>130</v>
      </c>
      <c r="E100" s="7"/>
      <c r="F100" s="63">
        <f>TribesFY06BG!H97</f>
        <v>0.06412670922710934</v>
      </c>
      <c r="G100" s="73">
        <f>ROUND($E$97*F100,0)</f>
        <v>0</v>
      </c>
      <c r="I100" s="7"/>
    </row>
    <row r="101" spans="1:9" ht="12.75">
      <c r="A101" s="4" t="s">
        <v>159</v>
      </c>
      <c r="B101" s="8">
        <v>154990</v>
      </c>
      <c r="C101" s="8">
        <v>200</v>
      </c>
      <c r="D101" s="6" t="s">
        <v>130</v>
      </c>
      <c r="E101" s="7"/>
      <c r="F101" s="63">
        <f>TribesFY06BG!H98</f>
        <v>0.0012904320850994173</v>
      </c>
      <c r="G101" s="73">
        <f>ROUND($E$97*F101,0)</f>
        <v>0</v>
      </c>
      <c r="I101" s="7"/>
    </row>
    <row r="102" spans="1:9" ht="12.75">
      <c r="A102" s="4" t="s">
        <v>160</v>
      </c>
      <c r="B102" s="8">
        <v>154990</v>
      </c>
      <c r="C102" s="8">
        <v>952</v>
      </c>
      <c r="D102" s="6" t="s">
        <v>130</v>
      </c>
      <c r="E102" s="7"/>
      <c r="F102" s="63">
        <f>TribesFY06BG!H99</f>
        <v>0.006142299068956773</v>
      </c>
      <c r="G102" s="73">
        <f>ROUND($E$97*F102,0)</f>
        <v>0</v>
      </c>
      <c r="I102" s="7"/>
    </row>
    <row r="103" spans="1:9" ht="12.75">
      <c r="A103" s="21" t="s">
        <v>32</v>
      </c>
      <c r="B103" s="22"/>
      <c r="C103" s="22"/>
      <c r="D103" s="22"/>
      <c r="E103" s="23">
        <f>'$500MEC_60%&amp;40Deg'!J40</f>
        <v>90463157</v>
      </c>
      <c r="F103" s="67"/>
      <c r="G103" s="74"/>
      <c r="H103" s="23">
        <f>SUM($G104:$G105)</f>
        <v>48180</v>
      </c>
      <c r="I103" s="23">
        <f>$E103-$H103</f>
        <v>90414977</v>
      </c>
    </row>
    <row r="104" spans="1:9" ht="12.75">
      <c r="A104" s="4" t="s">
        <v>161</v>
      </c>
      <c r="B104" s="8">
        <v>1622237</v>
      </c>
      <c r="C104" s="8">
        <v>547</v>
      </c>
      <c r="D104" s="6" t="s">
        <v>81</v>
      </c>
      <c r="E104" s="7"/>
      <c r="F104" s="63">
        <f>TribesFY06BG!H101</f>
        <v>0.00033718993978319045</v>
      </c>
      <c r="G104" s="73">
        <f>ROUND($E$103*F104,0)</f>
        <v>30503</v>
      </c>
      <c r="I104" s="7"/>
    </row>
    <row r="105" spans="1:9" ht="12.75">
      <c r="A105" s="26" t="s">
        <v>162</v>
      </c>
      <c r="B105" s="19">
        <v>1622237</v>
      </c>
      <c r="C105" s="19">
        <v>317</v>
      </c>
      <c r="D105" s="19" t="s">
        <v>81</v>
      </c>
      <c r="E105" s="20"/>
      <c r="F105" s="63">
        <f>TribesFY06BG!H102</f>
        <v>0.00019540648295851424</v>
      </c>
      <c r="G105" s="73">
        <f>ROUND($E$103*F105,0)</f>
        <v>17677</v>
      </c>
      <c r="H105" s="20"/>
      <c r="I105" s="20"/>
    </row>
    <row r="106" spans="1:9" ht="12.75">
      <c r="A106" s="21" t="s">
        <v>33</v>
      </c>
      <c r="B106" s="22"/>
      <c r="C106" s="22"/>
      <c r="D106" s="22"/>
      <c r="E106" s="23">
        <f>'$500MEC_60%&amp;40Deg'!J41</f>
        <v>0</v>
      </c>
      <c r="F106" s="67"/>
      <c r="G106" s="74"/>
      <c r="H106" s="23">
        <f>$G107</f>
        <v>0</v>
      </c>
      <c r="I106" s="23">
        <f>E106-H106</f>
        <v>0</v>
      </c>
    </row>
    <row r="107" spans="1:9" ht="12.75">
      <c r="A107" s="4" t="s">
        <v>163</v>
      </c>
      <c r="B107" s="8">
        <v>618221</v>
      </c>
      <c r="C107" s="8">
        <v>6441</v>
      </c>
      <c r="D107" s="6" t="s">
        <v>83</v>
      </c>
      <c r="E107" s="7"/>
      <c r="F107" s="63">
        <f>TribesFY06BG!H104</f>
        <v>0.01778430810538747</v>
      </c>
      <c r="G107" s="73">
        <f>ROUND($E$106*F107,0)</f>
        <v>0</v>
      </c>
      <c r="I107" s="7"/>
    </row>
    <row r="108" spans="1:9" ht="12.75">
      <c r="A108" s="21" t="s">
        <v>34</v>
      </c>
      <c r="B108" s="22"/>
      <c r="C108" s="22"/>
      <c r="D108" s="22" t="s">
        <v>58</v>
      </c>
      <c r="E108" s="23">
        <f>'$500MEC_60%&amp;40Deg'!J42</f>
        <v>5684151</v>
      </c>
      <c r="F108" s="67"/>
      <c r="G108" s="74"/>
      <c r="H108" s="23">
        <f>SUM(G109:G112)</f>
        <v>1245398</v>
      </c>
      <c r="I108" s="23">
        <f>E108-H108</f>
        <v>4438753</v>
      </c>
    </row>
    <row r="109" spans="1:9" ht="12.75">
      <c r="A109" s="4" t="s">
        <v>164</v>
      </c>
      <c r="B109" s="8"/>
      <c r="C109" s="8"/>
      <c r="D109" s="6" t="s">
        <v>83</v>
      </c>
      <c r="E109" s="7"/>
      <c r="F109" s="63">
        <f>TribesFY06BG!H106</f>
        <v>0.04500004724142054</v>
      </c>
      <c r="G109" s="73">
        <f>ROUND($E$108*F109,0)</f>
        <v>255787</v>
      </c>
      <c r="I109" s="7"/>
    </row>
    <row r="110" spans="1:9" ht="12.75">
      <c r="A110" s="26" t="s">
        <v>165</v>
      </c>
      <c r="B110" s="19"/>
      <c r="C110" s="19"/>
      <c r="D110" s="19" t="s">
        <v>83</v>
      </c>
      <c r="E110" s="20"/>
      <c r="F110" s="63">
        <f>TribesFY06BG!H107</f>
        <v>0.038999949918632794</v>
      </c>
      <c r="G110" s="73">
        <f>ROUND($E$108*F110,0)</f>
        <v>221682</v>
      </c>
      <c r="H110" s="20"/>
      <c r="I110" s="20"/>
    </row>
    <row r="111" spans="1:9" ht="12.75">
      <c r="A111" s="4" t="s">
        <v>166</v>
      </c>
      <c r="D111" s="6" t="s">
        <v>83</v>
      </c>
      <c r="E111" s="7"/>
      <c r="F111" s="63">
        <f>TribesFY06BG!H108</f>
        <v>0.038999949918632794</v>
      </c>
      <c r="G111" s="73">
        <f>ROUND($E$108*F111,0)</f>
        <v>221682</v>
      </c>
      <c r="I111" s="7"/>
    </row>
    <row r="112" spans="1:9" ht="12.75">
      <c r="A112" s="4" t="s">
        <v>167</v>
      </c>
      <c r="D112" s="6" t="s">
        <v>83</v>
      </c>
      <c r="E112" s="7"/>
      <c r="F112" s="63">
        <f>TribesFY06BG!H109</f>
        <v>0.09609997223952133</v>
      </c>
      <c r="G112" s="73">
        <f>ROUND($E$108*F112,0)</f>
        <v>546247</v>
      </c>
      <c r="I112" s="7"/>
    </row>
    <row r="113" spans="1:9" ht="12.75">
      <c r="A113" s="21" t="s">
        <v>36</v>
      </c>
      <c r="B113" s="22"/>
      <c r="C113" s="22"/>
      <c r="D113" s="22"/>
      <c r="E113" s="23">
        <f>'$500MEC_60%&amp;40Deg'!J44</f>
        <v>0</v>
      </c>
      <c r="F113" s="67"/>
      <c r="G113" s="74"/>
      <c r="H113" s="23">
        <f>SUM(G114:G142)</f>
        <v>0</v>
      </c>
      <c r="I113" s="23">
        <f>E113-H113</f>
        <v>0</v>
      </c>
    </row>
    <row r="114" spans="1:9" ht="12.75">
      <c r="A114" s="4" t="s">
        <v>168</v>
      </c>
      <c r="B114" s="5">
        <v>334782</v>
      </c>
      <c r="C114" s="5">
        <v>195</v>
      </c>
      <c r="D114" s="6" t="s">
        <v>81</v>
      </c>
      <c r="E114" s="7"/>
      <c r="F114" s="63">
        <f>TribesFY06BG!H111</f>
        <v>0.0005825158248684675</v>
      </c>
      <c r="G114" s="73">
        <f>ROUND($E$113*F114,0)</f>
        <v>0</v>
      </c>
      <c r="I114" s="7"/>
    </row>
    <row r="115" spans="1:9" ht="12.75">
      <c r="A115" s="26" t="s">
        <v>169</v>
      </c>
      <c r="B115" s="19">
        <v>334782</v>
      </c>
      <c r="C115" s="19">
        <v>125</v>
      </c>
      <c r="D115" s="19" t="s">
        <v>81</v>
      </c>
      <c r="E115" s="20"/>
      <c r="F115" s="63">
        <f>TribesFY06BG!H112</f>
        <v>0.00037334521552112636</v>
      </c>
      <c r="G115" s="73">
        <f aca="true" t="shared" si="5" ref="G115:G142">ROUND($E$113*F115,0)</f>
        <v>0</v>
      </c>
      <c r="H115" s="20"/>
      <c r="I115" s="20"/>
    </row>
    <row r="116" spans="1:9" ht="12.75">
      <c r="A116" s="4" t="s">
        <v>170</v>
      </c>
      <c r="B116" s="8">
        <v>334782</v>
      </c>
      <c r="C116" s="8">
        <v>168</v>
      </c>
      <c r="D116" s="6" t="s">
        <v>81</v>
      </c>
      <c r="E116" s="7"/>
      <c r="F116" s="63">
        <f>TribesFY06BG!H113</f>
        <v>0.0005018009867432394</v>
      </c>
      <c r="G116" s="73">
        <f t="shared" si="5"/>
        <v>0</v>
      </c>
      <c r="I116" s="7"/>
    </row>
    <row r="117" spans="1:9" ht="12.75">
      <c r="A117" s="4" t="s">
        <v>171</v>
      </c>
      <c r="B117" s="8">
        <v>334782</v>
      </c>
      <c r="C117" s="8">
        <v>196</v>
      </c>
      <c r="D117" s="6" t="s">
        <v>81</v>
      </c>
      <c r="E117" s="7"/>
      <c r="F117" s="63">
        <f>TribesFY06BG!H114</f>
        <v>0.0005854692304821758</v>
      </c>
      <c r="G117" s="73">
        <f t="shared" si="5"/>
        <v>0</v>
      </c>
      <c r="I117" s="7"/>
    </row>
    <row r="118" spans="1:9" ht="12.75">
      <c r="A118" s="4" t="s">
        <v>172</v>
      </c>
      <c r="B118" s="8">
        <v>334782</v>
      </c>
      <c r="C118" s="8">
        <v>12117</v>
      </c>
      <c r="D118" s="6" t="s">
        <v>81</v>
      </c>
      <c r="E118" s="7"/>
      <c r="F118" s="63">
        <f>TribesFY06BG!H115</f>
        <v>0.03619367308245971</v>
      </c>
      <c r="G118" s="73">
        <f t="shared" si="5"/>
        <v>0</v>
      </c>
      <c r="I118" s="7" t="s">
        <v>58</v>
      </c>
    </row>
    <row r="119" spans="1:9" ht="12.75">
      <c r="A119" s="4" t="s">
        <v>173</v>
      </c>
      <c r="B119" s="8">
        <v>334782</v>
      </c>
      <c r="C119" s="8">
        <v>635</v>
      </c>
      <c r="D119" s="6" t="s">
        <v>81</v>
      </c>
      <c r="E119" s="7"/>
      <c r="F119" s="63">
        <f>TribesFY06BG!H116</f>
        <v>0.0018967813229686633</v>
      </c>
      <c r="G119" s="73">
        <f t="shared" si="5"/>
        <v>0</v>
      </c>
      <c r="I119" s="7"/>
    </row>
    <row r="120" spans="1:9" ht="12.75">
      <c r="A120" s="4" t="s">
        <v>174</v>
      </c>
      <c r="B120" s="8">
        <v>334782</v>
      </c>
      <c r="C120" s="8">
        <v>1377</v>
      </c>
      <c r="D120" s="6" t="s">
        <v>83</v>
      </c>
      <c r="E120" s="7"/>
      <c r="F120" s="63">
        <f>TribesFY06BG!H117</f>
        <v>0.004872737057186341</v>
      </c>
      <c r="G120" s="73">
        <f t="shared" si="5"/>
        <v>0</v>
      </c>
      <c r="I120" s="13"/>
    </row>
    <row r="121" spans="1:9" ht="12.75">
      <c r="A121" s="4" t="s">
        <v>175</v>
      </c>
      <c r="B121" s="8">
        <v>334782</v>
      </c>
      <c r="C121" s="8">
        <v>4412</v>
      </c>
      <c r="D121" s="6" t="s">
        <v>83</v>
      </c>
      <c r="E121" s="7"/>
      <c r="F121" s="63">
        <f>TribesFY06BG!H118</f>
        <v>0.013680035818903284</v>
      </c>
      <c r="G121" s="73">
        <f t="shared" si="5"/>
        <v>0</v>
      </c>
      <c r="I121" s="7" t="s">
        <v>58</v>
      </c>
    </row>
    <row r="122" spans="1:9" ht="12.75">
      <c r="A122" s="4" t="s">
        <v>176</v>
      </c>
      <c r="B122" s="8">
        <v>334782</v>
      </c>
      <c r="C122" s="8">
        <v>256</v>
      </c>
      <c r="D122" s="6" t="s">
        <v>81</v>
      </c>
      <c r="E122" s="7"/>
      <c r="F122" s="63">
        <f>TribesFY06BG!H119</f>
        <v>0.0007646540863632784</v>
      </c>
      <c r="G122" s="73">
        <f t="shared" si="5"/>
        <v>0</v>
      </c>
      <c r="I122" s="7"/>
    </row>
    <row r="123" spans="1:9" ht="12.75">
      <c r="A123" s="4" t="s">
        <v>177</v>
      </c>
      <c r="B123" s="8">
        <v>334782</v>
      </c>
      <c r="C123" s="8">
        <v>696</v>
      </c>
      <c r="D123" s="6" t="s">
        <v>83</v>
      </c>
      <c r="E123" s="7"/>
      <c r="F123" s="63">
        <f>TribesFY06BG!H120</f>
        <v>0.002184304045950266</v>
      </c>
      <c r="G123" s="73">
        <f t="shared" si="5"/>
        <v>0</v>
      </c>
      <c r="I123" s="13"/>
    </row>
    <row r="124" spans="1:9" ht="12.75">
      <c r="A124" s="4" t="s">
        <v>178</v>
      </c>
      <c r="B124" s="8">
        <v>334782</v>
      </c>
      <c r="C124" s="8"/>
      <c r="D124" s="6" t="s">
        <v>127</v>
      </c>
      <c r="E124" s="7"/>
      <c r="F124" s="63">
        <f>TribesFY06BG!H121</f>
        <v>0.00025948274262557205</v>
      </c>
      <c r="G124" s="73">
        <f t="shared" si="5"/>
        <v>0</v>
      </c>
      <c r="I124" s="7"/>
    </row>
    <row r="125" spans="1:9" ht="12.75">
      <c r="A125" s="4" t="s">
        <v>179</v>
      </c>
      <c r="B125" s="8">
        <v>334782</v>
      </c>
      <c r="C125" s="8"/>
      <c r="D125" s="6" t="s">
        <v>127</v>
      </c>
      <c r="E125" s="7"/>
      <c r="F125" s="63">
        <f>TribesFY06BG!H122</f>
        <v>0.00025948274262557205</v>
      </c>
      <c r="G125" s="73">
        <f t="shared" si="5"/>
        <v>0</v>
      </c>
      <c r="I125" s="7"/>
    </row>
    <row r="126" spans="1:9" ht="12.75">
      <c r="A126" s="4" t="s">
        <v>180</v>
      </c>
      <c r="B126" s="8">
        <v>334782</v>
      </c>
      <c r="C126" s="8">
        <v>170</v>
      </c>
      <c r="D126" s="6" t="s">
        <v>81</v>
      </c>
      <c r="E126" s="7"/>
      <c r="F126" s="63">
        <f>TribesFY06BG!H123</f>
        <v>0.0005077772898674491</v>
      </c>
      <c r="G126" s="73">
        <f t="shared" si="5"/>
        <v>0</v>
      </c>
      <c r="I126" s="7"/>
    </row>
    <row r="127" spans="1:9" ht="12.75">
      <c r="A127" s="4" t="s">
        <v>181</v>
      </c>
      <c r="B127" s="8">
        <v>334782</v>
      </c>
      <c r="C127" s="8">
        <v>100</v>
      </c>
      <c r="D127" s="6" t="s">
        <v>127</v>
      </c>
      <c r="E127" s="7"/>
      <c r="F127" s="63">
        <f>TribesFY06BG!H124</f>
        <v>0.00029867617241690107</v>
      </c>
      <c r="G127" s="73">
        <f t="shared" si="5"/>
        <v>0</v>
      </c>
      <c r="I127" s="7"/>
    </row>
    <row r="128" spans="1:7" ht="12.75">
      <c r="A128" s="4" t="s">
        <v>182</v>
      </c>
      <c r="B128" s="8">
        <v>334782</v>
      </c>
      <c r="C128" s="8" t="s">
        <v>58</v>
      </c>
      <c r="D128" s="6" t="s">
        <v>127</v>
      </c>
      <c r="F128" s="63">
        <f>TribesFY06BG!H125</f>
        <v>0.00025948274262557205</v>
      </c>
      <c r="G128" s="73">
        <f t="shared" si="5"/>
        <v>0</v>
      </c>
    </row>
    <row r="129" spans="1:9" ht="12.75">
      <c r="A129" s="4" t="s">
        <v>183</v>
      </c>
      <c r="B129" s="8">
        <v>334782</v>
      </c>
      <c r="C129" s="8">
        <v>3057</v>
      </c>
      <c r="D129" s="6" t="s">
        <v>81</v>
      </c>
      <c r="E129" s="7"/>
      <c r="F129" s="63">
        <f>TribesFY06BG!H126</f>
        <v>0.009131304730514942</v>
      </c>
      <c r="G129" s="73">
        <f t="shared" si="5"/>
        <v>0</v>
      </c>
      <c r="I129" s="7"/>
    </row>
    <row r="130" spans="1:9" ht="12.75">
      <c r="A130" s="4" t="s">
        <v>184</v>
      </c>
      <c r="B130" s="8">
        <v>334782</v>
      </c>
      <c r="C130" s="8">
        <v>678</v>
      </c>
      <c r="D130" s="6" t="s">
        <v>83</v>
      </c>
      <c r="E130" s="7"/>
      <c r="F130" s="63">
        <f>TribesFY06BG!H127</f>
        <v>0.003458472719600822</v>
      </c>
      <c r="G130" s="73">
        <f t="shared" si="5"/>
        <v>0</v>
      </c>
      <c r="I130" s="7"/>
    </row>
    <row r="131" spans="1:7" ht="12.75">
      <c r="A131" s="4" t="s">
        <v>185</v>
      </c>
      <c r="B131" s="8">
        <v>334782</v>
      </c>
      <c r="C131" s="4">
        <v>92</v>
      </c>
      <c r="D131" s="6" t="s">
        <v>127</v>
      </c>
      <c r="F131" s="63">
        <f>TribesFY06BG!H128</f>
        <v>0.00027480570586845866</v>
      </c>
      <c r="G131" s="73">
        <f t="shared" si="5"/>
        <v>0</v>
      </c>
    </row>
    <row r="132" spans="1:9" ht="12.75">
      <c r="A132" s="4" t="s">
        <v>186</v>
      </c>
      <c r="B132" s="8">
        <v>334782</v>
      </c>
      <c r="C132" s="8">
        <v>23</v>
      </c>
      <c r="D132" s="6" t="s">
        <v>127</v>
      </c>
      <c r="E132" s="7"/>
      <c r="F132" s="63">
        <f>TribesFY06BG!H129</f>
        <v>0.00025948274262557205</v>
      </c>
      <c r="G132" s="73">
        <f t="shared" si="5"/>
        <v>0</v>
      </c>
      <c r="I132" s="7"/>
    </row>
    <row r="133" spans="1:9" ht="12.75">
      <c r="A133" s="4" t="s">
        <v>187</v>
      </c>
      <c r="B133" s="8">
        <v>334782</v>
      </c>
      <c r="C133" s="8">
        <v>104</v>
      </c>
      <c r="D133" s="6" t="s">
        <v>127</v>
      </c>
      <c r="E133" s="7"/>
      <c r="F133" s="63">
        <f>TribesFY06BG!H130</f>
        <v>0.00031066352461371714</v>
      </c>
      <c r="G133" s="73">
        <f t="shared" si="5"/>
        <v>0</v>
      </c>
      <c r="I133" s="7"/>
    </row>
    <row r="134" spans="1:9" ht="12.75">
      <c r="A134" s="4" t="s">
        <v>188</v>
      </c>
      <c r="B134" s="8">
        <v>334782</v>
      </c>
      <c r="C134" s="8">
        <v>225</v>
      </c>
      <c r="D134" s="6" t="s">
        <v>81</v>
      </c>
      <c r="E134" s="7"/>
      <c r="F134" s="63">
        <f>TribesFY06BG!H131</f>
        <v>0.0006720908798348205</v>
      </c>
      <c r="G134" s="73">
        <f t="shared" si="5"/>
        <v>0</v>
      </c>
      <c r="I134" s="7"/>
    </row>
    <row r="135" spans="1:9" ht="12.75">
      <c r="A135" s="4" t="s">
        <v>189</v>
      </c>
      <c r="B135" s="8">
        <v>334782</v>
      </c>
      <c r="C135" s="8">
        <v>246</v>
      </c>
      <c r="D135" s="6" t="s">
        <v>81</v>
      </c>
      <c r="E135" s="7"/>
      <c r="F135" s="63">
        <f>TribesFY06BG!H132</f>
        <v>0.0007348073166906263</v>
      </c>
      <c r="G135" s="73">
        <f t="shared" si="5"/>
        <v>0</v>
      </c>
      <c r="I135" s="7"/>
    </row>
    <row r="136" spans="1:9" ht="12.75">
      <c r="A136" s="4" t="s">
        <v>190</v>
      </c>
      <c r="B136" s="8">
        <v>334782</v>
      </c>
      <c r="C136" s="8">
        <v>194</v>
      </c>
      <c r="D136" s="6" t="s">
        <v>83</v>
      </c>
      <c r="E136" s="7"/>
      <c r="F136" s="63">
        <f>TribesFY06BG!H133</f>
        <v>0.0006441203913755831</v>
      </c>
      <c r="G136" s="73">
        <f t="shared" si="5"/>
        <v>0</v>
      </c>
      <c r="I136" s="7"/>
    </row>
    <row r="137" spans="1:7" ht="12.75">
      <c r="A137" s="4" t="s">
        <v>191</v>
      </c>
      <c r="B137" s="8">
        <v>334782</v>
      </c>
      <c r="C137" s="8">
        <v>606</v>
      </c>
      <c r="D137" s="6" t="s">
        <v>81</v>
      </c>
      <c r="F137" s="63">
        <f>TribesFY06BG!H134</f>
        <v>0.0018100901817192253</v>
      </c>
      <c r="G137" s="73">
        <f t="shared" si="5"/>
        <v>0</v>
      </c>
    </row>
    <row r="138" spans="1:7" ht="12.75">
      <c r="A138" s="4" t="s">
        <v>192</v>
      </c>
      <c r="B138" s="8">
        <v>334782</v>
      </c>
      <c r="C138" s="8">
        <v>119</v>
      </c>
      <c r="D138" s="6" t="s">
        <v>127</v>
      </c>
      <c r="F138" s="63">
        <f>TribesFY06BG!H135</f>
        <v>0.00035545105209689365</v>
      </c>
      <c r="G138" s="73">
        <f t="shared" si="5"/>
        <v>0</v>
      </c>
    </row>
    <row r="139" spans="1:9" ht="12.75">
      <c r="A139" s="4" t="s">
        <v>193</v>
      </c>
      <c r="B139" s="8">
        <v>334782</v>
      </c>
      <c r="C139" s="8"/>
      <c r="D139" s="6" t="s">
        <v>127</v>
      </c>
      <c r="E139" s="7"/>
      <c r="F139" s="63">
        <f>TribesFY06BG!H136</f>
        <v>0.00025948274262557205</v>
      </c>
      <c r="G139" s="73">
        <f t="shared" si="5"/>
        <v>0</v>
      </c>
      <c r="I139" s="7"/>
    </row>
    <row r="140" spans="1:9" ht="12.75">
      <c r="A140" s="4" t="s">
        <v>194</v>
      </c>
      <c r="B140" s="8">
        <v>334782</v>
      </c>
      <c r="C140" s="8">
        <v>34</v>
      </c>
      <c r="D140" s="6" t="s">
        <v>127</v>
      </c>
      <c r="E140" s="7"/>
      <c r="F140" s="63">
        <f>TribesFY06BG!H137</f>
        <v>0.00025948274262557205</v>
      </c>
      <c r="G140" s="73">
        <f t="shared" si="5"/>
        <v>0</v>
      </c>
      <c r="I140" s="7"/>
    </row>
    <row r="141" spans="1:9" ht="12.75">
      <c r="A141" s="4" t="s">
        <v>195</v>
      </c>
      <c r="B141" s="8">
        <v>334782</v>
      </c>
      <c r="C141" s="8">
        <v>2600</v>
      </c>
      <c r="D141" s="6" t="s">
        <v>81</v>
      </c>
      <c r="E141" s="7"/>
      <c r="F141" s="63">
        <f>TribesFY06BG!H138</f>
        <v>0.007766240655858962</v>
      </c>
      <c r="G141" s="73">
        <f t="shared" si="5"/>
        <v>0</v>
      </c>
      <c r="I141" s="7"/>
    </row>
    <row r="142" spans="1:9" ht="12.75">
      <c r="A142" s="4" t="s">
        <v>196</v>
      </c>
      <c r="B142" s="8">
        <v>334782</v>
      </c>
      <c r="C142" s="8">
        <v>89</v>
      </c>
      <c r="D142" s="6" t="s">
        <v>127</v>
      </c>
      <c r="E142" s="7"/>
      <c r="F142" s="63">
        <f>TribesFY06BG!H139</f>
        <v>0.00026584125118214405</v>
      </c>
      <c r="G142" s="73">
        <f t="shared" si="5"/>
        <v>0</v>
      </c>
      <c r="I142" s="7"/>
    </row>
    <row r="143" spans="1:9" ht="12.75">
      <c r="A143" s="21" t="s">
        <v>37</v>
      </c>
      <c r="B143" s="22"/>
      <c r="C143" s="22"/>
      <c r="D143" s="22" t="s">
        <v>58</v>
      </c>
      <c r="E143" s="23">
        <f>'$500MEC_60%&amp;40Deg'!J45</f>
        <v>0</v>
      </c>
      <c r="F143" s="67"/>
      <c r="G143" s="74"/>
      <c r="H143" s="23">
        <f>SUM(G144:G148)</f>
        <v>0</v>
      </c>
      <c r="I143" s="23">
        <f>E143-H143</f>
        <v>0</v>
      </c>
    </row>
    <row r="144" spans="1:9" ht="12.75">
      <c r="A144" s="4" t="s">
        <v>197</v>
      </c>
      <c r="B144" s="8">
        <v>239405</v>
      </c>
      <c r="C144" s="8"/>
      <c r="D144" s="6" t="s">
        <v>127</v>
      </c>
      <c r="E144" s="7"/>
      <c r="F144" s="63">
        <f>TribesFY06BG!H141</f>
        <v>0.0048885253481238304</v>
      </c>
      <c r="G144" s="73">
        <f>ROUND($E$143*F144,0)</f>
        <v>0</v>
      </c>
      <c r="I144" s="7"/>
    </row>
    <row r="145" spans="1:9" ht="12.75">
      <c r="A145" s="4" t="s">
        <v>198</v>
      </c>
      <c r="B145" s="8">
        <v>239405</v>
      </c>
      <c r="C145" s="8">
        <v>150</v>
      </c>
      <c r="D145" s="6" t="s">
        <v>130</v>
      </c>
      <c r="E145" s="7"/>
      <c r="F145" s="63">
        <f>TribesFY06BG!H142</f>
        <v>0.0006265588487713115</v>
      </c>
      <c r="G145" s="73">
        <f>ROUND($E$143*F145,0)</f>
        <v>0</v>
      </c>
      <c r="I145" s="7"/>
    </row>
    <row r="146" spans="1:9" ht="12.75">
      <c r="A146" s="26" t="s">
        <v>199</v>
      </c>
      <c r="B146" s="19">
        <v>239405</v>
      </c>
      <c r="C146" s="19"/>
      <c r="D146" s="19" t="s">
        <v>127</v>
      </c>
      <c r="E146" s="20"/>
      <c r="F146" s="63">
        <f>TribesFY06BG!H143</f>
        <v>0.004716595778250706</v>
      </c>
      <c r="G146" s="73">
        <f>ROUND($E$143*F146,0)</f>
        <v>0</v>
      </c>
      <c r="H146" s="20"/>
      <c r="I146" s="20"/>
    </row>
    <row r="147" spans="1:9" ht="12.75">
      <c r="A147" s="4" t="s">
        <v>200</v>
      </c>
      <c r="B147" s="8">
        <v>239405</v>
      </c>
      <c r="D147" s="6" t="s">
        <v>127</v>
      </c>
      <c r="E147" s="7"/>
      <c r="F147" s="63">
        <f>TribesFY06BG!H144</f>
        <v>0.000493585884370858</v>
      </c>
      <c r="G147" s="73">
        <f>ROUND($E$143*F147,0)</f>
        <v>0</v>
      </c>
      <c r="H147" s="7"/>
      <c r="I147" s="7"/>
    </row>
    <row r="148" spans="1:9" ht="12.75">
      <c r="A148" s="4" t="s">
        <v>201</v>
      </c>
      <c r="B148" s="8">
        <v>239405</v>
      </c>
      <c r="D148" s="6" t="s">
        <v>83</v>
      </c>
      <c r="E148" s="7"/>
      <c r="F148" s="63">
        <f>TribesFY06BG!H145</f>
        <v>0.006999989630548648</v>
      </c>
      <c r="G148" s="73">
        <f>ROUND($E$143*F148,0)</f>
        <v>0</v>
      </c>
      <c r="H148" s="7"/>
      <c r="I148" s="7"/>
    </row>
    <row r="149" spans="1:9" ht="12.75">
      <c r="A149" s="21" t="s">
        <v>39</v>
      </c>
      <c r="B149" s="22"/>
      <c r="C149" s="22"/>
      <c r="D149" s="22"/>
      <c r="E149" s="23">
        <f>'$500MEC_60%&amp;40Deg'!J47</f>
        <v>4912518</v>
      </c>
      <c r="F149" s="67"/>
      <c r="G149" s="74"/>
      <c r="H149" s="23">
        <f>$G150</f>
        <v>13920</v>
      </c>
      <c r="I149" s="23">
        <f>$E149-$H149</f>
        <v>4898598</v>
      </c>
    </row>
    <row r="150" spans="1:9" ht="12.75">
      <c r="A150" s="4" t="s">
        <v>202</v>
      </c>
      <c r="B150" s="8">
        <v>84702</v>
      </c>
      <c r="C150" s="5">
        <v>240</v>
      </c>
      <c r="D150" s="6" t="s">
        <v>81</v>
      </c>
      <c r="E150" s="7"/>
      <c r="F150" s="63">
        <f>TribesFY06BG!H147</f>
        <v>0.0028335063660209765</v>
      </c>
      <c r="G150" s="73">
        <f>ROUND($E$149*F150,0)</f>
        <v>13920</v>
      </c>
      <c r="H150" s="7"/>
      <c r="I150" s="7"/>
    </row>
    <row r="151" spans="1:9" ht="12.75">
      <c r="A151" s="21" t="s">
        <v>41</v>
      </c>
      <c r="B151" s="22"/>
      <c r="C151" s="22"/>
      <c r="D151" s="22" t="s">
        <v>58</v>
      </c>
      <c r="E151" s="23">
        <f>'$500MEC_60%&amp;40Deg'!J49</f>
        <v>4616526</v>
      </c>
      <c r="F151" s="67"/>
      <c r="G151" s="74"/>
      <c r="H151" s="23">
        <f>SUM(G152:G158)</f>
        <v>820819</v>
      </c>
      <c r="I151" s="23">
        <f>E151-H151</f>
        <v>3795707</v>
      </c>
    </row>
    <row r="152" spans="1:9" ht="12.75">
      <c r="A152" s="26" t="s">
        <v>203</v>
      </c>
      <c r="B152" s="19"/>
      <c r="C152" s="19"/>
      <c r="D152" s="19" t="s">
        <v>83</v>
      </c>
      <c r="E152" s="20"/>
      <c r="F152" s="63">
        <f>TribesFY06BG!H149</f>
        <v>0.028200013825481006</v>
      </c>
      <c r="G152" s="73">
        <f>ROUND($E$151*F152,0)</f>
        <v>130186</v>
      </c>
      <c r="H152" s="20"/>
      <c r="I152" s="20"/>
    </row>
    <row r="153" spans="1:7" ht="12.75">
      <c r="A153" s="4" t="s">
        <v>204</v>
      </c>
      <c r="B153" s="8"/>
      <c r="C153" s="14"/>
      <c r="D153" s="6" t="s">
        <v>83</v>
      </c>
      <c r="E153" s="7"/>
      <c r="F153" s="63">
        <f>TribesFY06BG!H150</f>
        <v>0.0037999899402142087</v>
      </c>
      <c r="G153" s="73">
        <f aca="true" t="shared" si="6" ref="G153:G158">ROUND($E$151*F153,0)</f>
        <v>17543</v>
      </c>
    </row>
    <row r="154" spans="1:9" ht="12.75">
      <c r="A154" s="26" t="s">
        <v>205</v>
      </c>
      <c r="B154" s="19"/>
      <c r="C154" s="19"/>
      <c r="D154" s="19" t="s">
        <v>83</v>
      </c>
      <c r="E154" s="20"/>
      <c r="F154" s="63">
        <f>TribesFY06BG!H151</f>
        <v>0.05840001527796345</v>
      </c>
      <c r="G154" s="73">
        <f t="shared" si="6"/>
        <v>269605</v>
      </c>
      <c r="H154" s="20"/>
      <c r="I154" s="20"/>
    </row>
    <row r="155" spans="1:9" ht="12.75">
      <c r="A155" s="4" t="s">
        <v>206</v>
      </c>
      <c r="D155" s="6" t="s">
        <v>83</v>
      </c>
      <c r="E155" s="7"/>
      <c r="F155" s="63">
        <f>TribesFY06BG!H152</f>
        <v>0.04599998439926268</v>
      </c>
      <c r="G155" s="73">
        <f t="shared" si="6"/>
        <v>212360</v>
      </c>
      <c r="I155" s="7"/>
    </row>
    <row r="156" spans="1:9" ht="12.75">
      <c r="A156" s="4" t="s">
        <v>207</v>
      </c>
      <c r="D156" s="6" t="s">
        <v>83</v>
      </c>
      <c r="E156" s="7"/>
      <c r="F156" s="63">
        <f>TribesFY06BG!H153</f>
        <v>0.018600046318051157</v>
      </c>
      <c r="G156" s="73">
        <f t="shared" si="6"/>
        <v>85868</v>
      </c>
      <c r="I156" s="7"/>
    </row>
    <row r="157" spans="1:9" ht="12.75">
      <c r="A157" s="4" t="s">
        <v>208</v>
      </c>
      <c r="D157" s="6" t="s">
        <v>83</v>
      </c>
      <c r="E157" s="7"/>
      <c r="F157" s="63">
        <f>TribesFY06BG!H154</f>
        <v>0.011600022378988712</v>
      </c>
      <c r="G157" s="73">
        <f t="shared" si="6"/>
        <v>53552</v>
      </c>
      <c r="I157" s="7"/>
    </row>
    <row r="158" spans="1:9" ht="12.75">
      <c r="A158" s="4" t="s">
        <v>209</v>
      </c>
      <c r="D158" s="6" t="s">
        <v>83</v>
      </c>
      <c r="E158" s="7"/>
      <c r="F158" s="63">
        <f>TribesFY06BG!H155</f>
        <v>0.011199984506853968</v>
      </c>
      <c r="G158" s="73">
        <f t="shared" si="6"/>
        <v>51705</v>
      </c>
      <c r="I158" s="7"/>
    </row>
    <row r="159" spans="1:9" ht="12.75">
      <c r="A159" s="21" t="s">
        <v>44</v>
      </c>
      <c r="B159" s="22"/>
      <c r="C159" s="22"/>
      <c r="D159" s="22" t="s">
        <v>58</v>
      </c>
      <c r="E159" s="23">
        <f>'$500MEC_60%&amp;40Deg'!J52</f>
        <v>5314672</v>
      </c>
      <c r="F159" s="67"/>
      <c r="G159" s="74"/>
      <c r="H159" s="23">
        <f>SUM(G160:G162)</f>
        <v>106122</v>
      </c>
      <c r="I159" s="23">
        <f>E159-H159</f>
        <v>5208550</v>
      </c>
    </row>
    <row r="160" spans="1:9" ht="12.75">
      <c r="A160" s="4" t="s">
        <v>158</v>
      </c>
      <c r="B160" s="5">
        <v>110884</v>
      </c>
      <c r="C160" s="5">
        <v>997</v>
      </c>
      <c r="D160" s="6" t="s">
        <v>130</v>
      </c>
      <c r="E160" s="7"/>
      <c r="F160" s="63">
        <f>TribesFY06BG!H157</f>
        <v>0.008991408824609847</v>
      </c>
      <c r="G160" s="73">
        <f>ROUND($E$159*F160,0)</f>
        <v>47786</v>
      </c>
      <c r="I160" s="7"/>
    </row>
    <row r="161" spans="1:9" ht="12.75">
      <c r="A161" s="4" t="s">
        <v>210</v>
      </c>
      <c r="B161" s="5">
        <v>110884</v>
      </c>
      <c r="D161" s="6" t="s">
        <v>127</v>
      </c>
      <c r="E161" s="7"/>
      <c r="F161" s="63">
        <f>TribesFY06BG!H158</f>
        <v>0.004116236153847816</v>
      </c>
      <c r="G161" s="73">
        <f>ROUND($E$159*F161,0)</f>
        <v>21876</v>
      </c>
      <c r="I161" s="7"/>
    </row>
    <row r="162" spans="1:9" ht="12.75">
      <c r="A162" s="26" t="s">
        <v>211</v>
      </c>
      <c r="B162" s="19">
        <v>110884</v>
      </c>
      <c r="C162" s="19"/>
      <c r="D162" s="19" t="s">
        <v>127</v>
      </c>
      <c r="E162" s="20"/>
      <c r="F162" s="63">
        <f>TribesFY06BG!H159</f>
        <v>0.006860335178562114</v>
      </c>
      <c r="G162" s="73">
        <f>ROUND($E$159*F162,0)</f>
        <v>36460</v>
      </c>
      <c r="H162" s="20"/>
      <c r="I162" s="20"/>
    </row>
    <row r="163" spans="1:9" ht="12.75">
      <c r="A163" s="21" t="s">
        <v>47</v>
      </c>
      <c r="B163" s="22"/>
      <c r="C163" s="22"/>
      <c r="D163" s="22"/>
      <c r="E163" s="23">
        <f>'$500MEC_60%&amp;40Deg'!J55</f>
        <v>0</v>
      </c>
      <c r="F163" s="67"/>
      <c r="G163" s="74"/>
      <c r="H163" s="23">
        <f>SUM(G164:G182)</f>
        <v>0</v>
      </c>
      <c r="I163" s="23">
        <f>E163-H163</f>
        <v>0</v>
      </c>
    </row>
    <row r="164" spans="1:7" ht="12.75">
      <c r="A164" s="4" t="s">
        <v>212</v>
      </c>
      <c r="B164" s="8"/>
      <c r="D164" s="6" t="s">
        <v>83</v>
      </c>
      <c r="E164" s="7"/>
      <c r="F164" s="63">
        <f>TribesFY06BG!H161</f>
        <v>0.00847000330361971</v>
      </c>
      <c r="G164" s="73">
        <f>ROUND($E$163*F164,0)</f>
        <v>0</v>
      </c>
    </row>
    <row r="165" spans="1:9" ht="12.75">
      <c r="A165" s="4" t="s">
        <v>213</v>
      </c>
      <c r="B165" s="8"/>
      <c r="D165" s="6" t="s">
        <v>127</v>
      </c>
      <c r="E165" s="7"/>
      <c r="F165" s="63">
        <f>TribesFY06BG!H162</f>
        <v>0.00021157208317487472</v>
      </c>
      <c r="G165" s="73">
        <f aca="true" t="shared" si="7" ref="G165:G182">ROUND($E$163*F165,0)</f>
        <v>0</v>
      </c>
      <c r="I165" s="7"/>
    </row>
    <row r="166" spans="1:9" ht="12.75">
      <c r="A166" s="26" t="s">
        <v>214</v>
      </c>
      <c r="B166" s="19"/>
      <c r="C166" s="19"/>
      <c r="D166" s="19" t="s">
        <v>83</v>
      </c>
      <c r="E166" s="20"/>
      <c r="F166" s="63">
        <f>TribesFY06BG!H163</f>
        <v>0.00024699891131107425</v>
      </c>
      <c r="G166" s="73">
        <f t="shared" si="7"/>
        <v>0</v>
      </c>
      <c r="H166" s="20"/>
      <c r="I166" s="20"/>
    </row>
    <row r="167" spans="1:7" ht="12.75">
      <c r="A167" s="4" t="s">
        <v>215</v>
      </c>
      <c r="B167" s="7"/>
      <c r="D167" s="6" t="s">
        <v>83</v>
      </c>
      <c r="E167" s="7"/>
      <c r="F167" s="63">
        <f>TribesFY06BG!H164</f>
        <v>0.00024699891131107425</v>
      </c>
      <c r="G167" s="73">
        <f t="shared" si="7"/>
        <v>0</v>
      </c>
    </row>
    <row r="168" spans="1:7" ht="12.75">
      <c r="A168" s="4" t="s">
        <v>216</v>
      </c>
      <c r="B168" s="7"/>
      <c r="D168" s="6" t="s">
        <v>83</v>
      </c>
      <c r="E168" s="7"/>
      <c r="F168" s="63">
        <f>TribesFY06BG!H165</f>
        <v>0.0006040113503305141</v>
      </c>
      <c r="G168" s="73">
        <f t="shared" si="7"/>
        <v>0</v>
      </c>
    </row>
    <row r="169" spans="1:7" ht="12.75">
      <c r="A169" s="4" t="s">
        <v>217</v>
      </c>
      <c r="B169" s="7"/>
      <c r="D169" s="6" t="s">
        <v>83</v>
      </c>
      <c r="E169" s="7"/>
      <c r="F169" s="63">
        <f>TribesFY06BG!H166</f>
        <v>0.0024990129067129045</v>
      </c>
      <c r="G169" s="73">
        <f t="shared" si="7"/>
        <v>0</v>
      </c>
    </row>
    <row r="170" spans="1:7" ht="12.75">
      <c r="A170" s="4" t="s">
        <v>218</v>
      </c>
      <c r="B170" s="7"/>
      <c r="D170" s="6" t="s">
        <v>83</v>
      </c>
      <c r="E170" s="7"/>
      <c r="F170" s="63">
        <f>TribesFY06BG!H167</f>
        <v>0.0019489947124531927</v>
      </c>
      <c r="G170" s="73">
        <f t="shared" si="7"/>
        <v>0</v>
      </c>
    </row>
    <row r="171" spans="1:7" ht="12.75">
      <c r="A171" s="4" t="s">
        <v>219</v>
      </c>
      <c r="B171" s="7"/>
      <c r="D171" s="6" t="s">
        <v>83</v>
      </c>
      <c r="E171" s="7"/>
      <c r="F171" s="63">
        <f>TribesFY06BG!H168</f>
        <v>0.0008919995715158512</v>
      </c>
      <c r="G171" s="73">
        <f t="shared" si="7"/>
        <v>0</v>
      </c>
    </row>
    <row r="172" spans="1:7" ht="12.75">
      <c r="A172" s="4" t="s">
        <v>220</v>
      </c>
      <c r="B172" s="7"/>
      <c r="D172" s="6" t="s">
        <v>83</v>
      </c>
      <c r="E172" s="7"/>
      <c r="F172" s="63">
        <f>TribesFY06BG!H169</f>
        <v>0.0006859899700790399</v>
      </c>
      <c r="G172" s="73">
        <f t="shared" si="7"/>
        <v>0</v>
      </c>
    </row>
    <row r="173" spans="1:7" ht="12.75">
      <c r="A173" s="4" t="s">
        <v>221</v>
      </c>
      <c r="B173" s="7"/>
      <c r="D173" s="6" t="s">
        <v>83</v>
      </c>
      <c r="E173" s="7"/>
      <c r="F173" s="63">
        <f>TribesFY06BG!H170</f>
        <v>0.0004119944807325645</v>
      </c>
      <c r="G173" s="73">
        <f t="shared" si="7"/>
        <v>0</v>
      </c>
    </row>
    <row r="174" spans="1:7" ht="12.75">
      <c r="A174" s="4" t="s">
        <v>222</v>
      </c>
      <c r="B174" s="7"/>
      <c r="D174" s="6" t="s">
        <v>83</v>
      </c>
      <c r="E174" s="7"/>
      <c r="F174" s="63">
        <f>TribesFY06BG!H171</f>
        <v>0.0027870011278982414</v>
      </c>
      <c r="G174" s="73">
        <f t="shared" si="7"/>
        <v>0</v>
      </c>
    </row>
    <row r="175" spans="1:7" ht="12.75">
      <c r="A175" s="4" t="s">
        <v>223</v>
      </c>
      <c r="B175" s="7"/>
      <c r="D175" s="6" t="s">
        <v>83</v>
      </c>
      <c r="E175" s="7"/>
      <c r="F175" s="63">
        <f>TribesFY06BG!H172</f>
        <v>0.0007960034977874055</v>
      </c>
      <c r="G175" s="73">
        <f t="shared" si="7"/>
        <v>0</v>
      </c>
    </row>
    <row r="176" spans="1:7" ht="12.75">
      <c r="A176" s="4" t="s">
        <v>224</v>
      </c>
      <c r="B176" s="7"/>
      <c r="D176" s="6" t="s">
        <v>83</v>
      </c>
      <c r="E176" s="7"/>
      <c r="F176" s="63">
        <f>TribesFY06BG!H173</f>
        <v>0.0021689970457288658</v>
      </c>
      <c r="G176" s="73">
        <f t="shared" si="7"/>
        <v>0</v>
      </c>
    </row>
    <row r="177" spans="1:7" ht="12.75">
      <c r="A177" s="4" t="s">
        <v>225</v>
      </c>
      <c r="B177" s="7"/>
      <c r="D177" s="6" t="s">
        <v>83</v>
      </c>
      <c r="E177" s="7"/>
      <c r="F177" s="63">
        <f>TribesFY06BG!H174</f>
        <v>0.0008230000758228066</v>
      </c>
      <c r="G177" s="73">
        <f t="shared" si="7"/>
        <v>0</v>
      </c>
    </row>
    <row r="178" spans="1:7" ht="12.75">
      <c r="A178" s="4" t="s">
        <v>226</v>
      </c>
      <c r="B178" s="7"/>
      <c r="D178" s="6" t="s">
        <v>83</v>
      </c>
      <c r="E178" s="7"/>
      <c r="F178" s="63">
        <f>TribesFY06BG!H175</f>
        <v>0.001316997898444955</v>
      </c>
      <c r="G178" s="73">
        <f t="shared" si="7"/>
        <v>0</v>
      </c>
    </row>
    <row r="179" spans="1:7" ht="12.75">
      <c r="A179" s="4" t="s">
        <v>227</v>
      </c>
      <c r="B179" s="7"/>
      <c r="D179" s="6" t="s">
        <v>83</v>
      </c>
      <c r="E179" s="7"/>
      <c r="F179" s="63">
        <f>TribesFY06BG!H176</f>
        <v>0.002781982533263455</v>
      </c>
      <c r="G179" s="73">
        <f t="shared" si="7"/>
        <v>0</v>
      </c>
    </row>
    <row r="180" spans="1:7" ht="12.75">
      <c r="A180" s="4" t="s">
        <v>228</v>
      </c>
      <c r="B180" s="7"/>
      <c r="D180" s="6" t="s">
        <v>83</v>
      </c>
      <c r="E180" s="7"/>
      <c r="F180" s="63">
        <f>TribesFY06BG!H177</f>
        <v>0.0017439987187997618</v>
      </c>
      <c r="G180" s="73">
        <f t="shared" si="7"/>
        <v>0</v>
      </c>
    </row>
    <row r="181" spans="1:7" ht="12.75">
      <c r="A181" s="4" t="s">
        <v>229</v>
      </c>
      <c r="B181" s="7"/>
      <c r="D181" s="6" t="s">
        <v>83</v>
      </c>
      <c r="E181" s="7"/>
      <c r="F181" s="63">
        <f>TribesFY06BG!H178</f>
        <v>0.0010570198630783995</v>
      </c>
      <c r="G181" s="73">
        <f t="shared" si="7"/>
        <v>0</v>
      </c>
    </row>
    <row r="182" spans="1:7" ht="12.75">
      <c r="A182" s="4" t="s">
        <v>230</v>
      </c>
      <c r="B182" s="7"/>
      <c r="D182" s="6" t="s">
        <v>83</v>
      </c>
      <c r="E182" s="7"/>
      <c r="F182" s="63">
        <f>TribesFY06BG!H179</f>
        <v>0.00897799385808072</v>
      </c>
      <c r="G182" s="73">
        <f t="shared" si="7"/>
        <v>0</v>
      </c>
    </row>
    <row r="183" spans="1:9" ht="12.75">
      <c r="A183" s="21" t="s">
        <v>50</v>
      </c>
      <c r="B183" s="22"/>
      <c r="C183" s="22"/>
      <c r="D183" s="22"/>
      <c r="E183" s="23">
        <f>'$500MEC_60%&amp;40Deg'!J58</f>
        <v>2127878</v>
      </c>
      <c r="F183" s="67"/>
      <c r="G183" s="74"/>
      <c r="H183" s="23">
        <f>G184</f>
        <v>76567</v>
      </c>
      <c r="I183" s="23">
        <f>E183-H183</f>
        <v>2051311</v>
      </c>
    </row>
    <row r="184" spans="1:9" ht="13.5" thickBot="1">
      <c r="A184" s="34" t="s">
        <v>231</v>
      </c>
      <c r="B184" s="35"/>
      <c r="C184" s="36"/>
      <c r="D184" s="37" t="s">
        <v>127</v>
      </c>
      <c r="E184" s="35"/>
      <c r="F184" s="68">
        <f>TribesFY06BG!H181</f>
        <v>0.035982916270027976</v>
      </c>
      <c r="G184" s="75">
        <f>ROUND($E$183*F184,0)</f>
        <v>76567</v>
      </c>
      <c r="H184" s="36"/>
      <c r="I184" s="36"/>
    </row>
    <row r="185" spans="1:9" ht="13.5" thickTop="1">
      <c r="A185" s="4" t="s">
        <v>232</v>
      </c>
      <c r="B185" s="7"/>
      <c r="D185" s="6"/>
      <c r="E185" s="7">
        <f>SUM(E9:E184)</f>
        <v>265362531</v>
      </c>
      <c r="F185" s="7"/>
      <c r="G185" s="73">
        <f>SUM(G9:G184)</f>
        <v>5009806</v>
      </c>
      <c r="H185" s="7">
        <f>SUM(H9:H184)</f>
        <v>5009806</v>
      </c>
      <c r="I185" s="7">
        <f>SUM(I9:I184)</f>
        <v>260352725</v>
      </c>
    </row>
    <row r="186" spans="1:10" ht="12.75">
      <c r="A186" s="26"/>
      <c r="B186" s="20"/>
      <c r="C186" s="19"/>
      <c r="D186" s="33"/>
      <c r="E186" s="20"/>
      <c r="F186" s="19"/>
      <c r="G186" s="20"/>
      <c r="H186" s="19"/>
      <c r="I186" s="19"/>
      <c r="J186" s="19"/>
    </row>
    <row r="187" spans="1:10" ht="12.75">
      <c r="A187" s="64"/>
      <c r="B187" s="19"/>
      <c r="C187" s="19"/>
      <c r="D187" s="19"/>
      <c r="E187" s="20"/>
      <c r="F187" s="19"/>
      <c r="G187" s="19"/>
      <c r="H187" s="20"/>
      <c r="I187" s="20"/>
      <c r="J187" s="19"/>
    </row>
    <row r="188" spans="1:10" ht="12.75">
      <c r="A188" s="26"/>
      <c r="B188" s="20"/>
      <c r="C188" s="19"/>
      <c r="D188" s="33"/>
      <c r="E188" s="20"/>
      <c r="F188" s="19"/>
      <c r="G188" s="20"/>
      <c r="H188" s="19"/>
      <c r="I188" s="19"/>
      <c r="J188" s="19"/>
    </row>
    <row r="189" spans="1:10" ht="12.75">
      <c r="A189" s="26"/>
      <c r="B189" s="19"/>
      <c r="C189" s="19"/>
      <c r="D189" s="19"/>
      <c r="E189" s="20"/>
      <c r="F189" s="19"/>
      <c r="G189" s="20"/>
      <c r="H189" s="20"/>
      <c r="I189" s="20"/>
      <c r="J189" s="19"/>
    </row>
    <row r="190" spans="1:10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</row>
    <row r="191" spans="1:10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211" ht="12.75">
      <c r="I211" s="5">
        <f>CODE(" ")</f>
        <v>32</v>
      </c>
    </row>
    <row r="437" ht="12.75">
      <c r="H437" s="15"/>
    </row>
    <row r="439" ht="12.75">
      <c r="E439" s="15"/>
    </row>
    <row r="442" ht="12.75">
      <c r="E442" s="15"/>
    </row>
    <row r="443" ht="12.75">
      <c r="E443" s="15"/>
    </row>
    <row r="444" ht="12.75">
      <c r="E444" s="15"/>
    </row>
    <row r="445" ht="12.75">
      <c r="E445" s="15"/>
    </row>
    <row r="446" ht="12.75">
      <c r="E446" s="15"/>
    </row>
    <row r="447" ht="12.75">
      <c r="E447" s="15"/>
    </row>
    <row r="448" ht="12.75">
      <c r="E448" s="15"/>
    </row>
    <row r="449" ht="12.75">
      <c r="E449" s="15"/>
    </row>
    <row r="450" ht="12.75">
      <c r="E450" s="15"/>
    </row>
    <row r="451" ht="12.75">
      <c r="E451" s="15"/>
    </row>
    <row r="452" ht="12.75">
      <c r="E452" s="15"/>
    </row>
    <row r="453" ht="12.75">
      <c r="E453" s="15"/>
    </row>
    <row r="454" ht="12.75">
      <c r="E454" s="15"/>
    </row>
    <row r="455" ht="12.75">
      <c r="E455" s="15"/>
    </row>
    <row r="456" ht="12.75">
      <c r="E456" s="15"/>
    </row>
    <row r="457" ht="12.75"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spans="5:8" ht="12.75">
      <c r="E494" s="15"/>
      <c r="G494" s="7"/>
      <c r="H494" s="7"/>
    </row>
    <row r="496" spans="5:8" ht="12.75">
      <c r="E496" s="7"/>
      <c r="H496" s="7"/>
    </row>
    <row r="498" ht="12.75">
      <c r="H498" s="7"/>
    </row>
    <row r="499" spans="5:8" ht="12.75">
      <c r="E499" s="7"/>
      <c r="H499" s="7"/>
    </row>
    <row r="500" spans="5:8" ht="12.75">
      <c r="E500" s="7"/>
      <c r="H500" s="7"/>
    </row>
    <row r="501" spans="5:8" ht="12.75">
      <c r="E501" s="7"/>
      <c r="H501" s="7"/>
    </row>
    <row r="502" spans="5:8" ht="12.75">
      <c r="E502" s="7"/>
      <c r="H502" s="7"/>
    </row>
    <row r="503" spans="5:8" ht="12.75">
      <c r="E503" s="7"/>
      <c r="H503" s="7"/>
    </row>
    <row r="504" spans="5:8" ht="12.75">
      <c r="E504" s="7"/>
      <c r="H504" s="7"/>
    </row>
    <row r="505" spans="5:8" ht="12.75">
      <c r="E505" s="7"/>
      <c r="H505" s="7"/>
    </row>
  </sheetData>
  <sheetProtection/>
  <mergeCells count="2">
    <mergeCell ref="A1:I1"/>
    <mergeCell ref="A2:I2"/>
  </mergeCells>
  <printOptions gridLines="1" horizontalCentered="1"/>
  <pageMargins left="0.75" right="0.75" top="0.75" bottom="0.76" header="0.5" footer="0.5"/>
  <pageSetup fitToHeight="0" horizontalDpi="600" verticalDpi="600" orientation="landscape" scale="58" r:id="rId1"/>
  <headerFooter alignWithMargins="0">
    <oddFooter>&amp;L&amp;"Arial,Regular"'&amp;F' [&amp;A]&amp;C&amp;"Arial,Regular"1:10 PM&amp;R&amp;"Arial,Regular"Page &amp;P of &amp;N</oddFooter>
  </headerFooter>
  <rowBreaks count="3" manualBreakCount="3">
    <brk id="56" max="8" man="1"/>
    <brk id="112" max="8" man="1"/>
    <brk id="16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="145" zoomScaleNormal="145" zoomScaleSheetLayoutView="80" workbookViewId="0" topLeftCell="A1">
      <pane xSplit="1" ySplit="6" topLeftCell="B7" activePane="bottomRight" state="frozen"/>
      <selection pane="topLeft" activeCell="I4" sqref="I4"/>
      <selection pane="topRight" activeCell="I4" sqref="I4"/>
      <selection pane="bottomLeft" activeCell="I4" sqref="I4"/>
      <selection pane="bottomRight" activeCell="G14" sqref="G14"/>
    </sheetView>
  </sheetViews>
  <sheetFormatPr defaultColWidth="9.33203125" defaultRowHeight="12.75"/>
  <cols>
    <col min="1" max="1" width="22.83203125" style="0" customWidth="1"/>
    <col min="2" max="2" width="20" style="0" bestFit="1" customWidth="1"/>
    <col min="3" max="3" width="18.33203125" style="0" bestFit="1" customWidth="1"/>
    <col min="4" max="4" width="19.16015625" style="0" customWidth="1"/>
  </cols>
  <sheetData>
    <row r="1" spans="1:4" ht="49.5" customHeight="1">
      <c r="A1" s="133" t="str">
        <f>"Low Income Home Energy Assistance Program (LIHEAP) State Allotments of "&amp;TEXT('$500MEC_60%&amp;40Deg'!$E$4/1000000,"$0.00")&amp;" Million in Emergency Contingency Funds Reflecting LI Households using FO, LPG &amp; NG for Heat"</f>
        <v>Low Income Home Energy Assistance Program (LIHEAP) State Allotments of $500.00 Million in Emergency Contingency Funds Reflecting LI Households using FO, LPG &amp; NG for Heat</v>
      </c>
      <c r="B1" s="133"/>
      <c r="C1" s="133"/>
      <c r="D1" s="133"/>
    </row>
    <row r="2" spans="1:4" ht="12.75">
      <c r="A2" s="132" t="s">
        <v>260</v>
      </c>
      <c r="B2" s="132"/>
      <c r="C2" s="132"/>
      <c r="D2" s="132"/>
    </row>
    <row r="3" spans="1:4" ht="12.75">
      <c r="A3" s="38" t="str">
        <f>IF(COLUMN()&lt;=26,CHAR(64+COLUMN()),CHAR(64+ROUNDDOWN((COLUMN()-1)/26,0))&amp;CHAR(65+MOD((COLUMN()-1),26)))</f>
        <v>A</v>
      </c>
      <c r="B3" s="38" t="str">
        <f>IF(COLUMN()&lt;=26,CHAR(64+COLUMN()),CHAR(64+ROUNDDOWN((COLUMN()-1)/26,0))&amp;CHAR(65+MOD((COLUMN()-1),26)))</f>
        <v>B</v>
      </c>
      <c r="C3" s="38" t="str">
        <f>IF(COLUMN()&lt;=26,CHAR(64+COLUMN()),CHAR(64+ROUNDDOWN((COLUMN()-1)/26,0))&amp;CHAR(65+MOD((COLUMN()-1),26)))</f>
        <v>C</v>
      </c>
      <c r="D3" s="38" t="str">
        <f>IF(COLUMN()&lt;=26,CHAR(64+COLUMN()),CHAR(64+ROUNDDOWN((COLUMN()-1)/26,0))&amp;CHAR(65+MOD((COLUMN()-1),26)))</f>
        <v>D</v>
      </c>
    </row>
    <row r="4" spans="1:4" ht="12.75">
      <c r="A4" s="39" t="s">
        <v>243</v>
      </c>
      <c r="B4" s="40"/>
      <c r="C4" s="41"/>
      <c r="D4" s="42">
        <f>'$500MEC_60%&amp;40Deg'!E4</f>
        <v>500000000</v>
      </c>
    </row>
    <row r="5" spans="1:4" ht="12.75">
      <c r="A5" s="43"/>
      <c r="B5" s="44"/>
      <c r="C5" s="45"/>
      <c r="D5" s="44"/>
    </row>
    <row r="6" spans="1:4" ht="12.75">
      <c r="A6" s="46" t="s">
        <v>240</v>
      </c>
      <c r="B6" s="76" t="s">
        <v>244</v>
      </c>
      <c r="C6" s="46" t="s">
        <v>245</v>
      </c>
      <c r="D6" s="76" t="s">
        <v>246</v>
      </c>
    </row>
    <row r="7" spans="1:4" ht="12.75">
      <c r="A7" s="44"/>
      <c r="B7" s="80"/>
      <c r="C7" s="44"/>
      <c r="D7" s="77"/>
    </row>
    <row r="8" spans="1:4" ht="12.75">
      <c r="A8" s="45" t="s">
        <v>0</v>
      </c>
      <c r="B8" s="78">
        <f>'$500MEC_60%&amp;40Deg'!J8</f>
        <v>0</v>
      </c>
      <c r="C8" s="47">
        <f>TribesEC!H9</f>
        <v>0</v>
      </c>
      <c r="D8" s="78">
        <f aca="true" t="shared" si="0" ref="D8:D39">B8-C8</f>
        <v>0</v>
      </c>
    </row>
    <row r="9" spans="1:4" ht="12.75">
      <c r="A9" s="45" t="s">
        <v>1</v>
      </c>
      <c r="B9" s="78">
        <f>'$500MEC_60%&amp;40Deg'!J9</f>
        <v>3902854</v>
      </c>
      <c r="C9" s="47">
        <f>TribesEC!H13</f>
        <v>1190370</v>
      </c>
      <c r="D9" s="78">
        <f t="shared" si="0"/>
        <v>2712484</v>
      </c>
    </row>
    <row r="10" spans="1:4" ht="12.75">
      <c r="A10" s="45" t="s">
        <v>2</v>
      </c>
      <c r="B10" s="78">
        <f>'$500MEC_60%&amp;40Deg'!J10</f>
        <v>0</v>
      </c>
      <c r="C10" s="47">
        <f>TribesEC!H22</f>
        <v>0</v>
      </c>
      <c r="D10" s="78">
        <f t="shared" si="0"/>
        <v>0</v>
      </c>
    </row>
    <row r="11" spans="1:4" ht="12.75">
      <c r="A11" s="45" t="s">
        <v>3</v>
      </c>
      <c r="B11" s="78">
        <f>'$500MEC_60%&amp;40Deg'!J11</f>
        <v>0</v>
      </c>
      <c r="C11" s="47"/>
      <c r="D11" s="78">
        <f t="shared" si="0"/>
        <v>0</v>
      </c>
    </row>
    <row r="12" spans="1:4" ht="12.75">
      <c r="A12" s="45" t="s">
        <v>4</v>
      </c>
      <c r="B12" s="78">
        <f>'$500MEC_60%&amp;40Deg'!J12</f>
        <v>0</v>
      </c>
      <c r="C12" s="47">
        <f>TribesEC!H32</f>
        <v>0</v>
      </c>
      <c r="D12" s="78">
        <f t="shared" si="0"/>
        <v>0</v>
      </c>
    </row>
    <row r="13" spans="1:4" ht="12.75">
      <c r="A13" s="45" t="s">
        <v>5</v>
      </c>
      <c r="B13" s="78">
        <f>'$500MEC_60%&amp;40Deg'!J13</f>
        <v>11436722</v>
      </c>
      <c r="C13" s="47">
        <f>TribesEC!H57</f>
        <v>9115</v>
      </c>
      <c r="D13" s="78">
        <f t="shared" si="0"/>
        <v>11427607</v>
      </c>
    </row>
    <row r="14" spans="1:4" ht="12.75">
      <c r="A14" s="45" t="s">
        <v>6</v>
      </c>
      <c r="B14" s="78">
        <f>'$500MEC_60%&amp;40Deg'!J14</f>
        <v>14919607</v>
      </c>
      <c r="C14" s="47"/>
      <c r="D14" s="78">
        <f t="shared" si="0"/>
        <v>14919607</v>
      </c>
    </row>
    <row r="15" spans="1:4" ht="12.75">
      <c r="A15" s="45" t="s">
        <v>7</v>
      </c>
      <c r="B15" s="78">
        <f>'$500MEC_60%&amp;40Deg'!J15</f>
        <v>0</v>
      </c>
      <c r="C15" s="47"/>
      <c r="D15" s="78">
        <f t="shared" si="0"/>
        <v>0</v>
      </c>
    </row>
    <row r="16" spans="1:4" ht="12.75">
      <c r="A16" s="45" t="s">
        <v>8</v>
      </c>
      <c r="B16" s="78">
        <f>'$500MEC_60%&amp;40Deg'!J16</f>
        <v>0</v>
      </c>
      <c r="C16" s="47"/>
      <c r="D16" s="78">
        <f t="shared" si="0"/>
        <v>0</v>
      </c>
    </row>
    <row r="17" spans="1:4" ht="12.75">
      <c r="A17" s="45" t="s">
        <v>9</v>
      </c>
      <c r="B17" s="78">
        <f>'$500MEC_60%&amp;40Deg'!J17</f>
        <v>0</v>
      </c>
      <c r="C17" s="47">
        <f>TribesEC!H59</f>
        <v>0</v>
      </c>
      <c r="D17" s="78">
        <f t="shared" si="0"/>
        <v>0</v>
      </c>
    </row>
    <row r="18" spans="1:4" ht="12.75">
      <c r="A18" s="45" t="s">
        <v>10</v>
      </c>
      <c r="B18" s="78">
        <f>'$500MEC_60%&amp;40Deg'!J18</f>
        <v>0</v>
      </c>
      <c r="C18" s="47"/>
      <c r="D18" s="78">
        <f t="shared" si="0"/>
        <v>0</v>
      </c>
    </row>
    <row r="19" spans="1:4" ht="12.75">
      <c r="A19" s="45" t="s">
        <v>11</v>
      </c>
      <c r="B19" s="78">
        <f>'$500MEC_60%&amp;40Deg'!J19</f>
        <v>0</v>
      </c>
      <c r="C19" s="47"/>
      <c r="D19" s="78">
        <f t="shared" si="0"/>
        <v>0</v>
      </c>
    </row>
    <row r="20" spans="1:4" ht="12.75">
      <c r="A20" s="45" t="s">
        <v>12</v>
      </c>
      <c r="B20" s="78">
        <f>'$500MEC_60%&amp;40Deg'!J20</f>
        <v>0</v>
      </c>
      <c r="C20" s="47">
        <f>TribesEC!H61</f>
        <v>0</v>
      </c>
      <c r="D20" s="78">
        <f t="shared" si="0"/>
        <v>0</v>
      </c>
    </row>
    <row r="21" spans="1:4" ht="12.75">
      <c r="A21" s="45" t="s">
        <v>13</v>
      </c>
      <c r="B21" s="78">
        <f>'$500MEC_60%&amp;40Deg'!J21</f>
        <v>41294895</v>
      </c>
      <c r="C21" s="47"/>
      <c r="D21" s="78">
        <f t="shared" si="0"/>
        <v>41294895</v>
      </c>
    </row>
    <row r="22" spans="1:4" ht="12.75">
      <c r="A22" s="45" t="s">
        <v>14</v>
      </c>
      <c r="B22" s="78">
        <f>'$500MEC_60%&amp;40Deg'!J22</f>
        <v>18697169</v>
      </c>
      <c r="C22" s="47">
        <f>TribesEC!H65</f>
        <v>2430</v>
      </c>
      <c r="D22" s="78">
        <f t="shared" si="0"/>
        <v>18694739</v>
      </c>
    </row>
    <row r="23" spans="1:4" ht="12.75">
      <c r="A23" s="45" t="s">
        <v>15</v>
      </c>
      <c r="B23" s="78">
        <f>'$500MEC_60%&amp;40Deg'!J23</f>
        <v>13250934</v>
      </c>
      <c r="C23" s="47"/>
      <c r="D23" s="78">
        <f t="shared" si="0"/>
        <v>13250934</v>
      </c>
    </row>
    <row r="24" spans="1:4" ht="12.75">
      <c r="A24" s="45" t="s">
        <v>16</v>
      </c>
      <c r="B24" s="78">
        <f>'$500MEC_60%&amp;40Deg'!J24</f>
        <v>0</v>
      </c>
      <c r="C24" s="47">
        <f>TribesEC!H67</f>
        <v>0</v>
      </c>
      <c r="D24" s="78">
        <f t="shared" si="0"/>
        <v>0</v>
      </c>
    </row>
    <row r="25" spans="1:4" ht="12.75">
      <c r="A25" s="45" t="s">
        <v>17</v>
      </c>
      <c r="B25" s="78">
        <f>'$500MEC_60%&amp;40Deg'!J25</f>
        <v>0</v>
      </c>
      <c r="C25" s="47"/>
      <c r="D25" s="78">
        <f t="shared" si="0"/>
        <v>0</v>
      </c>
    </row>
    <row r="26" spans="1:4" ht="12.75">
      <c r="A26" s="45" t="s">
        <v>18</v>
      </c>
      <c r="B26" s="78">
        <f>'$500MEC_60%&amp;40Deg'!J26</f>
        <v>0</v>
      </c>
      <c r="C26" s="47"/>
      <c r="D26" s="78">
        <f t="shared" si="0"/>
        <v>0</v>
      </c>
    </row>
    <row r="27" spans="1:4" ht="12.75">
      <c r="A27" s="45" t="s">
        <v>19</v>
      </c>
      <c r="B27" s="78">
        <f>'$500MEC_60%&amp;40Deg'!J27</f>
        <v>9665527</v>
      </c>
      <c r="C27" s="47">
        <f>TribesEC!H69</f>
        <v>353275</v>
      </c>
      <c r="D27" s="78">
        <f t="shared" si="0"/>
        <v>9312252</v>
      </c>
    </row>
    <row r="28" spans="1:4" ht="12.75">
      <c r="A28" s="45" t="s">
        <v>20</v>
      </c>
      <c r="B28" s="78">
        <f>'$500MEC_60%&amp;40Deg'!J28</f>
        <v>0</v>
      </c>
      <c r="C28" s="47"/>
      <c r="D28" s="78">
        <f t="shared" si="0"/>
        <v>0</v>
      </c>
    </row>
    <row r="29" spans="1:4" ht="12.75">
      <c r="A29" s="45" t="s">
        <v>21</v>
      </c>
      <c r="B29" s="78">
        <f>'$500MEC_60%&amp;40Deg'!J29</f>
        <v>29844155</v>
      </c>
      <c r="C29" s="47">
        <f>TribesEC!H75</f>
        <v>11938</v>
      </c>
      <c r="D29" s="78">
        <f t="shared" si="0"/>
        <v>29832217</v>
      </c>
    </row>
    <row r="30" spans="1:4" ht="12.75">
      <c r="A30" s="45" t="s">
        <v>22</v>
      </c>
      <c r="B30" s="78">
        <f>'$500MEC_60%&amp;40Deg'!J30</f>
        <v>39205884</v>
      </c>
      <c r="C30" s="47">
        <f>TribesEC!H77</f>
        <v>268843</v>
      </c>
      <c r="D30" s="78">
        <f t="shared" si="0"/>
        <v>38937041</v>
      </c>
    </row>
    <row r="31" spans="1:4" ht="12.75">
      <c r="A31" s="45" t="s">
        <v>23</v>
      </c>
      <c r="B31" s="78">
        <f>'$500MEC_60%&amp;40Deg'!J31</f>
        <v>28245621</v>
      </c>
      <c r="C31" s="47"/>
      <c r="D31" s="78">
        <f t="shared" si="0"/>
        <v>28245621</v>
      </c>
    </row>
    <row r="32" spans="1:4" ht="12.75">
      <c r="A32" s="45" t="s">
        <v>24</v>
      </c>
      <c r="B32" s="78">
        <f>'$500MEC_60%&amp;40Deg'!J32</f>
        <v>0</v>
      </c>
      <c r="C32" s="47">
        <f>TribesEC!H84</f>
        <v>0</v>
      </c>
      <c r="D32" s="78">
        <f t="shared" si="0"/>
        <v>0</v>
      </c>
    </row>
    <row r="33" spans="1:4" ht="12.75">
      <c r="A33" s="45" t="s">
        <v>25</v>
      </c>
      <c r="B33" s="78">
        <f>'$500MEC_60%&amp;40Deg'!J33</f>
        <v>16494794</v>
      </c>
      <c r="C33" s="47"/>
      <c r="D33" s="78">
        <f t="shared" si="0"/>
        <v>16494794</v>
      </c>
    </row>
    <row r="34" spans="1:4" ht="12.75">
      <c r="A34" s="45" t="s">
        <v>26</v>
      </c>
      <c r="B34" s="78">
        <f>'$500MEC_60%&amp;40Deg'!J34</f>
        <v>5232567</v>
      </c>
      <c r="C34" s="47">
        <f>TribesEC!H86</f>
        <v>792248</v>
      </c>
      <c r="D34" s="78">
        <f t="shared" si="0"/>
        <v>4440319</v>
      </c>
    </row>
    <row r="35" spans="1:4" ht="12.75">
      <c r="A35" s="45" t="s">
        <v>27</v>
      </c>
      <c r="B35" s="78">
        <f>'$500MEC_60%&amp;40Deg'!J35</f>
        <v>6553095</v>
      </c>
      <c r="C35" s="47">
        <f>TribesEC!H93</f>
        <v>1313</v>
      </c>
      <c r="D35" s="78">
        <f t="shared" si="0"/>
        <v>6551782</v>
      </c>
    </row>
    <row r="36" spans="1:4" ht="12.75">
      <c r="A36" s="45" t="s">
        <v>28</v>
      </c>
      <c r="B36" s="78">
        <f>'$500MEC_60%&amp;40Deg'!J36</f>
        <v>0</v>
      </c>
      <c r="C36" s="47"/>
      <c r="D36" s="78">
        <f t="shared" si="0"/>
        <v>0</v>
      </c>
    </row>
    <row r="37" spans="1:4" ht="12.75">
      <c r="A37" s="45" t="s">
        <v>29</v>
      </c>
      <c r="B37" s="78">
        <f>'$500MEC_60%&amp;40Deg'!J37</f>
        <v>5648890</v>
      </c>
      <c r="C37" s="47"/>
      <c r="D37" s="78">
        <f t="shared" si="0"/>
        <v>5648890</v>
      </c>
    </row>
    <row r="38" spans="1:4" ht="12.75">
      <c r="A38" s="45" t="s">
        <v>30</v>
      </c>
      <c r="B38" s="78">
        <f>'$500MEC_60%&amp;40Deg'!J38</f>
        <v>27705656</v>
      </c>
      <c r="C38" s="47">
        <f>TribesEC!H95</f>
        <v>69268</v>
      </c>
      <c r="D38" s="78">
        <f t="shared" si="0"/>
        <v>27636388</v>
      </c>
    </row>
    <row r="39" spans="1:4" ht="12.75">
      <c r="A39" s="45" t="s">
        <v>31</v>
      </c>
      <c r="B39" s="78">
        <f>'$500MEC_60%&amp;40Deg'!J39</f>
        <v>0</v>
      </c>
      <c r="C39" s="47">
        <f>TribesEC!H97</f>
        <v>0</v>
      </c>
      <c r="D39" s="78">
        <f t="shared" si="0"/>
        <v>0</v>
      </c>
    </row>
    <row r="40" spans="1:4" ht="12.75">
      <c r="A40" s="45" t="s">
        <v>32</v>
      </c>
      <c r="B40" s="78">
        <f>'$500MEC_60%&amp;40Deg'!J40</f>
        <v>90463157</v>
      </c>
      <c r="C40" s="47">
        <f>TribesEC!H103</f>
        <v>48180</v>
      </c>
      <c r="D40" s="78">
        <f aca="true" t="shared" si="1" ref="D40:D58">B40-C40</f>
        <v>90414977</v>
      </c>
    </row>
    <row r="41" spans="1:4" ht="12.75">
      <c r="A41" s="45" t="s">
        <v>33</v>
      </c>
      <c r="B41" s="78">
        <f>'$500MEC_60%&amp;40Deg'!J41</f>
        <v>0</v>
      </c>
      <c r="C41" s="47">
        <f>TribesEC!H106</f>
        <v>0</v>
      </c>
      <c r="D41" s="78">
        <f t="shared" si="1"/>
        <v>0</v>
      </c>
    </row>
    <row r="42" spans="1:4" ht="12.75">
      <c r="A42" s="45" t="s">
        <v>34</v>
      </c>
      <c r="B42" s="78">
        <f>'$500MEC_60%&amp;40Deg'!J42</f>
        <v>5684151</v>
      </c>
      <c r="C42" s="47">
        <f>TribesEC!H108</f>
        <v>1245398</v>
      </c>
      <c r="D42" s="78">
        <f t="shared" si="1"/>
        <v>4438753</v>
      </c>
    </row>
    <row r="43" spans="1:4" ht="12.75">
      <c r="A43" s="45" t="s">
        <v>35</v>
      </c>
      <c r="B43" s="78">
        <f>'$500MEC_60%&amp;40Deg'!J43</f>
        <v>36531507</v>
      </c>
      <c r="C43" s="47"/>
      <c r="D43" s="78">
        <f t="shared" si="1"/>
        <v>36531507</v>
      </c>
    </row>
    <row r="44" spans="1:4" ht="12.75">
      <c r="A44" s="45" t="s">
        <v>36</v>
      </c>
      <c r="B44" s="78">
        <f>'$500MEC_60%&amp;40Deg'!J44</f>
        <v>0</v>
      </c>
      <c r="C44" s="47">
        <f>TribesEC!H113</f>
        <v>0</v>
      </c>
      <c r="D44" s="78">
        <f t="shared" si="1"/>
        <v>0</v>
      </c>
    </row>
    <row r="45" spans="1:4" ht="12.75">
      <c r="A45" s="45" t="s">
        <v>37</v>
      </c>
      <c r="B45" s="78">
        <f>'$500MEC_60%&amp;40Deg'!J45</f>
        <v>0</v>
      </c>
      <c r="C45" s="47">
        <f>TribesEC!H143</f>
        <v>0</v>
      </c>
      <c r="D45" s="78">
        <f t="shared" si="1"/>
        <v>0</v>
      </c>
    </row>
    <row r="46" spans="1:4" ht="12.75">
      <c r="A46" s="45" t="s">
        <v>38</v>
      </c>
      <c r="B46" s="78">
        <f>'$500MEC_60%&amp;40Deg'!J46</f>
        <v>48592062</v>
      </c>
      <c r="C46" s="47"/>
      <c r="D46" s="78">
        <f t="shared" si="1"/>
        <v>48592062</v>
      </c>
    </row>
    <row r="47" spans="1:4" ht="12.75">
      <c r="A47" s="45" t="s">
        <v>39</v>
      </c>
      <c r="B47" s="78">
        <f>'$500MEC_60%&amp;40Deg'!J47</f>
        <v>4912518</v>
      </c>
      <c r="C47" s="47">
        <f>TribesEC!H149</f>
        <v>13920</v>
      </c>
      <c r="D47" s="78">
        <f t="shared" si="1"/>
        <v>4898598</v>
      </c>
    </row>
    <row r="48" spans="1:4" ht="12.75">
      <c r="A48" s="45" t="s">
        <v>40</v>
      </c>
      <c r="B48" s="78">
        <f>'$500MEC_60%&amp;40Deg'!J48</f>
        <v>0</v>
      </c>
      <c r="C48" s="47"/>
      <c r="D48" s="78">
        <f t="shared" si="1"/>
        <v>0</v>
      </c>
    </row>
    <row r="49" spans="1:4" ht="12.75">
      <c r="A49" s="45" t="s">
        <v>41</v>
      </c>
      <c r="B49" s="78">
        <f>'$500MEC_60%&amp;40Deg'!J49</f>
        <v>4616526</v>
      </c>
      <c r="C49" s="47">
        <f>TribesEC!H151</f>
        <v>820819</v>
      </c>
      <c r="D49" s="78">
        <f t="shared" si="1"/>
        <v>3795707</v>
      </c>
    </row>
    <row r="50" spans="1:4" ht="12.75">
      <c r="A50" s="45" t="s">
        <v>42</v>
      </c>
      <c r="B50" s="78">
        <f>'$500MEC_60%&amp;40Deg'!J50</f>
        <v>0</v>
      </c>
      <c r="C50" s="47"/>
      <c r="D50" s="78">
        <f t="shared" si="1"/>
        <v>0</v>
      </c>
    </row>
    <row r="51" spans="1:4" ht="12.75">
      <c r="A51" s="45" t="s">
        <v>43</v>
      </c>
      <c r="B51" s="78">
        <f>'$500MEC_60%&amp;40Deg'!J51</f>
        <v>0</v>
      </c>
      <c r="C51" s="47"/>
      <c r="D51" s="78">
        <f t="shared" si="1"/>
        <v>0</v>
      </c>
    </row>
    <row r="52" spans="1:4" ht="12.75">
      <c r="A52" s="45" t="s">
        <v>44</v>
      </c>
      <c r="B52" s="78">
        <f>'$500MEC_60%&amp;40Deg'!J52</f>
        <v>5314672</v>
      </c>
      <c r="C52" s="47">
        <f>TribesEC!H159</f>
        <v>106122</v>
      </c>
      <c r="D52" s="78">
        <f t="shared" si="1"/>
        <v>5208550</v>
      </c>
    </row>
    <row r="53" spans="1:4" ht="12.75">
      <c r="A53" s="45" t="s">
        <v>45</v>
      </c>
      <c r="B53" s="78">
        <f>'$500MEC_60%&amp;40Deg'!J53</f>
        <v>4234044</v>
      </c>
      <c r="C53" s="47"/>
      <c r="D53" s="78">
        <f t="shared" si="1"/>
        <v>4234044</v>
      </c>
    </row>
    <row r="54" spans="1:4" ht="12.75">
      <c r="A54" s="45" t="s">
        <v>46</v>
      </c>
      <c r="B54" s="78">
        <f>'$500MEC_60%&amp;40Deg'!J54</f>
        <v>0</v>
      </c>
      <c r="C54" s="47"/>
      <c r="D54" s="78">
        <f t="shared" si="1"/>
        <v>0</v>
      </c>
    </row>
    <row r="55" spans="1:4" ht="12.75">
      <c r="A55" s="45" t="s">
        <v>47</v>
      </c>
      <c r="B55" s="78">
        <f>'$500MEC_60%&amp;40Deg'!J55</f>
        <v>0</v>
      </c>
      <c r="C55" s="47">
        <f>TribesEC!H163</f>
        <v>0</v>
      </c>
      <c r="D55" s="78">
        <f t="shared" si="1"/>
        <v>0</v>
      </c>
    </row>
    <row r="56" spans="1:4" ht="12.75">
      <c r="A56" s="45" t="s">
        <v>48</v>
      </c>
      <c r="B56" s="78">
        <f>'$500MEC_60%&amp;40Deg'!J56</f>
        <v>0</v>
      </c>
      <c r="C56" s="47"/>
      <c r="D56" s="78">
        <f t="shared" si="1"/>
        <v>0</v>
      </c>
    </row>
    <row r="57" spans="1:4" ht="12.75">
      <c r="A57" s="45" t="s">
        <v>49</v>
      </c>
      <c r="B57" s="78">
        <f>'$500MEC_60%&amp;40Deg'!J57</f>
        <v>25425115</v>
      </c>
      <c r="C57" s="47"/>
      <c r="D57" s="78">
        <f t="shared" si="1"/>
        <v>25425115</v>
      </c>
    </row>
    <row r="58" spans="1:4" ht="13.5" thickBot="1">
      <c r="A58" s="48" t="s">
        <v>50</v>
      </c>
      <c r="B58" s="79">
        <f>'$500MEC_60%&amp;40Deg'!J58</f>
        <v>2127878</v>
      </c>
      <c r="C58" s="49">
        <f>TribesEC!H183</f>
        <v>76567</v>
      </c>
      <c r="D58" s="79">
        <f t="shared" si="1"/>
        <v>2051311</v>
      </c>
    </row>
    <row r="59" spans="1:4" ht="13.5" thickTop="1">
      <c r="A59" s="50" t="s">
        <v>60</v>
      </c>
      <c r="B59" s="78">
        <f>SUM(B8:B58)</f>
        <v>500000000</v>
      </c>
      <c r="C59" s="47">
        <f>SUM(C8:C58)</f>
        <v>5009806</v>
      </c>
      <c r="D59" s="78">
        <f>SUM(D8:D58)</f>
        <v>494990194</v>
      </c>
    </row>
    <row r="60" spans="1:4" ht="12.75">
      <c r="A60" s="44"/>
      <c r="B60" s="44"/>
      <c r="C60" s="50" t="s">
        <v>58</v>
      </c>
      <c r="D60" s="44"/>
    </row>
    <row r="61" spans="1:4" ht="51">
      <c r="A61" s="52" t="s">
        <v>61</v>
      </c>
      <c r="B61" s="52" t="s">
        <v>63</v>
      </c>
      <c r="C61" s="52" t="s">
        <v>64</v>
      </c>
      <c r="D61" s="70" t="s">
        <v>271</v>
      </c>
    </row>
    <row r="62" spans="1:4" ht="12.75">
      <c r="A62" s="53" t="s">
        <v>65</v>
      </c>
      <c r="B62" s="3">
        <v>0.01654258</v>
      </c>
      <c r="C62" s="1">
        <v>0</v>
      </c>
      <c r="D62" s="3"/>
    </row>
    <row r="63" spans="1:4" ht="12.75">
      <c r="A63" s="53" t="s">
        <v>66</v>
      </c>
      <c r="B63" s="3">
        <v>0.03626904</v>
      </c>
      <c r="C63" s="1">
        <v>0</v>
      </c>
      <c r="D63" s="3"/>
    </row>
    <row r="64" spans="1:4" ht="12.75">
      <c r="A64" s="53" t="s">
        <v>67</v>
      </c>
      <c r="B64" s="3">
        <v>0.01259719</v>
      </c>
      <c r="C64" s="1">
        <v>0</v>
      </c>
      <c r="D64" s="3"/>
    </row>
    <row r="65" spans="1:4" ht="12.75">
      <c r="A65" s="53" t="s">
        <v>68</v>
      </c>
      <c r="B65" s="3">
        <v>0.90029483</v>
      </c>
      <c r="C65" s="1">
        <v>0</v>
      </c>
      <c r="D65" s="3"/>
    </row>
    <row r="66" spans="1:4" ht="13.5" thickBot="1">
      <c r="A66" s="53" t="s">
        <v>69</v>
      </c>
      <c r="B66" s="3">
        <v>0.03429636</v>
      </c>
      <c r="C66" s="1">
        <v>0</v>
      </c>
      <c r="D66" s="3"/>
    </row>
    <row r="67" spans="1:4" ht="13.5" thickTop="1">
      <c r="A67" s="54" t="s">
        <v>60</v>
      </c>
      <c r="B67" s="55"/>
      <c r="C67" s="56">
        <f>SUM(C62:C66)</f>
        <v>0</v>
      </c>
      <c r="D67" s="2"/>
    </row>
    <row r="68" spans="1:4" ht="12.75">
      <c r="A68" s="40"/>
      <c r="B68" s="40"/>
      <c r="C68" s="40"/>
      <c r="D68" s="57"/>
    </row>
    <row r="69" spans="1:4" ht="38.25">
      <c r="A69" s="51" t="s">
        <v>247</v>
      </c>
      <c r="B69" s="58">
        <f>D4</f>
        <v>500000000</v>
      </c>
      <c r="C69" s="41"/>
      <c r="D69" s="57"/>
    </row>
    <row r="70" spans="1:4" ht="25.5">
      <c r="A70" s="51" t="s">
        <v>241</v>
      </c>
      <c r="B70" s="69">
        <v>0.00135428</v>
      </c>
      <c r="C70" s="41"/>
      <c r="D70" s="57"/>
    </row>
    <row r="71" spans="1:4" ht="39" thickBot="1">
      <c r="A71" s="59" t="s">
        <v>248</v>
      </c>
      <c r="B71" s="60">
        <v>0</v>
      </c>
      <c r="C71" s="41"/>
      <c r="D71" s="57"/>
    </row>
    <row r="72" spans="1:4" ht="39" thickTop="1">
      <c r="A72" s="61" t="s">
        <v>249</v>
      </c>
      <c r="B72" s="56">
        <f>B69-B71</f>
        <v>500000000</v>
      </c>
      <c r="C72" s="41"/>
      <c r="D72" s="57"/>
    </row>
    <row r="74" ht="12.75">
      <c r="A74" s="64"/>
    </row>
  </sheetData>
  <mergeCells count="2">
    <mergeCell ref="A2:D2"/>
    <mergeCell ref="A1:D1"/>
  </mergeCells>
  <printOptions gridLines="1" horizontalCentered="1"/>
  <pageMargins left="0.75" right="0.75" top="0.75" bottom="0.76" header="0.5" footer="0.5"/>
  <pageSetup horizontalDpi="600" verticalDpi="600" orientation="portrait" scale="58" r:id="rId1"/>
  <headerFooter alignWithMargins="0">
    <oddFooter>&amp;L&amp;"Arial,Regular"'&amp;F' [&amp;A]&amp;C&amp;"Arial,Regular"1:10 PM&amp;R&amp;"Arial,Regular"Page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2006-03-27T22:41:10Z</cp:lastPrinted>
  <dcterms:created xsi:type="dcterms:W3CDTF">2006-03-22T22:29:09Z</dcterms:created>
  <dcterms:modified xsi:type="dcterms:W3CDTF">2006-03-27T23:16:41Z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