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665" tabRatio="893" activeTab="0"/>
  </bookViews>
  <sheets>
    <sheet name="State Allocations" sheetId="1" r:id="rId1"/>
    <sheet name="Tribes" sheetId="2" r:id="rId2"/>
    <sheet name="Contingency Formula" sheetId="3" r:id="rId3"/>
    <sheet name="State Criteria Detail" sheetId="4" r:id="rId4"/>
    <sheet name="Census-Heating_Fuel_Users" sheetId="5" r:id="rId5"/>
    <sheet name="NOAA-HDD_Data" sheetId="6" r:id="rId6"/>
  </sheets>
  <definedNames>
    <definedName name="_Fill" hidden="1">#REF!</definedName>
    <definedName name="_xlnm.Print_Area" localSheetId="4">'Census-Heating_Fuel_Users'!$A$1:$K$73</definedName>
    <definedName name="_xlnm.Print_Area" localSheetId="2">'Contingency Formula'!$A$1:$Q$81</definedName>
    <definedName name="_xlnm.Print_Area" localSheetId="5">'NOAA-HDD_Data'!$A$1:$X$69</definedName>
    <definedName name="_xlnm.Print_Area" localSheetId="1">'Tribes'!$A$1:$I$195</definedName>
    <definedName name="Print_Area_MI" localSheetId="1">'Tribes'!$A$1:$I$193</definedName>
    <definedName name="PRINT_AREA_MI">#REF!</definedName>
    <definedName name="_xlnm.Print_Titles" localSheetId="2">'Contingency Formula'!$A:$B,'Contingency Formula'!$1:$10</definedName>
    <definedName name="_xlnm.Print_Titles" localSheetId="5">'NOAA-HDD_Data'!$1:$6</definedName>
    <definedName name="_xlnm.Print_Titles" localSheetId="0">'State Allocations'!$2:$7</definedName>
    <definedName name="_xlnm.Print_Titles" localSheetId="1">'Tribes'!$1:$11</definedName>
  </definedNames>
  <calcPr fullCalcOnLoad="1"/>
</workbook>
</file>

<file path=xl/sharedStrings.xml><?xml version="1.0" encoding="utf-8"?>
<sst xmlns="http://schemas.openxmlformats.org/spreadsheetml/2006/main" count="850" uniqueCount="391">
  <si>
    <t>Emergency Contingency Release</t>
  </si>
  <si>
    <t>Amount Allocated to States by Old-Formula Block Grant Ratios</t>
  </si>
  <si>
    <t>Block Grant Allotment Ratios</t>
  </si>
  <si>
    <t>OIL % HH Using fuel for heat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</si>
  <si>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</si>
  <si>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</si>
  <si>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</si>
  <si>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</si>
  <si>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</si>
  <si>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</si>
  <si>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</si>
  <si>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</si>
  <si>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</si>
  <si>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</si>
  <si>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</si>
  <si>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</si>
  <si>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</si>
  <si>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</si>
  <si>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</si>
  <si>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</si>
  <si>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</si>
  <si>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</si>
  <si>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</si>
  <si>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</si>
  <si>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</si>
  <si>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</si>
  <si>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</si>
  <si>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</si>
  <si>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</si>
  <si>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</si>
  <si>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</si>
  <si>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</si>
  <si>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</si>
  <si>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</si>
  <si>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</si>
  <si>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</si>
  <si>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</si>
  <si>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</si>
  <si>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</si>
  <si>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</si>
  <si>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</si>
  <si>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</si>
  <si>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</si>
  <si>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</si>
  <si>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</si>
  <si>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</si>
  <si>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</si>
  <si>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</si>
  <si>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</si>
  <si>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</si>
  <si>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</si>
  <si>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</si>
  <si>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</si>
  <si>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</si>
  <si>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</si>
  <si>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Total to States</t>
  </si>
  <si>
    <t>Total</t>
  </si>
  <si>
    <t>Territories</t>
  </si>
  <si>
    <t>Ratios by Territory</t>
  </si>
  <si>
    <t>Territory Allotments</t>
  </si>
  <si>
    <t>American Samoa</t>
  </si>
  <si>
    <t>Guam</t>
  </si>
  <si>
    <t>Northern Marianas</t>
  </si>
  <si>
    <t>Puerto Rico</t>
  </si>
  <si>
    <t>Virgin Islands</t>
  </si>
  <si>
    <t>Geography</t>
  </si>
  <si>
    <t>Total households</t>
  </si>
  <si>
    <t>Heating Fuel</t>
  </si>
  <si>
    <t>Utiliy gas</t>
  </si>
  <si>
    <t>Bottled, tank, or LP gas</t>
  </si>
  <si>
    <t>Electricity</t>
  </si>
  <si>
    <t>Fuel oil, kerosene, etc.</t>
  </si>
  <si>
    <t>Coal or coke</t>
  </si>
  <si>
    <t>Wood</t>
  </si>
  <si>
    <t>Solar energy</t>
  </si>
  <si>
    <t>Other fuel</t>
  </si>
  <si>
    <t>No fuel used</t>
  </si>
  <si>
    <t>United States</t>
  </si>
  <si>
    <t>Northeast Region</t>
  </si>
  <si>
    <t>Midwest Region</t>
  </si>
  <si>
    <t>South Region</t>
  </si>
  <si>
    <t>West Region</t>
  </si>
  <si>
    <t>New England Division</t>
  </si>
  <si>
    <t>Middle Atlantic Division</t>
  </si>
  <si>
    <t>East North Central Division</t>
  </si>
  <si>
    <t>West North Central Division</t>
  </si>
  <si>
    <t>South Atlantic Division</t>
  </si>
  <si>
    <t>East South Central Division</t>
  </si>
  <si>
    <t>West South Central Division</t>
  </si>
  <si>
    <t>Mountain Division</t>
  </si>
  <si>
    <t>Pacific Division</t>
  </si>
  <si>
    <t>Percentages of Total Low Income Households</t>
  </si>
  <si>
    <r>
      <t xml:space="preserve">Table11I(N).  </t>
    </r>
    <r>
      <rPr>
        <sz val="12"/>
        <color indexed="8"/>
        <rFont val="Arial"/>
        <family val="2"/>
      </rPr>
      <t>Number of Households with Household Income Less Than Or Equal To Greater of 150% of HHS Poverty Guidelines or 60% of HHS State Median Income Guidelines By Type of Heating Fuel</t>
    </r>
  </si>
  <si>
    <t>Cutoff for % LI HH Using FO</t>
  </si>
  <si>
    <t>LPG % HH Using fuel for heat</t>
  </si>
  <si>
    <t>NG % HH Using fuel for heat</t>
  </si>
  <si>
    <t>POPULATION-WEIGHTED HEATING DEGREE DAY DATA MONTHLY SUMMARY</t>
  </si>
  <si>
    <t>Beginning Date</t>
  </si>
  <si>
    <t xml:space="preserve">From </t>
  </si>
  <si>
    <t>http://www.cpc.ncep.noaa.gov/products/analysis_monitoring/cdus/degree_days/msahddy.txt</t>
  </si>
  <si>
    <t>Ending Date</t>
  </si>
  <si>
    <t>Total number of days</t>
  </si>
  <si>
    <t>Jan-07</t>
  </si>
  <si>
    <t>Feb-07</t>
  </si>
  <si>
    <t>Mar-07</t>
  </si>
  <si>
    <t>Nov-06 - Mar-07</t>
  </si>
  <si>
    <t>Cumulative Totals</t>
  </si>
  <si>
    <t>STATE/REGION</t>
  </si>
  <si>
    <t>Monthly TOTAL</t>
  </si>
  <si>
    <t>Monthly DEV FROM NORM</t>
  </si>
  <si>
    <t>Monthly %  DEV FROM NORM</t>
  </si>
  <si>
    <t>Average Temperature (°F)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</si>
  <si>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</si>
  <si>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</si>
  <si>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</si>
  <si>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</si>
  <si>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</si>
  <si>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</si>
  <si>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</si>
  <si>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</si>
  <si>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</si>
  <si>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</si>
  <si>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</si>
  <si>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</si>
  <si>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</si>
  <si>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</si>
  <si>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</si>
  <si>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</si>
  <si>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</si>
  <si>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</si>
  <si>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</si>
  <si>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</si>
  <si>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</si>
  <si>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</si>
  <si>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</si>
  <si>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</si>
  <si>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</si>
  <si>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</si>
  <si>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</si>
  <si>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</si>
  <si>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</si>
  <si>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</si>
  <si>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</si>
  <si>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</si>
  <si>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</si>
  <si>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</si>
  <si>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</si>
  <si>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</si>
  <si>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</si>
  <si>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</si>
  <si>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</si>
  <si>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</si>
  <si>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</si>
  <si>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</si>
  <si>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</si>
  <si>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</si>
  <si>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</si>
  <si>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</si>
  <si>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</si>
  <si>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</si>
  <si>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</si>
  <si>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</si>
  <si>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</si>
  <si>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NEW ENGLAND</t>
  </si>
  <si>
    <t>MIDDLE ATLANTIC</t>
  </si>
  <si>
    <t>E N CENTRAL</t>
  </si>
  <si>
    <t>W N CENTRAL</t>
  </si>
  <si>
    <t>SOUTH ATLANTIC</t>
  </si>
  <si>
    <t>E S CENTRAL</t>
  </si>
  <si>
    <t>W S CENTRAL</t>
  </si>
  <si>
    <t>MOUNTAIN</t>
  </si>
  <si>
    <t>PACIFIC</t>
  </si>
  <si>
    <t>DEA/KL&amp;PE 05-Mar-07</t>
  </si>
  <si>
    <t>Avg temp</t>
  </si>
  <si>
    <t>Avg. Temp. Cutoff</t>
  </si>
  <si>
    <t>Cutoff for % LI HH Using FO, LPG and NG</t>
  </si>
  <si>
    <t>Amount Allocated to States Meeting FO, LPG, NG and Temperature Criteria</t>
  </si>
  <si>
    <t>Amount Allocated to States Meeting Fuel Oil Criterion</t>
  </si>
  <si>
    <t>Regular Block Grant Funds Only</t>
  </si>
  <si>
    <t>Tribal Allotments and State Allotments Net of Tribal Set-asides</t>
  </si>
  <si>
    <t xml:space="preserve"> </t>
  </si>
  <si>
    <t>SOURCE FOR ALLOTMENT CALCULATIONS</t>
  </si>
  <si>
    <t xml:space="preserve">    A=State/Tribe Agreement On:</t>
  </si>
  <si>
    <t>C=Census Count of Eligible Households</t>
  </si>
  <si>
    <t xml:space="preserve">      #=Household Numbers</t>
  </si>
  <si>
    <t>D=Documented Tribal Eligible</t>
  </si>
  <si>
    <t xml:space="preserve">      %=Percent of State Allotment</t>
  </si>
  <si>
    <t xml:space="preserve">  Household Number </t>
  </si>
  <si>
    <t xml:space="preserve">      $=Dollar Amount</t>
  </si>
  <si>
    <t>TRIBES</t>
  </si>
  <si>
    <t>STATE HHLD #</t>
  </si>
  <si>
    <t>TRIBAL HHLD #</t>
  </si>
  <si>
    <t>SOURCE</t>
  </si>
  <si>
    <t>STATE GROSS ALLOTMENT</t>
  </si>
  <si>
    <t>TRIBAL % OF STATE GROSS ALLOTMENT</t>
  </si>
  <si>
    <t>TRIBAL GRANT AMOUNT</t>
  </si>
  <si>
    <t>STATE TRIBAL SET-ASIDE</t>
  </si>
  <si>
    <t>STATE NET ALLOTMENT</t>
  </si>
  <si>
    <t xml:space="preserve">  Ma-Chis Lower Creek Indian Tribe</t>
  </si>
  <si>
    <t>A/#</t>
  </si>
  <si>
    <t xml:space="preserve">  Mowa Band of Choctaw Indians </t>
  </si>
  <si>
    <t>A/%</t>
  </si>
  <si>
    <t xml:space="preserve">  Poarch Band of Creek Indians </t>
  </si>
  <si>
    <t xml:space="preserve">  United Cherokee Ani-Yun-Wiya Nation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</si>
  <si>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</si>
  <si>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</si>
  <si>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</si>
  <si>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</si>
  <si>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</si>
  <si>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</si>
  <si>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</si>
  <si>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</si>
  <si>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Yakutat Tlingit Tribe </t>
  </si>
  <si>
    <t xml:space="preserve">  Cocopah Tribe</t>
  </si>
  <si>
    <t xml:space="preserve">  Colorado River Indian Tribes</t>
  </si>
  <si>
    <t xml:space="preserve">  Gila River Pima-Maricopa Community</t>
  </si>
  <si>
    <t xml:space="preserve">  Navajo Nation</t>
  </si>
  <si>
    <t xml:space="preserve">  Pascua Yaqui Tribe</t>
  </si>
  <si>
    <t xml:space="preserve">  Quechan Tribe </t>
  </si>
  <si>
    <t xml:space="preserve">  Salt River Pima Maricopa Ind. Cmty.</t>
  </si>
  <si>
    <t xml:space="preserve">  San Carlos Apache Tribe</t>
  </si>
  <si>
    <t xml:space="preserve">  Berry Creek Rancheria</t>
  </si>
  <si>
    <t xml:space="preserve">  Bishop Paiute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</si>
  <si>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</si>
  <si>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</si>
  <si>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</si>
  <si>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</si>
  <si>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Hopland Band</t>
  </si>
  <si>
    <t xml:space="preserve">  Karuk Tribe</t>
  </si>
  <si>
    <t xml:space="preserve">  Mooretown Rancheria</t>
  </si>
  <si>
    <t xml:space="preserve">  N. Cal. Ind. Devel. Council, Inc.(NCIDC)</t>
  </si>
  <si>
    <t xml:space="preserve">  Pinoleville Rancheria</t>
  </si>
  <si>
    <t xml:space="preserve">  Pit River Tribe</t>
  </si>
  <si>
    <t xml:space="preserve">  Quartz Valley</t>
  </si>
  <si>
    <t xml:space="preserve">  Quechan Tribe (Ariz.)</t>
  </si>
  <si>
    <t xml:space="preserve">  Redding Rancheria</t>
  </si>
  <si>
    <t xml:space="preserve">  Redwood Valley</t>
  </si>
  <si>
    <t xml:space="preserve">  Riverside-San Bernardino Indian Health</t>
  </si>
  <si>
    <t xml:space="preserve">  Round Valley</t>
  </si>
  <si>
    <t xml:space="preserve">  Sherwood Valley Rancheria</t>
  </si>
  <si>
    <t xml:space="preserve">  Smith River Rancheria</t>
  </si>
  <si>
    <t xml:space="preserve">  S. Cal. Tribal Chairmen's Association</t>
  </si>
  <si>
    <t xml:space="preserve">  Southern Indian Health Council</t>
  </si>
  <si>
    <t xml:space="preserve">  Yurok Tribe</t>
  </si>
  <si>
    <t xml:space="preserve">  Poarch Band of Creek Indians (Ala.)</t>
  </si>
  <si>
    <t xml:space="preserve">  Coeur d'Alene Tribe</t>
  </si>
  <si>
    <t>C</t>
  </si>
  <si>
    <t xml:space="preserve">  Nez Perce Tribe</t>
  </si>
  <si>
    <t xml:space="preserve">  Shoshone-Bannock Tribes (Fort Hall) </t>
  </si>
  <si>
    <t xml:space="preserve">  Pokagon Band (Mich.)</t>
  </si>
  <si>
    <t>A/$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</si>
  <si>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</si>
  <si>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</si>
  <si>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</si>
  <si>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</si>
  <si>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</si>
  <si>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</si>
  <si>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</si>
  <si>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</si>
  <si>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</si>
  <si>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Keweenaw Bay Indian Community</t>
  </si>
  <si>
    <t xml:space="preserve">  Little River Band of Ottawa Indians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</si>
  <si>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</si>
  <si>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</si>
  <si>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</si>
  <si>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</si>
  <si>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</si>
  <si>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Chippewa-Cree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</si>
  <si>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</si>
  <si>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</si>
  <si>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</si>
  <si>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</si>
  <si>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</si>
  <si>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</si>
  <si>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</si>
  <si>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Jemez</t>
  </si>
  <si>
    <t xml:space="preserve">  Pueblo of Laguna</t>
  </si>
  <si>
    <t xml:space="preserve">  Pueblo of Nambe</t>
  </si>
  <si>
    <t xml:space="preserve">  Pueblo of Zuni</t>
  </si>
  <si>
    <t xml:space="preserve">  Seneca Nation</t>
  </si>
  <si>
    <t xml:space="preserve">  St. Regis Mohawk Band</t>
  </si>
  <si>
    <t xml:space="preserve">  Lumbee Tribe</t>
  </si>
  <si>
    <t xml:space="preserve">  Spirit Lake Tribe 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</si>
  <si>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</si>
  <si>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</si>
  <si>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</si>
  <si>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</si>
  <si>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Alabama-Quassarte Tribal Town</t>
  </si>
  <si>
    <t xml:space="preserve">  Apache Tribe of Oklahoma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</si>
  <si>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</si>
  <si>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</si>
  <si>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</si>
  <si>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</si>
  <si>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</si>
  <si>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 </t>
  </si>
  <si>
    <t xml:space="preserve">  Comanche Indian Tribe</t>
  </si>
  <si>
    <t xml:space="preserve">  Delaware Nation of Western Oklahoma</t>
  </si>
  <si>
    <t xml:space="preserve">  Eastern Shawnee Tribe of Oklahoma</t>
  </si>
  <si>
    <t xml:space="preserve">  Kialegee Tribal Town</t>
  </si>
  <si>
    <t xml:space="preserve">  Kickapoo Tribe of Oklahoma</t>
  </si>
  <si>
    <t xml:space="preserve">  Kiowa Indian Tribe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</si>
  <si>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</si>
  <si>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</si>
  <si>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</si>
  <si>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</si>
  <si>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</si>
  <si>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Ottawa Tribe of Oklahoma</t>
  </si>
  <si>
    <t xml:space="preserve">  Pawnee Tribe</t>
  </si>
  <si>
    <t xml:space="preserve">  Ponca Tribe</t>
  </si>
  <si>
    <t xml:space="preserve">  Quapaw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</si>
  <si>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</si>
  <si>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</si>
  <si>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</si>
  <si>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Shawnee Tribe</t>
  </si>
  <si>
    <t xml:space="preserve">  Tonkawa Tribe </t>
  </si>
  <si>
    <t xml:space="preserve">  United Keetowah</t>
  </si>
  <si>
    <t xml:space="preserve">  Wichita &amp; Affiliated Tribes</t>
  </si>
  <si>
    <t xml:space="preserve">  Wyandotte Nation</t>
  </si>
  <si>
    <t xml:space="preserve">  Conf. Tribe of Coos-Lower Umpqua </t>
  </si>
  <si>
    <t xml:space="preserve">  Conf. Tribes of Grand Ronde</t>
  </si>
  <si>
    <t xml:space="preserve">  Conf. Tribes of Siletz Indians</t>
  </si>
  <si>
    <t xml:space="preserve">  Conf. Tribes of Warm Springs</t>
  </si>
  <si>
    <t xml:space="preserve">  Cow Creek Band of Umpqua Indians</t>
  </si>
  <si>
    <t xml:space="preserve">  Klamath Tribe</t>
  </si>
  <si>
    <t xml:space="preserve">  Narragansett Indian Tribe</t>
  </si>
  <si>
    <t xml:space="preserve">  Cheyenne River Sioux Tribe</t>
  </si>
  <si>
    <t xml:space="preserve">  Lower Brule Sioux Tribe</t>
  </si>
  <si>
    <t xml:space="preserve">  Oglala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</si>
  <si>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</si>
  <si>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</si>
  <si>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</si>
  <si>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</si>
  <si>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</si>
  <si>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</si>
  <si>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</si>
  <si>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Hoh Tribe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</si>
  <si>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</si>
  <si>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</si>
  <si>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</si>
  <si>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</si>
  <si>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</si>
  <si>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</si>
  <si>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</si>
  <si>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</si>
  <si>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</si>
  <si>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</si>
  <si>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</si>
  <si>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Samish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</si>
  <si>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</si>
  <si>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</si>
  <si>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</si>
  <si>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Suquamish Tribe</t>
  </si>
  <si>
    <t xml:space="preserve">  Swinomish Indians</t>
  </si>
  <si>
    <t xml:space="preserve">  Tulalip Tribe</t>
  </si>
  <si>
    <t xml:space="preserve">  Yakama Indian Nation</t>
  </si>
  <si>
    <t xml:space="preserve">  Northern Arapaho Nation</t>
  </si>
  <si>
    <t xml:space="preserve"> TOTALS FOR STATES WITH TRIBES FUNDED DIRECTLY BY HHS</t>
  </si>
  <si>
    <t>Total allocation available to the States &amp; Tribes</t>
  </si>
  <si>
    <t>State</t>
  </si>
  <si>
    <t>Gross Allotments</t>
  </si>
  <si>
    <t>Tribal Set-Aside</t>
  </si>
  <si>
    <t xml:space="preserve"> Net Allotments</t>
  </si>
  <si>
    <t xml:space="preserve">Exclusion Criteria: (1) $50 Million: States with 20% or more HH using fuel oil; </t>
  </si>
  <si>
    <r>
      <t xml:space="preserve">(2) $250 Million: States with 60% or more HH using FO, LPG or NG and with previous winter's temperature at or below 39 </t>
    </r>
    <r>
      <rPr>
        <sz val="10"/>
        <rFont val="Times New Roman"/>
        <family val="1"/>
      </rPr>
      <t>°</t>
    </r>
    <r>
      <rPr>
        <sz val="10"/>
        <rFont val="Arial"/>
        <family val="2"/>
      </rPr>
      <t xml:space="preserve"> F.</t>
    </r>
  </si>
  <si>
    <t>Portion of Release to the Territories</t>
  </si>
  <si>
    <t>Total to States by BG Ratios (Unrestricted)</t>
  </si>
  <si>
    <t>Amount to Territories</t>
  </si>
  <si>
    <t>TOTAL to States</t>
  </si>
  <si>
    <t>Total to States by FO, LPG, NG and Temp.</t>
  </si>
  <si>
    <t>Total to States by FO, only</t>
  </si>
  <si>
    <t>Total to States by BG Ratios</t>
  </si>
  <si>
    <t>16-Jan-08</t>
  </si>
  <si>
    <t>FY 2008 LIHEAP CONTINGENCY DISTRIBUTION</t>
  </si>
  <si>
    <t>Gross Allocations</t>
  </si>
  <si>
    <t>STATE TOTAL</t>
  </si>
  <si>
    <t>State Allocations of 3 Criteria Used</t>
  </si>
  <si>
    <t xml:space="preserve">$150m - Block </t>
  </si>
  <si>
    <t>$150M Base Formula</t>
  </si>
  <si>
    <t>$250m-All Fuels/Temp</t>
  </si>
  <si>
    <t>$250M 60% oil-propane-gas use and 39 degrees Farenheit</t>
  </si>
  <si>
    <t>$50m - Oil Use Only</t>
  </si>
  <si>
    <t>$50M HH w/ 20% oil use</t>
  </si>
  <si>
    <t>TOTAL $450m</t>
  </si>
  <si>
    <t>State Gross</t>
  </si>
  <si>
    <t>Allotments</t>
  </si>
  <si>
    <t>$150M Base Formula + $250M 60% oil-propane-gas use and 39 degrees Farenheit + $50M HH w/ 20% oil use</t>
  </si>
  <si>
    <t>26 States</t>
  </si>
  <si>
    <t>11 States</t>
  </si>
  <si>
    <t>All States</t>
  </si>
  <si>
    <t xml:space="preserve">  N. Cal. Ind. Devel. Council, Inc.(NCIDC) (Ariz.)</t>
  </si>
  <si>
    <t>Attachment 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</si>
</sst>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00_)"/>
    <numFmt numFmtId="166" formatCode="0.00000000%"/>
    <numFmt numFmtId="167" formatCode="#,##0.00000000"/>
    <numFmt numFmtId="168" formatCode="#,##0.00000000_);\(#,##0.00000000\)"/>
    <numFmt numFmtId="169" formatCode="0\ \°\F"/>
    <numFmt numFmtId="170" formatCode="0.0000%"/>
    <numFmt numFmtId="171" formatCode="&quot;$&quot;#,##0.00"/>
    <numFmt numFmtId="172" formatCode="0.00000_)"/>
    <numFmt numFmtId="173" formatCode="[$-409]d\-mmm\-yy;@"/>
    <numFmt numFmtId="174" formatCode="0.00\ \°\F"/>
    <numFmt numFmtId="175" formatCode="&quot;$&quot;#,##0.00000000"/>
    <numFmt numFmtId="176" formatCode="0.0%"/>
    <numFmt numFmtId="177" formatCode="0.000%"/>
    <numFmt numFmtId="178" formatCode="0.00000%"/>
  </numFmts>
  <fonts count="26">
    <font>
      <sz val="10"/>
      <name val="Times New Roman"/>
      <family val="0"/>
    </font>
    <font>
      <sz val="10"/>
      <name val="Arial"/>
      <family val="0"/>
    </font>
    <font>
      <u val="single"/>
      <sz val="11.5"/>
      <color indexed="36"/>
      <name val="Times New Roman"/>
      <family val="0"/>
    </font>
    <font>
      <u val="single"/>
      <sz val="11.5"/>
      <color indexed="12"/>
      <name val="Times New Roman"/>
      <family val="0"/>
    </font>
    <font>
      <sz val="10"/>
      <name val="Courier"/>
      <family val="0"/>
    </font>
    <font>
      <sz val="8"/>
      <name val="Times New Roman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8"/>
      <name val="Courier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0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5" fontId="6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9" fontId="6" fillId="0" borderId="0" xfId="34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165" fontId="1" fillId="0" borderId="0" xfId="0" applyNumberFormat="1" applyFont="1" applyFill="1" applyAlignment="1" applyProtection="1">
      <alignment/>
      <protection/>
    </xf>
    <xf numFmtId="1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 applyProtection="1">
      <alignment/>
      <protection/>
    </xf>
    <xf numFmtId="0" fontId="1" fillId="0" borderId="1" xfId="31" applyFill="1" applyBorder="1">
      <alignment/>
      <protection/>
    </xf>
    <xf numFmtId="0" fontId="1" fillId="0" borderId="2" xfId="0" applyFont="1" applyFill="1" applyBorder="1" applyAlignment="1">
      <alignment/>
    </xf>
    <xf numFmtId="9" fontId="1" fillId="0" borderId="2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167" fontId="1" fillId="0" borderId="2" xfId="0" applyNumberFormat="1" applyFont="1" applyFill="1" applyBorder="1" applyAlignment="1">
      <alignment/>
    </xf>
    <xf numFmtId="9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 quotePrefix="1">
      <alignment/>
    </xf>
    <xf numFmtId="164" fontId="1" fillId="0" borderId="0" xfId="0" applyNumberFormat="1" applyFont="1" applyFill="1" applyBorder="1" applyAlignment="1">
      <alignment/>
    </xf>
    <xf numFmtId="168" fontId="1" fillId="0" borderId="0" xfId="29" applyNumberFormat="1" applyFont="1" applyFill="1" applyBorder="1" applyProtection="1">
      <alignment/>
      <protection/>
    </xf>
    <xf numFmtId="0" fontId="6" fillId="0" borderId="2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37" fontId="1" fillId="0" borderId="0" xfId="29" applyNumberFormat="1" applyFont="1" applyFill="1" applyBorder="1" applyAlignment="1" applyProtection="1">
      <alignment horizontal="center"/>
      <protection/>
    </xf>
    <xf numFmtId="5" fontId="6" fillId="0" borderId="0" xfId="29" applyNumberFormat="1" applyFont="1" applyFill="1" applyBorder="1" applyProtection="1">
      <alignment/>
      <protection/>
    </xf>
    <xf numFmtId="0" fontId="7" fillId="0" borderId="0" xfId="0" applyFont="1" applyFill="1" applyAlignment="1">
      <alignment/>
    </xf>
    <xf numFmtId="37" fontId="1" fillId="0" borderId="0" xfId="29" applyNumberFormat="1" applyFont="1" applyFill="1" applyBorder="1" applyAlignment="1" applyProtection="1">
      <alignment horizontal="left"/>
      <protection/>
    </xf>
    <xf numFmtId="37" fontId="1" fillId="0" borderId="2" xfId="29" applyNumberFormat="1" applyFont="1" applyFill="1" applyBorder="1" applyAlignment="1" applyProtection="1">
      <alignment horizontal="center"/>
      <protection/>
    </xf>
    <xf numFmtId="37" fontId="1" fillId="0" borderId="2" xfId="29" applyNumberFormat="1" applyFont="1" applyFill="1" applyBorder="1" applyAlignment="1" applyProtection="1">
      <alignment horizontal="left"/>
      <protection/>
    </xf>
    <xf numFmtId="5" fontId="6" fillId="0" borderId="2" xfId="29" applyNumberFormat="1" applyFont="1" applyFill="1" applyBorder="1" applyProtection="1">
      <alignment/>
      <protection/>
    </xf>
    <xf numFmtId="37" fontId="1" fillId="0" borderId="0" xfId="29" applyFont="1">
      <alignment/>
      <protection/>
    </xf>
    <xf numFmtId="0" fontId="14" fillId="0" borderId="0" xfId="33" applyFont="1" applyFill="1" applyAlignment="1">
      <alignment/>
      <protection/>
    </xf>
    <xf numFmtId="0" fontId="15" fillId="0" borderId="0" xfId="33" applyFont="1" applyFill="1">
      <alignment/>
      <protection/>
    </xf>
    <xf numFmtId="0" fontId="15" fillId="0" borderId="3" xfId="33" applyFont="1" applyFill="1" applyBorder="1" applyAlignment="1">
      <alignment horizontal="center"/>
      <protection/>
    </xf>
    <xf numFmtId="0" fontId="1" fillId="0" borderId="0" xfId="33" applyBorder="1" applyAlignment="1">
      <alignment/>
      <protection/>
    </xf>
    <xf numFmtId="0" fontId="14" fillId="0" borderId="0" xfId="33" applyFont="1" applyFill="1" applyBorder="1" applyAlignment="1">
      <alignment wrapText="1"/>
      <protection/>
    </xf>
    <xf numFmtId="0" fontId="15" fillId="0" borderId="0" xfId="33" applyFont="1" applyFill="1" applyBorder="1" applyAlignment="1">
      <alignment horizontal="center"/>
      <protection/>
    </xf>
    <xf numFmtId="0" fontId="14" fillId="0" borderId="0" xfId="33" applyFont="1" applyFill="1">
      <alignment/>
      <protection/>
    </xf>
    <xf numFmtId="3" fontId="14" fillId="0" borderId="0" xfId="33" applyNumberFormat="1" applyFont="1" applyFill="1" applyAlignment="1">
      <alignment/>
      <protection/>
    </xf>
    <xf numFmtId="10" fontId="14" fillId="0" borderId="0" xfId="34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11" fontId="1" fillId="0" borderId="0" xfId="0" applyNumberFormat="1" applyFont="1" applyFill="1" applyAlignment="1">
      <alignment/>
    </xf>
    <xf numFmtId="11" fontId="1" fillId="0" borderId="0" xfId="0" applyNumberFormat="1" applyFont="1" applyFill="1" applyAlignment="1">
      <alignment/>
    </xf>
    <xf numFmtId="37" fontId="1" fillId="0" borderId="0" xfId="29" applyNumberFormat="1" applyFont="1" applyFill="1" applyBorder="1" applyAlignment="1" applyProtection="1">
      <alignment horizontal="center" wrapText="1"/>
      <protection/>
    </xf>
    <xf numFmtId="5" fontId="6" fillId="0" borderId="0" xfId="29" applyNumberFormat="1" applyFont="1" applyFill="1" applyBorder="1" applyAlignment="1" applyProtection="1">
      <alignment wrapText="1"/>
      <protection/>
    </xf>
    <xf numFmtId="0" fontId="1" fillId="0" borderId="0" xfId="28" applyFont="1" applyAlignment="1">
      <alignment/>
      <protection/>
    </xf>
    <xf numFmtId="0" fontId="1" fillId="0" borderId="0" xfId="28" applyFont="1">
      <alignment/>
      <protection/>
    </xf>
    <xf numFmtId="0" fontId="1" fillId="0" borderId="0" xfId="28" applyFont="1" applyBorder="1" applyAlignment="1">
      <alignment horizontal="right" wrapText="1"/>
      <protection/>
    </xf>
    <xf numFmtId="173" fontId="1" fillId="0" borderId="0" xfId="24" applyNumberFormat="1" applyFont="1" applyAlignment="1">
      <alignment horizontal="left" wrapText="1"/>
    </xf>
    <xf numFmtId="0" fontId="16" fillId="0" borderId="0" xfId="24" applyFont="1" applyAlignment="1">
      <alignment horizontal="left"/>
    </xf>
    <xf numFmtId="0" fontId="16" fillId="0" borderId="0" xfId="24" applyFont="1" applyAlignment="1">
      <alignment horizontal="left" wrapText="1"/>
    </xf>
    <xf numFmtId="0" fontId="1" fillId="0" borderId="0" xfId="28" applyFont="1" applyBorder="1">
      <alignment/>
      <protection/>
    </xf>
    <xf numFmtId="1" fontId="1" fillId="0" borderId="0" xfId="28" applyNumberFormat="1" applyFont="1" applyFill="1" applyBorder="1" applyAlignment="1">
      <alignment horizontal="left"/>
      <protection/>
    </xf>
    <xf numFmtId="0" fontId="1" fillId="0" borderId="0" xfId="28" applyFont="1" applyAlignment="1">
      <alignment wrapText="1"/>
      <protection/>
    </xf>
    <xf numFmtId="0" fontId="1" fillId="0" borderId="0" xfId="28" applyFont="1" applyBorder="1" applyAlignment="1">
      <alignment horizontal="center"/>
      <protection/>
    </xf>
    <xf numFmtId="17" fontId="1" fillId="0" borderId="0" xfId="28" applyNumberFormat="1" applyFont="1" applyBorder="1" applyAlignment="1" quotePrefix="1">
      <alignment wrapText="1"/>
      <protection/>
    </xf>
    <xf numFmtId="0" fontId="1" fillId="0" borderId="0" xfId="28" applyFont="1" applyBorder="1" applyAlignment="1">
      <alignment/>
      <protection/>
    </xf>
    <xf numFmtId="0" fontId="1" fillId="0" borderId="4" xfId="28" applyFont="1" applyBorder="1">
      <alignment/>
      <protection/>
    </xf>
    <xf numFmtId="0" fontId="1" fillId="0" borderId="5" xfId="28" applyFont="1" applyBorder="1" applyAlignment="1">
      <alignment wrapText="1"/>
      <protection/>
    </xf>
    <xf numFmtId="0" fontId="1" fillId="0" borderId="5" xfId="28" applyFont="1" applyBorder="1" applyAlignment="1">
      <alignment horizontal="right" wrapText="1"/>
      <protection/>
    </xf>
    <xf numFmtId="0" fontId="1" fillId="0" borderId="6" xfId="28" applyFont="1" applyBorder="1" applyAlignment="1">
      <alignment horizontal="right" wrapText="1"/>
      <protection/>
    </xf>
    <xf numFmtId="0" fontId="1" fillId="0" borderId="7" xfId="28" applyFont="1" applyBorder="1" applyAlignment="1">
      <alignment horizontal="right" wrapText="1"/>
      <protection/>
    </xf>
    <xf numFmtId="0" fontId="1" fillId="0" borderId="0" xfId="28" applyNumberFormat="1" applyFont="1" applyFill="1" applyBorder="1">
      <alignment/>
      <protection/>
    </xf>
    <xf numFmtId="9" fontId="1" fillId="0" borderId="4" xfId="28" applyNumberFormat="1" applyFont="1" applyFill="1" applyBorder="1">
      <alignment/>
      <protection/>
    </xf>
    <xf numFmtId="9" fontId="1" fillId="0" borderId="0" xfId="28" applyNumberFormat="1" applyFont="1" applyFill="1" applyBorder="1">
      <alignment/>
      <protection/>
    </xf>
    <xf numFmtId="0" fontId="1" fillId="0" borderId="1" xfId="28" applyNumberFormat="1" applyFont="1" applyFill="1" applyBorder="1">
      <alignment/>
      <protection/>
    </xf>
    <xf numFmtId="174" fontId="1" fillId="0" borderId="0" xfId="28" applyNumberFormat="1" applyFont="1">
      <alignment/>
      <protection/>
    </xf>
    <xf numFmtId="0" fontId="1" fillId="0" borderId="0" xfId="28" applyFont="1" applyBorder="1" applyAlignment="1">
      <alignment wrapText="1"/>
      <protection/>
    </xf>
    <xf numFmtId="0" fontId="1" fillId="0" borderId="0" xfId="28" applyFont="1" applyFill="1" applyBorder="1">
      <alignment/>
      <protection/>
    </xf>
    <xf numFmtId="0" fontId="17" fillId="0" borderId="0" xfId="28" applyFont="1" applyAlignment="1">
      <alignment wrapText="1"/>
      <protection/>
    </xf>
    <xf numFmtId="0" fontId="17" fillId="0" borderId="0" xfId="28" applyFont="1">
      <alignment/>
      <protection/>
    </xf>
    <xf numFmtId="0" fontId="17" fillId="0" borderId="0" xfId="28" applyNumberFormat="1" applyFont="1" applyFill="1" applyBorder="1">
      <alignment/>
      <protection/>
    </xf>
    <xf numFmtId="9" fontId="17" fillId="0" borderId="0" xfId="28" applyNumberFormat="1" applyFont="1" applyFill="1" applyBorder="1">
      <alignment/>
      <protection/>
    </xf>
    <xf numFmtId="0" fontId="1" fillId="0" borderId="0" xfId="28">
      <alignment/>
      <protection/>
    </xf>
    <xf numFmtId="0" fontId="1" fillId="0" borderId="0" xfId="28" applyAlignment="1">
      <alignment/>
      <protection/>
    </xf>
    <xf numFmtId="0" fontId="1" fillId="0" borderId="0" xfId="28" applyAlignment="1">
      <alignment wrapText="1"/>
      <protection/>
    </xf>
    <xf numFmtId="0" fontId="1" fillId="0" borderId="0" xfId="0" applyFont="1" applyFill="1" applyBorder="1" applyAlignment="1">
      <alignment horizontal="right"/>
    </xf>
    <xf numFmtId="169" fontId="6" fillId="0" borderId="0" xfId="28" applyNumberFormat="1" applyFont="1" applyAlignment="1">
      <alignment horizontal="center"/>
      <protection/>
    </xf>
    <xf numFmtId="165" fontId="1" fillId="0" borderId="2" xfId="0" applyNumberFormat="1" applyFont="1" applyFill="1" applyBorder="1" applyAlignment="1" applyProtection="1">
      <alignment/>
      <protection/>
    </xf>
    <xf numFmtId="37" fontId="1" fillId="0" borderId="0" xfId="30" applyFont="1">
      <alignment/>
      <protection/>
    </xf>
    <xf numFmtId="37" fontId="6" fillId="0" borderId="0" xfId="30" applyNumberFormat="1" applyFont="1" applyAlignment="1" applyProtection="1">
      <alignment horizontal="left"/>
      <protection/>
    </xf>
    <xf numFmtId="37" fontId="1" fillId="0" borderId="0" xfId="30" applyNumberFormat="1" applyFont="1" applyAlignment="1" applyProtection="1">
      <alignment horizontal="left"/>
      <protection/>
    </xf>
    <xf numFmtId="5" fontId="19" fillId="0" borderId="0" xfId="30" applyNumberFormat="1" applyFont="1" applyAlignment="1">
      <alignment horizontal="left"/>
      <protection/>
    </xf>
    <xf numFmtId="15" fontId="20" fillId="0" borderId="0" xfId="32" applyNumberFormat="1" applyFont="1" applyAlignment="1">
      <alignment horizontal="left"/>
      <protection/>
    </xf>
    <xf numFmtId="37" fontId="6" fillId="0" borderId="0" xfId="30" applyFont="1">
      <alignment/>
      <protection/>
    </xf>
    <xf numFmtId="0" fontId="21" fillId="0" borderId="0" xfId="25" applyFont="1" applyFill="1" applyAlignment="1" applyProtection="1">
      <alignment horizontal="center" vertical="top"/>
      <protection/>
    </xf>
    <xf numFmtId="37" fontId="1" fillId="0" borderId="0" xfId="30" applyNumberFormat="1" applyFont="1" applyBorder="1" applyAlignment="1" applyProtection="1">
      <alignment horizontal="center" wrapText="1"/>
      <protection/>
    </xf>
    <xf numFmtId="37" fontId="1" fillId="0" borderId="0" xfId="30" applyFont="1" applyBorder="1" applyAlignment="1">
      <alignment horizontal="center" wrapText="1"/>
      <protection/>
    </xf>
    <xf numFmtId="37" fontId="1" fillId="0" borderId="0" xfId="30" applyNumberFormat="1" applyFont="1" applyFill="1" applyBorder="1" applyAlignment="1" applyProtection="1">
      <alignment horizontal="center" wrapText="1"/>
      <protection/>
    </xf>
    <xf numFmtId="37" fontId="1" fillId="0" borderId="0" xfId="30" applyFont="1" applyBorder="1">
      <alignment/>
      <protection/>
    </xf>
    <xf numFmtId="37" fontId="6" fillId="0" borderId="0" xfId="30" applyNumberFormat="1" applyFont="1" applyFill="1" applyAlignment="1" applyProtection="1">
      <alignment horizontal="left"/>
      <protection/>
    </xf>
    <xf numFmtId="37" fontId="1" fillId="0" borderId="0" xfId="30" applyFont="1" applyFill="1">
      <alignment/>
      <protection/>
    </xf>
    <xf numFmtId="5" fontId="1" fillId="0" borderId="0" xfId="30" applyNumberFormat="1" applyFont="1" applyFill="1" applyProtection="1">
      <alignment/>
      <protection/>
    </xf>
    <xf numFmtId="37" fontId="1" fillId="0" borderId="0" xfId="30" applyNumberFormat="1" applyFont="1" applyFill="1" applyAlignment="1" applyProtection="1">
      <alignment horizontal="center"/>
      <protection/>
    </xf>
    <xf numFmtId="170" fontId="1" fillId="0" borderId="0" xfId="30" applyNumberFormat="1" applyFont="1" applyFill="1">
      <alignment/>
      <protection/>
    </xf>
    <xf numFmtId="37" fontId="1" fillId="0" borderId="0" xfId="30" applyNumberFormat="1" applyFont="1" applyFill="1" applyAlignment="1" applyProtection="1">
      <alignment horizontal="left"/>
      <protection/>
    </xf>
    <xf numFmtId="37" fontId="1" fillId="0" borderId="0" xfId="30" applyNumberFormat="1" applyFont="1" applyFill="1" applyProtection="1">
      <alignment/>
      <protection/>
    </xf>
    <xf numFmtId="3" fontId="1" fillId="0" borderId="0" xfId="30" applyNumberFormat="1" applyFont="1" applyFill="1" applyProtection="1">
      <alignment/>
      <protection/>
    </xf>
    <xf numFmtId="170" fontId="1" fillId="0" borderId="0" xfId="30" applyNumberFormat="1" applyFont="1" applyFill="1" applyProtection="1">
      <alignment/>
      <protection/>
    </xf>
    <xf numFmtId="5" fontId="1" fillId="0" borderId="0" xfId="30" applyNumberFormat="1" applyFont="1" applyFill="1">
      <alignment/>
      <protection/>
    </xf>
    <xf numFmtId="5" fontId="1" fillId="0" borderId="0" xfId="30" applyNumberFormat="1" applyFont="1" applyFill="1" applyAlignment="1" applyProtection="1">
      <alignment horizontal="left"/>
      <protection/>
    </xf>
    <xf numFmtId="37" fontId="1" fillId="0" borderId="0" xfId="0" applyNumberFormat="1" applyFont="1" applyFill="1" applyAlignment="1" applyProtection="1">
      <alignment horizontal="left"/>
      <protection/>
    </xf>
    <xf numFmtId="37" fontId="1" fillId="0" borderId="0" xfId="30" applyNumberFormat="1" applyFont="1" applyFill="1" applyAlignment="1" applyProtection="1">
      <alignment horizontal="right"/>
      <protection/>
    </xf>
    <xf numFmtId="165" fontId="1" fillId="0" borderId="0" xfId="30" applyNumberFormat="1" applyFont="1" applyProtection="1">
      <alignment/>
      <protection/>
    </xf>
    <xf numFmtId="5" fontId="1" fillId="0" borderId="0" xfId="30" applyNumberFormat="1" applyFont="1" applyProtection="1">
      <alignment/>
      <protection/>
    </xf>
    <xf numFmtId="0" fontId="0" fillId="0" borderId="0" xfId="0" applyFont="1" applyAlignment="1">
      <alignment/>
    </xf>
    <xf numFmtId="0" fontId="1" fillId="0" borderId="0" xfId="27" applyFont="1" applyAlignment="1">
      <alignment horizontal="center"/>
      <protection/>
    </xf>
    <xf numFmtId="0" fontId="1" fillId="0" borderId="0" xfId="26" applyFont="1" applyAlignment="1">
      <alignment horizontal="left"/>
      <protection/>
    </xf>
    <xf numFmtId="0" fontId="1" fillId="0" borderId="0" xfId="27" applyFont="1">
      <alignment/>
      <protection/>
    </xf>
    <xf numFmtId="0" fontId="6" fillId="0" borderId="0" xfId="27" applyFont="1">
      <alignment/>
      <protection/>
    </xf>
    <xf numFmtId="164" fontId="6" fillId="0" borderId="0" xfId="26" applyNumberFormat="1" applyFont="1">
      <alignment/>
      <protection/>
    </xf>
    <xf numFmtId="37" fontId="19" fillId="0" borderId="0" xfId="29" applyFont="1">
      <alignment/>
      <protection/>
    </xf>
    <xf numFmtId="37" fontId="1" fillId="0" borderId="0" xfId="29" applyNumberFormat="1" applyFont="1" applyAlignment="1" applyProtection="1">
      <alignment horizontal="left"/>
      <protection/>
    </xf>
    <xf numFmtId="37" fontId="1" fillId="0" borderId="5" xfId="29" applyNumberFormat="1" applyFont="1" applyBorder="1" applyAlignment="1" applyProtection="1">
      <alignment horizontal="center"/>
      <protection/>
    </xf>
    <xf numFmtId="37" fontId="6" fillId="0" borderId="5" xfId="29" applyNumberFormat="1" applyFont="1" applyBorder="1" applyAlignment="1" applyProtection="1">
      <alignment horizontal="center"/>
      <protection/>
    </xf>
    <xf numFmtId="37" fontId="6" fillId="0" borderId="0" xfId="29" applyNumberFormat="1" applyFont="1" applyAlignment="1" applyProtection="1">
      <alignment horizontal="left"/>
      <protection/>
    </xf>
    <xf numFmtId="37" fontId="6" fillId="0" borderId="0" xfId="29" applyFont="1">
      <alignment/>
      <protection/>
    </xf>
    <xf numFmtId="5" fontId="6" fillId="0" borderId="0" xfId="29" applyNumberFormat="1" applyFont="1" applyProtection="1">
      <alignment/>
      <protection/>
    </xf>
    <xf numFmtId="37" fontId="1" fillId="0" borderId="0" xfId="29" applyNumberFormat="1" applyFont="1" applyAlignment="1" applyProtection="1">
      <alignment horizontal="center"/>
      <protection/>
    </xf>
    <xf numFmtId="172" fontId="1" fillId="0" borderId="0" xfId="0" applyNumberFormat="1" applyFont="1" applyFill="1" applyAlignment="1" applyProtection="1">
      <alignment/>
      <protection/>
    </xf>
    <xf numFmtId="164" fontId="8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 indent="1"/>
    </xf>
    <xf numFmtId="0" fontId="6" fillId="0" borderId="2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7" fontId="21" fillId="0" borderId="8" xfId="29" applyNumberFormat="1" applyFont="1" applyFill="1" applyBorder="1" applyAlignment="1" applyProtection="1">
      <alignment horizontal="center"/>
      <protection/>
    </xf>
    <xf numFmtId="37" fontId="1" fillId="0" borderId="9" xfId="29" applyFont="1" applyFill="1" applyBorder="1">
      <alignment/>
      <protection/>
    </xf>
    <xf numFmtId="37" fontId="1" fillId="0" borderId="9" xfId="29" applyNumberFormat="1" applyFont="1" applyFill="1" applyBorder="1" applyAlignment="1" applyProtection="1">
      <alignment horizontal="left"/>
      <protection/>
    </xf>
    <xf numFmtId="37" fontId="1" fillId="0" borderId="10" xfId="29" applyNumberFormat="1" applyFont="1" applyFill="1" applyBorder="1" applyAlignment="1" applyProtection="1">
      <alignment horizontal="left"/>
      <protection/>
    </xf>
    <xf numFmtId="37" fontId="1" fillId="0" borderId="11" xfId="29" applyNumberFormat="1" applyFont="1" applyFill="1" applyBorder="1" applyAlignment="1" applyProtection="1">
      <alignment horizontal="center"/>
      <protection/>
    </xf>
    <xf numFmtId="37" fontId="1" fillId="0" borderId="9" xfId="29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wrapText="1"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5" fontId="1" fillId="0" borderId="12" xfId="29" applyNumberFormat="1" applyFont="1" applyFill="1" applyBorder="1" applyProtection="1">
      <alignment/>
      <protection/>
    </xf>
    <xf numFmtId="164" fontId="1" fillId="0" borderId="9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5" fontId="1" fillId="0" borderId="0" xfId="29" applyNumberFormat="1" applyFont="1" applyFill="1" applyBorder="1" applyProtection="1">
      <alignment/>
      <protection/>
    </xf>
    <xf numFmtId="0" fontId="2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5" fontId="1" fillId="0" borderId="15" xfId="0" applyNumberFormat="1" applyFont="1" applyBorder="1" applyAlignment="1">
      <alignment/>
    </xf>
    <xf numFmtId="5" fontId="1" fillId="0" borderId="16" xfId="29" applyNumberFormat="1" applyFont="1" applyFill="1" applyBorder="1" applyProtection="1">
      <alignment/>
      <protection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37" fontId="1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/>
    </xf>
    <xf numFmtId="37" fontId="1" fillId="0" borderId="0" xfId="29" applyNumberFormat="1" applyFont="1" applyFill="1" applyAlignment="1" applyProtection="1">
      <alignment horizontal="left"/>
      <protection/>
    </xf>
    <xf numFmtId="5" fontId="6" fillId="0" borderId="0" xfId="29" applyNumberFormat="1" applyFont="1" applyFill="1" applyProtection="1">
      <alignment/>
      <protection/>
    </xf>
    <xf numFmtId="5" fontId="1" fillId="0" borderId="0" xfId="29" applyNumberFormat="1" applyFont="1" applyFill="1" applyProtection="1">
      <alignment/>
      <protection/>
    </xf>
    <xf numFmtId="37" fontId="1" fillId="0" borderId="17" xfId="29" applyNumberFormat="1" applyFont="1" applyFill="1" applyBorder="1" applyAlignment="1" applyProtection="1">
      <alignment horizontal="left"/>
      <protection/>
    </xf>
    <xf numFmtId="5" fontId="6" fillId="0" borderId="17" xfId="29" applyNumberFormat="1" applyFont="1" applyFill="1" applyBorder="1" applyProtection="1">
      <alignment/>
      <protection/>
    </xf>
    <xf numFmtId="5" fontId="1" fillId="0" borderId="17" xfId="29" applyNumberFormat="1" applyFont="1" applyFill="1" applyBorder="1" applyProtection="1">
      <alignment/>
      <protection/>
    </xf>
    <xf numFmtId="37" fontId="1" fillId="0" borderId="0" xfId="29" applyNumberFormat="1" applyFont="1" applyFill="1" applyAlignment="1" applyProtection="1">
      <alignment horizontal="center"/>
      <protection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32" applyFont="1" applyAlignment="1">
      <alignment horizontal="left" wrapText="1"/>
      <protection/>
    </xf>
    <xf numFmtId="0" fontId="6" fillId="0" borderId="0" xfId="0" applyFont="1" applyFill="1" applyAlignment="1">
      <alignment horizontal="left" wrapText="1"/>
    </xf>
    <xf numFmtId="0" fontId="15" fillId="0" borderId="18" xfId="33" applyFont="1" applyFill="1" applyBorder="1" applyAlignment="1">
      <alignment horizontal="center"/>
      <protection/>
    </xf>
    <xf numFmtId="0" fontId="1" fillId="0" borderId="19" xfId="33" applyBorder="1" applyAlignment="1">
      <alignment/>
      <protection/>
    </xf>
    <xf numFmtId="0" fontId="15" fillId="0" borderId="18" xfId="33" applyFont="1" applyFill="1" applyBorder="1" applyAlignment="1">
      <alignment horizontal="center" wrapText="1"/>
      <protection/>
    </xf>
    <xf numFmtId="0" fontId="14" fillId="0" borderId="19" xfId="33" applyFont="1" applyFill="1" applyBorder="1" applyAlignment="1">
      <alignment wrapText="1"/>
      <protection/>
    </xf>
    <xf numFmtId="0" fontId="15" fillId="0" borderId="20" xfId="33" applyFont="1" applyFill="1" applyBorder="1" applyAlignment="1">
      <alignment horizontal="center"/>
      <protection/>
    </xf>
    <xf numFmtId="0" fontId="1" fillId="0" borderId="21" xfId="33" applyBorder="1" applyAlignment="1">
      <alignment horizontal="center"/>
      <protection/>
    </xf>
    <xf numFmtId="0" fontId="1" fillId="0" borderId="22" xfId="33" applyBorder="1" applyAlignment="1">
      <alignment horizontal="center"/>
      <protection/>
    </xf>
    <xf numFmtId="0" fontId="13" fillId="0" borderId="23" xfId="33" applyFont="1" applyFill="1" applyBorder="1" applyAlignment="1">
      <alignment wrapText="1"/>
      <protection/>
    </xf>
    <xf numFmtId="0" fontId="12" fillId="0" borderId="23" xfId="33" applyFont="1" applyFill="1" applyBorder="1" applyAlignment="1">
      <alignment wrapText="1"/>
      <protection/>
    </xf>
    <xf numFmtId="0" fontId="1" fillId="0" borderId="1" xfId="28" applyFont="1" applyBorder="1" applyAlignment="1">
      <alignment horizontal="center"/>
      <protection/>
    </xf>
    <xf numFmtId="0" fontId="1" fillId="0" borderId="0" xfId="28" applyFont="1" applyBorder="1" applyAlignment="1">
      <alignment horizontal="center"/>
      <protection/>
    </xf>
    <xf numFmtId="17" fontId="1" fillId="0" borderId="0" xfId="28" applyNumberFormat="1" applyFont="1" applyBorder="1" applyAlignment="1">
      <alignment horizontal="center" wrapText="1"/>
      <protection/>
    </xf>
    <xf numFmtId="0" fontId="1" fillId="0" borderId="4" xfId="28" applyFont="1" applyBorder="1" applyAlignment="1">
      <alignment horizontal="center"/>
      <protection/>
    </xf>
    <xf numFmtId="17" fontId="1" fillId="0" borderId="0" xfId="28" applyNumberFormat="1" applyFont="1" applyBorder="1" applyAlignment="1" quotePrefix="1">
      <alignment horizontal="center" wrapText="1"/>
      <protection/>
    </xf>
    <xf numFmtId="17" fontId="1" fillId="0" borderId="1" xfId="28" applyNumberFormat="1" applyFont="1" applyBorder="1" applyAlignment="1" quotePrefix="1">
      <alignment horizontal="center" wrapText="1"/>
      <protection/>
    </xf>
  </cellXfs>
  <cellStyles count="21">
    <cellStyle name="Normal" xfId="0"/>
    <cellStyle name="Book11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Followed Hyperlink" xfId="22"/>
    <cellStyle name="Hyperlink" xfId="23"/>
    <cellStyle name="Hyperlink_06-07HDD_Monthly_10-03" xfId="24"/>
    <cellStyle name="Normal_$0.25B-1B_BG" xfId="25"/>
    <cellStyle name="Normal_$1B Contingency 2000 fuel user data (50_50 &amp; 60_40)" xfId="26"/>
    <cellStyle name="Normal_$203.25M cont_usage weighted" xfId="27"/>
    <cellStyle name="Normal_06-07HDD_Monthly_10-03" xfId="28"/>
    <cellStyle name="Normal_2005-LIHEAP Allocations-$1.884B-FINAL" xfId="29"/>
    <cellStyle name="Normal_2006-LIHEAP Alloc-$2 0B (2)" xfId="30"/>
    <cellStyle name="Normal_LIHEAP - Increases in Block Grant" xfId="31"/>
    <cellStyle name="Normal_Old_formula_anchorBG" xfId="32"/>
    <cellStyle name="Normal_State &amp; Region HTGFUEL 2000 (LI HH)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pc.ncep.noaa.gov/products/analysis_monitoring/cdus/degree_days/msahddy.txt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workbookViewId="0" topLeftCell="A1">
      <pane xSplit="1" ySplit="7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8" sqref="B8"/>
    </sheetView>
  </sheetViews>
  <sheetFormatPr defaultColWidth="9.33203125" defaultRowHeight="12.75"/>
  <cols>
    <col min="1" max="4" width="34.83203125" style="122" customWidth="1"/>
    <col min="5" max="16384" width="9.33203125" style="122" customWidth="1"/>
  </cols>
  <sheetData>
    <row r="1" ht="12.75">
      <c r="A1" s="134" t="s">
        <v>390</v>
      </c>
    </row>
    <row r="2" spans="1:4" ht="27.75" customHeight="1">
      <c r="A2" s="189" t="str">
        <f>"Low Income Home Energy Assistance Program (LIHEAP) State Allotments (Gross and Net of Tribal Set-Asides) of "&amp;TEXT('Contingency Formula'!C2/1000000,"$0")&amp;" Million in Emergency Contingency Funds Reflecting LI Households using FO, LPG &amp; NG for Heat"</f>
        <v>Low Income Home Energy Assistance Program (LIHEAP) State Allotments (Gross and Net of Tribal Set-Asides) of $450 Million in Emergency Contingency Funds Reflecting LI Households using FO, LPG &amp; NG for Heat</v>
      </c>
      <c r="B2" s="189"/>
      <c r="C2" s="189"/>
      <c r="D2" s="189"/>
    </row>
    <row r="3" spans="1:4" ht="12.75">
      <c r="A3" s="188" t="s">
        <v>371</v>
      </c>
      <c r="B3" s="188"/>
      <c r="C3" s="188"/>
      <c r="D3" s="188"/>
    </row>
    <row r="4" spans="1:4" ht="12.75">
      <c r="A4" s="123" t="str">
        <f>IF(COLUMN()&lt;=26,CHAR(64+COLUMN()),CHAR(64+ROUNDDOWN((COLUMN()-1)/26,0))&amp;CHAR(65+MOD((COLUMN()-1),26)))</f>
        <v>A</v>
      </c>
      <c r="B4" s="123" t="str">
        <f>IF(COLUMN()&lt;=26,CHAR(64+COLUMN()),CHAR(64+ROUNDDOWN((COLUMN()-1)/26,0))&amp;CHAR(65+MOD((COLUMN()-1),26)))</f>
        <v>B</v>
      </c>
      <c r="C4" s="123" t="str">
        <f>IF(COLUMN()&lt;=26,CHAR(64+COLUMN()),CHAR(64+ROUNDDOWN((COLUMN()-1)/26,0))&amp;CHAR(65+MOD((COLUMN()-1),26)))</f>
        <v>C</v>
      </c>
      <c r="D4" s="123" t="str">
        <f>IF(COLUMN()&lt;=26,CHAR(64+COLUMN()),CHAR(64+ROUNDDOWN((COLUMN()-1)/26,0))&amp;CHAR(65+MOD((COLUMN()-1),26)))</f>
        <v>D</v>
      </c>
    </row>
    <row r="5" spans="1:4" ht="12.75">
      <c r="A5" s="124" t="s">
        <v>357</v>
      </c>
      <c r="B5" s="125"/>
      <c r="C5" s="126"/>
      <c r="D5" s="127">
        <f>'Contingency Formula'!C2</f>
        <v>450000000</v>
      </c>
    </row>
    <row r="6" spans="1:4" ht="12.75">
      <c r="A6" s="128"/>
      <c r="B6" s="47"/>
      <c r="C6" s="129"/>
      <c r="D6" s="47"/>
    </row>
    <row r="7" spans="1:4" ht="12.75">
      <c r="A7" s="130" t="s">
        <v>358</v>
      </c>
      <c r="B7" s="131" t="s">
        <v>359</v>
      </c>
      <c r="C7" s="130" t="s">
        <v>360</v>
      </c>
      <c r="D7" s="131" t="s">
        <v>361</v>
      </c>
    </row>
    <row r="8" spans="1:4" ht="12.75">
      <c r="A8" s="47"/>
      <c r="B8" s="132"/>
      <c r="C8" s="47"/>
      <c r="D8" s="133"/>
    </row>
    <row r="9" spans="1:4" ht="12.75">
      <c r="A9" s="181" t="s">
        <v>4</v>
      </c>
      <c r="B9" s="182">
        <f>'Contingency Formula'!Q11</f>
        <v>1288320</v>
      </c>
      <c r="C9" s="183">
        <f>Tribes!H12</f>
        <v>8869</v>
      </c>
      <c r="D9" s="182">
        <f aca="true" t="shared" si="0" ref="D9:D40">B9-C9</f>
        <v>1279451</v>
      </c>
    </row>
    <row r="10" spans="1:4" ht="12.75">
      <c r="A10" s="181" t="s">
        <v>5</v>
      </c>
      <c r="B10" s="182">
        <f>'Contingency Formula'!Q12</f>
        <v>3557138</v>
      </c>
      <c r="C10" s="183">
        <f>Tribes!H17</f>
        <v>1092041</v>
      </c>
      <c r="D10" s="182">
        <f t="shared" si="0"/>
        <v>2465097</v>
      </c>
    </row>
    <row r="11" spans="1:4" ht="12.75">
      <c r="A11" s="181" t="s">
        <v>6</v>
      </c>
      <c r="B11" s="182">
        <f>'Contingency Formula'!Q13</f>
        <v>623047</v>
      </c>
      <c r="C11" s="183">
        <f>Tribes!H27</f>
        <v>47253</v>
      </c>
      <c r="D11" s="182">
        <f t="shared" si="0"/>
        <v>575794</v>
      </c>
    </row>
    <row r="12" spans="1:4" ht="12.75">
      <c r="A12" s="181" t="s">
        <v>7</v>
      </c>
      <c r="B12" s="182">
        <f>'Contingency Formula'!Q14</f>
        <v>983049</v>
      </c>
      <c r="C12" s="183">
        <v>0</v>
      </c>
      <c r="D12" s="182">
        <f t="shared" si="0"/>
        <v>983049</v>
      </c>
    </row>
    <row r="13" spans="1:4" ht="12.75">
      <c r="A13" s="181" t="s">
        <v>8</v>
      </c>
      <c r="B13" s="182">
        <f>'Contingency Formula'!Q15</f>
        <v>6911464</v>
      </c>
      <c r="C13" s="183">
        <f>Tribes!H37</f>
        <v>58303</v>
      </c>
      <c r="D13" s="182">
        <f t="shared" si="0"/>
        <v>6853161</v>
      </c>
    </row>
    <row r="14" spans="1:4" ht="12.75">
      <c r="A14" s="181" t="s">
        <v>9</v>
      </c>
      <c r="B14" s="182">
        <f>'Contingency Formula'!Q16</f>
        <v>8059412</v>
      </c>
      <c r="C14" s="183">
        <v>0</v>
      </c>
      <c r="D14" s="182">
        <f t="shared" si="0"/>
        <v>8059412</v>
      </c>
    </row>
    <row r="15" spans="1:4" ht="12.75">
      <c r="A15" s="181" t="s">
        <v>10</v>
      </c>
      <c r="B15" s="182">
        <f>'Contingency Formula'!Q17</f>
        <v>13598024</v>
      </c>
      <c r="C15" s="183">
        <v>0</v>
      </c>
      <c r="D15" s="182">
        <f t="shared" si="0"/>
        <v>13598024</v>
      </c>
    </row>
    <row r="16" spans="1:4" ht="12.75">
      <c r="A16" s="181" t="s">
        <v>11</v>
      </c>
      <c r="B16" s="182">
        <f>'Contingency Formula'!Q18</f>
        <v>826638</v>
      </c>
      <c r="C16" s="183">
        <v>0</v>
      </c>
      <c r="D16" s="182">
        <f t="shared" si="0"/>
        <v>826638</v>
      </c>
    </row>
    <row r="17" spans="1:4" ht="12.75">
      <c r="A17" s="181" t="s">
        <v>12</v>
      </c>
      <c r="B17" s="182">
        <f>'Contingency Formula'!Q19</f>
        <v>488219</v>
      </c>
      <c r="C17" s="183">
        <v>0</v>
      </c>
      <c r="D17" s="182">
        <f t="shared" si="0"/>
        <v>488219</v>
      </c>
    </row>
    <row r="18" spans="1:4" ht="12.75">
      <c r="A18" s="181" t="s">
        <v>13</v>
      </c>
      <c r="B18" s="182">
        <f>'Contingency Formula'!Q20</f>
        <v>2038508</v>
      </c>
      <c r="C18" s="183">
        <f>Tribes!H61</f>
        <v>523</v>
      </c>
      <c r="D18" s="182">
        <f t="shared" si="0"/>
        <v>2037985</v>
      </c>
    </row>
    <row r="19" spans="1:4" ht="12.75">
      <c r="A19" s="181" t="s">
        <v>14</v>
      </c>
      <c r="B19" s="182">
        <f>'Contingency Formula'!Q21</f>
        <v>1611753</v>
      </c>
      <c r="C19" s="183">
        <v>0</v>
      </c>
      <c r="D19" s="182">
        <f t="shared" si="0"/>
        <v>1611753</v>
      </c>
    </row>
    <row r="20" spans="1:4" ht="12.75">
      <c r="A20" s="181" t="s">
        <v>15</v>
      </c>
      <c r="B20" s="182">
        <f>'Contingency Formula'!Q22</f>
        <v>162313</v>
      </c>
      <c r="C20" s="183">
        <v>0</v>
      </c>
      <c r="D20" s="182">
        <f t="shared" si="0"/>
        <v>162313</v>
      </c>
    </row>
    <row r="21" spans="1:4" ht="12.75">
      <c r="A21" s="181" t="s">
        <v>16</v>
      </c>
      <c r="B21" s="182">
        <f>'Contingency Formula'!Q23</f>
        <v>939987</v>
      </c>
      <c r="C21" s="183">
        <f>Tribes!H63</f>
        <v>45613</v>
      </c>
      <c r="D21" s="182">
        <f t="shared" si="0"/>
        <v>894374</v>
      </c>
    </row>
    <row r="22" spans="1:4" ht="12.75">
      <c r="A22" s="181" t="s">
        <v>17</v>
      </c>
      <c r="B22" s="182">
        <f>'Contingency Formula'!Q24</f>
        <v>29100350</v>
      </c>
      <c r="C22" s="183">
        <v>0</v>
      </c>
      <c r="D22" s="182">
        <f t="shared" si="0"/>
        <v>29100350</v>
      </c>
    </row>
    <row r="23" spans="1:4" ht="12.75">
      <c r="A23" s="181" t="s">
        <v>18</v>
      </c>
      <c r="B23" s="182">
        <f>'Contingency Formula'!Q25</f>
        <v>13175820</v>
      </c>
      <c r="C23" s="183">
        <f>Tribes!H67</f>
        <v>1712</v>
      </c>
      <c r="D23" s="182">
        <f t="shared" si="0"/>
        <v>13174108</v>
      </c>
    </row>
    <row r="24" spans="1:4" ht="12.75">
      <c r="A24" s="181" t="s">
        <v>19</v>
      </c>
      <c r="B24" s="182">
        <f>'Contingency Formula'!Q26</f>
        <v>9337881</v>
      </c>
      <c r="C24" s="183">
        <v>0</v>
      </c>
      <c r="D24" s="182">
        <f t="shared" si="0"/>
        <v>9337881</v>
      </c>
    </row>
    <row r="25" spans="1:4" ht="12.75">
      <c r="A25" s="181" t="s">
        <v>20</v>
      </c>
      <c r="B25" s="182">
        <f>'Contingency Formula'!Q27</f>
        <v>4288374</v>
      </c>
      <c r="C25" s="183">
        <f>Tribes!H69</f>
        <v>10635</v>
      </c>
      <c r="D25" s="182">
        <f t="shared" si="0"/>
        <v>4277739</v>
      </c>
    </row>
    <row r="26" spans="1:4" ht="12.75">
      <c r="A26" s="181" t="s">
        <v>21</v>
      </c>
      <c r="B26" s="182">
        <f>'Contingency Formula'!Q28</f>
        <v>2050180</v>
      </c>
      <c r="C26" s="183">
        <v>0</v>
      </c>
      <c r="D26" s="182">
        <f t="shared" si="0"/>
        <v>2050180</v>
      </c>
    </row>
    <row r="27" spans="1:4" ht="12.75">
      <c r="A27" s="181" t="s">
        <v>22</v>
      </c>
      <c r="B27" s="182">
        <f>'Contingency Formula'!Q29</f>
        <v>1317110</v>
      </c>
      <c r="C27" s="183">
        <v>0</v>
      </c>
      <c r="D27" s="182">
        <f t="shared" si="0"/>
        <v>1317110</v>
      </c>
    </row>
    <row r="28" spans="1:4" ht="12.75">
      <c r="A28" s="181" t="s">
        <v>23</v>
      </c>
      <c r="B28" s="182">
        <f>'Contingency Formula'!Q30</f>
        <v>8809352</v>
      </c>
      <c r="C28" s="183">
        <f>Tribes!H71</f>
        <v>321983</v>
      </c>
      <c r="D28" s="182">
        <f t="shared" si="0"/>
        <v>8487369</v>
      </c>
    </row>
    <row r="29" spans="1:4" ht="12.75">
      <c r="A29" s="181" t="s">
        <v>24</v>
      </c>
      <c r="B29" s="182">
        <f>'Contingency Formula'!Q31</f>
        <v>2407080</v>
      </c>
      <c r="C29" s="183">
        <v>0</v>
      </c>
      <c r="D29" s="182">
        <f t="shared" si="0"/>
        <v>2407080</v>
      </c>
    </row>
    <row r="30" spans="1:4" ht="12.75">
      <c r="A30" s="181" t="s">
        <v>25</v>
      </c>
      <c r="B30" s="182">
        <f>'Contingency Formula'!Q32</f>
        <v>27200551</v>
      </c>
      <c r="C30" s="183">
        <f>Tribes!H77</f>
        <v>10880</v>
      </c>
      <c r="D30" s="182">
        <f t="shared" si="0"/>
        <v>27189671</v>
      </c>
    </row>
    <row r="31" spans="1:4" ht="12.75">
      <c r="A31" s="181" t="s">
        <v>26</v>
      </c>
      <c r="B31" s="182">
        <f>'Contingency Formula'!Q33</f>
        <v>27628231</v>
      </c>
      <c r="C31" s="183">
        <f>Tribes!H79</f>
        <v>211443</v>
      </c>
      <c r="D31" s="182">
        <f t="shared" si="0"/>
        <v>27416788</v>
      </c>
    </row>
    <row r="32" spans="1:4" ht="12.75">
      <c r="A32" s="181" t="s">
        <v>27</v>
      </c>
      <c r="B32" s="182">
        <f>'Contingency Formula'!Q34</f>
        <v>19904577</v>
      </c>
      <c r="C32" s="183">
        <v>0</v>
      </c>
      <c r="D32" s="182">
        <f t="shared" si="0"/>
        <v>19904577</v>
      </c>
    </row>
    <row r="33" spans="1:4" ht="12.75">
      <c r="A33" s="181" t="s">
        <v>28</v>
      </c>
      <c r="B33" s="182">
        <f>'Contingency Formula'!Q35</f>
        <v>1104535</v>
      </c>
      <c r="C33" s="183">
        <f>Tribes!H86</f>
        <v>2093</v>
      </c>
      <c r="D33" s="182">
        <f t="shared" si="0"/>
        <v>1102442</v>
      </c>
    </row>
    <row r="34" spans="1:4" ht="12.75">
      <c r="A34" s="181" t="s">
        <v>29</v>
      </c>
      <c r="B34" s="182">
        <f>'Contingency Formula'!Q36</f>
        <v>11623816</v>
      </c>
      <c r="C34" s="183">
        <v>0</v>
      </c>
      <c r="D34" s="182">
        <f t="shared" si="0"/>
        <v>11623816</v>
      </c>
    </row>
    <row r="35" spans="1:4" ht="12.75">
      <c r="A35" s="181" t="s">
        <v>30</v>
      </c>
      <c r="B35" s="182">
        <f>'Contingency Formula'!Q37</f>
        <v>3687369</v>
      </c>
      <c r="C35" s="183">
        <f>Tribes!H88</f>
        <v>644574</v>
      </c>
      <c r="D35" s="182">
        <f t="shared" si="0"/>
        <v>3042795</v>
      </c>
    </row>
    <row r="36" spans="1:4" ht="12.75">
      <c r="A36" s="181" t="s">
        <v>31</v>
      </c>
      <c r="B36" s="182">
        <f>'Contingency Formula'!Q38</f>
        <v>4617940</v>
      </c>
      <c r="C36" s="183">
        <f>Tribes!H95</f>
        <v>3853</v>
      </c>
      <c r="D36" s="182">
        <f t="shared" si="0"/>
        <v>4614087</v>
      </c>
    </row>
    <row r="37" spans="1:4" ht="12.75">
      <c r="A37" s="181" t="s">
        <v>32</v>
      </c>
      <c r="B37" s="182">
        <f>'Contingency Formula'!Q39</f>
        <v>292627</v>
      </c>
      <c r="C37" s="183">
        <v>0</v>
      </c>
      <c r="D37" s="182">
        <f t="shared" si="0"/>
        <v>292627</v>
      </c>
    </row>
    <row r="38" spans="1:4" ht="12.75">
      <c r="A38" s="181" t="s">
        <v>33</v>
      </c>
      <c r="B38" s="182">
        <f>'Contingency Formula'!Q40</f>
        <v>5148509</v>
      </c>
      <c r="C38" s="183">
        <v>0</v>
      </c>
      <c r="D38" s="182">
        <f t="shared" si="0"/>
        <v>5148509</v>
      </c>
    </row>
    <row r="39" spans="1:4" ht="12.75">
      <c r="A39" s="181" t="s">
        <v>34</v>
      </c>
      <c r="B39" s="182">
        <f>'Contingency Formula'!Q41</f>
        <v>25251481</v>
      </c>
      <c r="C39" s="183">
        <v>0</v>
      </c>
      <c r="D39" s="182">
        <f t="shared" si="0"/>
        <v>25251481</v>
      </c>
    </row>
    <row r="40" spans="1:4" ht="12.75">
      <c r="A40" s="181" t="s">
        <v>35</v>
      </c>
      <c r="B40" s="182">
        <f>'Contingency Formula'!Q42</f>
        <v>780012</v>
      </c>
      <c r="C40" s="183">
        <f>Tribes!H97</f>
        <v>62100</v>
      </c>
      <c r="D40" s="182">
        <f t="shared" si="0"/>
        <v>717912</v>
      </c>
    </row>
    <row r="41" spans="1:4" ht="12.75">
      <c r="A41" s="181" t="s">
        <v>36</v>
      </c>
      <c r="B41" s="182">
        <f>'Contingency Formula'!Q43</f>
        <v>82449906</v>
      </c>
      <c r="C41" s="183">
        <f>Tribes!H105</f>
        <v>134293</v>
      </c>
      <c r="D41" s="182">
        <f aca="true" t="shared" si="1" ref="D41:D59">B41-C41</f>
        <v>82315613</v>
      </c>
    </row>
    <row r="42" spans="1:4" ht="12.75">
      <c r="A42" s="181" t="s">
        <v>37</v>
      </c>
      <c r="B42" s="182">
        <f>'Contingency Formula'!Q44</f>
        <v>2840718</v>
      </c>
      <c r="C42" s="183">
        <f>Tribes!H108</f>
        <v>50520</v>
      </c>
      <c r="D42" s="182">
        <f t="shared" si="1"/>
        <v>2790198</v>
      </c>
    </row>
    <row r="43" spans="1:4" ht="12.75">
      <c r="A43" s="181" t="s">
        <v>38</v>
      </c>
      <c r="B43" s="182">
        <f>'Contingency Formula'!Q45</f>
        <v>4005599</v>
      </c>
      <c r="C43" s="183">
        <f>Tribes!H110</f>
        <v>819947</v>
      </c>
      <c r="D43" s="182">
        <f t="shared" si="1"/>
        <v>3185652</v>
      </c>
    </row>
    <row r="44" spans="1:4" ht="12.75">
      <c r="A44" s="181" t="s">
        <v>39</v>
      </c>
      <c r="B44" s="182">
        <f>'Contingency Formula'!Q46</f>
        <v>25743608</v>
      </c>
      <c r="C44" s="183">
        <v>0</v>
      </c>
      <c r="D44" s="182">
        <f t="shared" si="1"/>
        <v>25743608</v>
      </c>
    </row>
    <row r="45" spans="1:4" ht="12.75">
      <c r="A45" s="181" t="s">
        <v>40</v>
      </c>
      <c r="B45" s="182">
        <f>'Contingency Formula'!Q47</f>
        <v>1184231</v>
      </c>
      <c r="C45" s="183">
        <f>Tribes!H115</f>
        <v>108675</v>
      </c>
      <c r="D45" s="182">
        <f t="shared" si="1"/>
        <v>1075556</v>
      </c>
    </row>
    <row r="46" spans="1:4" ht="12.75">
      <c r="A46" s="181" t="s">
        <v>41</v>
      </c>
      <c r="B46" s="182">
        <f>'Contingency Formula'!Q48</f>
        <v>1867706</v>
      </c>
      <c r="C46" s="183">
        <f>Tribes!H148</f>
        <v>43580</v>
      </c>
      <c r="D46" s="182">
        <f t="shared" si="1"/>
        <v>1824126</v>
      </c>
    </row>
    <row r="47" spans="1:4" ht="12.75">
      <c r="A47" s="181" t="s">
        <v>42</v>
      </c>
      <c r="B47" s="182">
        <f>'Contingency Formula'!Q49</f>
        <v>44287763</v>
      </c>
      <c r="C47" s="183">
        <v>0</v>
      </c>
      <c r="D47" s="182">
        <f t="shared" si="1"/>
        <v>44287763</v>
      </c>
    </row>
    <row r="48" spans="1:4" ht="12.75">
      <c r="A48" s="181" t="s">
        <v>43</v>
      </c>
      <c r="B48" s="182">
        <f>'Contingency Formula'!Q50</f>
        <v>4477366</v>
      </c>
      <c r="C48" s="183">
        <f>Tribes!H155</f>
        <v>12686</v>
      </c>
      <c r="D48" s="182">
        <f t="shared" si="1"/>
        <v>4464680</v>
      </c>
    </row>
    <row r="49" spans="1:4" ht="12.75">
      <c r="A49" s="181" t="s">
        <v>44</v>
      </c>
      <c r="B49" s="182">
        <f>'Contingency Formula'!Q51</f>
        <v>1023189</v>
      </c>
      <c r="C49" s="183">
        <v>0</v>
      </c>
      <c r="D49" s="182">
        <f t="shared" si="1"/>
        <v>1023189</v>
      </c>
    </row>
    <row r="50" spans="1:4" ht="12.75">
      <c r="A50" s="181" t="s">
        <v>45</v>
      </c>
      <c r="B50" s="182">
        <f>'Contingency Formula'!Q52</f>
        <v>3253247</v>
      </c>
      <c r="C50" s="183">
        <f>Tribes!H157</f>
        <v>578428</v>
      </c>
      <c r="D50" s="182">
        <f t="shared" si="1"/>
        <v>2674819</v>
      </c>
    </row>
    <row r="51" spans="1:4" ht="12.75">
      <c r="A51" s="181" t="s">
        <v>46</v>
      </c>
      <c r="B51" s="182">
        <f>'Contingency Formula'!Q53</f>
        <v>2076788</v>
      </c>
      <c r="C51" s="183">
        <v>0</v>
      </c>
      <c r="D51" s="182">
        <f t="shared" si="1"/>
        <v>2076788</v>
      </c>
    </row>
    <row r="52" spans="1:4" ht="12.75">
      <c r="A52" s="181" t="s">
        <v>47</v>
      </c>
      <c r="B52" s="182">
        <f>'Contingency Formula'!Q54</f>
        <v>3391396</v>
      </c>
      <c r="C52" s="183">
        <v>0</v>
      </c>
      <c r="D52" s="182">
        <f t="shared" si="1"/>
        <v>3391396</v>
      </c>
    </row>
    <row r="53" spans="1:4" ht="12.75">
      <c r="A53" s="181" t="s">
        <v>48</v>
      </c>
      <c r="B53" s="182">
        <f>'Contingency Formula'!Q55</f>
        <v>3745228</v>
      </c>
      <c r="C53" s="183">
        <f>Tribes!H165</f>
        <v>74774</v>
      </c>
      <c r="D53" s="182">
        <f t="shared" si="1"/>
        <v>3670454</v>
      </c>
    </row>
    <row r="54" spans="1:4" ht="12.75">
      <c r="A54" s="181" t="s">
        <v>49</v>
      </c>
      <c r="B54" s="182">
        <f>'Contingency Formula'!Q56</f>
        <v>3858991</v>
      </c>
      <c r="C54" s="183">
        <v>0</v>
      </c>
      <c r="D54" s="182">
        <f t="shared" si="1"/>
        <v>3858991</v>
      </c>
    </row>
    <row r="55" spans="1:4" ht="12.75">
      <c r="A55" s="181" t="s">
        <v>50</v>
      </c>
      <c r="B55" s="182">
        <f>'Contingency Formula'!Q57</f>
        <v>2932092</v>
      </c>
      <c r="C55" s="183">
        <v>0</v>
      </c>
      <c r="D55" s="182">
        <f t="shared" si="1"/>
        <v>2932092</v>
      </c>
    </row>
    <row r="56" spans="1:4" ht="12.75">
      <c r="A56" s="181" t="s">
        <v>51</v>
      </c>
      <c r="B56" s="182">
        <f>'Contingency Formula'!Q58</f>
        <v>3072119</v>
      </c>
      <c r="C56" s="183">
        <f>Tribes!H169</f>
        <v>125295</v>
      </c>
      <c r="D56" s="182">
        <f t="shared" si="1"/>
        <v>2946824</v>
      </c>
    </row>
    <row r="57" spans="1:4" ht="12.75">
      <c r="A57" s="181" t="s">
        <v>52</v>
      </c>
      <c r="B57" s="182">
        <f>'Contingency Formula'!Q59</f>
        <v>1356760</v>
      </c>
      <c r="C57" s="183">
        <v>0</v>
      </c>
      <c r="D57" s="182">
        <f t="shared" si="1"/>
        <v>1356760</v>
      </c>
    </row>
    <row r="58" spans="1:4" ht="12.75">
      <c r="A58" s="181" t="s">
        <v>53</v>
      </c>
      <c r="B58" s="182">
        <f>'Contingency Formula'!Q60</f>
        <v>17916977</v>
      </c>
      <c r="C58" s="183">
        <v>0</v>
      </c>
      <c r="D58" s="182">
        <f t="shared" si="1"/>
        <v>17916977</v>
      </c>
    </row>
    <row r="59" spans="1:4" ht="13.5" thickBot="1">
      <c r="A59" s="184" t="s">
        <v>54</v>
      </c>
      <c r="B59" s="185">
        <f>'Contingency Formula'!Q61</f>
        <v>1499507</v>
      </c>
      <c r="C59" s="186">
        <f>Tribes!H191</f>
        <v>53943</v>
      </c>
      <c r="D59" s="185">
        <f t="shared" si="1"/>
        <v>1445564</v>
      </c>
    </row>
    <row r="60" spans="1:4" ht="13.5" thickTop="1">
      <c r="A60" s="187" t="s">
        <v>56</v>
      </c>
      <c r="B60" s="182">
        <f>SUM(B9:B59)</f>
        <v>449796858</v>
      </c>
      <c r="C60" s="183">
        <f>SUM(C9:C59)</f>
        <v>4524016</v>
      </c>
      <c r="D60" s="182">
        <f>SUM(D9:D59)</f>
        <v>445272842</v>
      </c>
    </row>
    <row r="61" spans="1:4" ht="12.75">
      <c r="A61" s="47"/>
      <c r="B61" s="47"/>
      <c r="C61" s="135" t="s">
        <v>180</v>
      </c>
      <c r="D61" s="47"/>
    </row>
    <row r="62" ht="12.75">
      <c r="A62" s="47"/>
    </row>
    <row r="63" spans="1:18" s="2" customFormat="1" ht="25.5">
      <c r="A63" s="10" t="s">
        <v>364</v>
      </c>
      <c r="B63" s="34"/>
      <c r="C63" s="5">
        <v>150000000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5"/>
    </row>
    <row r="64" spans="1:18" s="2" customFormat="1" ht="13.5" thickBot="1">
      <c r="A64" s="138" t="s">
        <v>366</v>
      </c>
      <c r="B64" s="37">
        <v>0.00135428</v>
      </c>
      <c r="C64" s="36">
        <f>ROUND(C63*B64,0)</f>
        <v>203142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" customFormat="1" ht="13.5" thickTop="1">
      <c r="A65" s="140" t="s">
        <v>365</v>
      </c>
      <c r="B65" s="29"/>
      <c r="C65" s="141">
        <f>C63-C64</f>
        <v>149796858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" customFormat="1" ht="12.75">
      <c r="A66" s="9"/>
      <c r="B66" s="8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" customFormat="1" ht="12.75">
      <c r="A67" s="9" t="s">
        <v>370</v>
      </c>
      <c r="B67" s="8"/>
      <c r="C67" s="36">
        <f>C65</f>
        <v>149796858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" customFormat="1" ht="12.75">
      <c r="A68" s="9" t="s">
        <v>368</v>
      </c>
      <c r="B68" s="8"/>
      <c r="C68" s="36">
        <v>250000000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2" customFormat="1" ht="13.5" thickBot="1">
      <c r="A69" s="9" t="s">
        <v>369</v>
      </c>
      <c r="B69" s="8"/>
      <c r="C69" s="36">
        <v>50000000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2" customFormat="1" ht="13.5" thickTop="1">
      <c r="A70" s="139" t="s">
        <v>367</v>
      </c>
      <c r="B70" s="38"/>
      <c r="C70" s="31">
        <f>C67+C68+C69</f>
        <v>449796858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2" customFormat="1" ht="12.75">
      <c r="A71" s="179"/>
      <c r="B71" s="180"/>
      <c r="C71" s="17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2" customFormat="1" ht="12.75">
      <c r="A72" s="179"/>
      <c r="B72" s="180"/>
      <c r="C72" s="17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2" customFormat="1" ht="12.75">
      <c r="A73" s="179"/>
      <c r="B73" s="180"/>
      <c r="C73" s="17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5" spans="1:3" s="150" customFormat="1" ht="12.75">
      <c r="A75" s="176" t="s">
        <v>57</v>
      </c>
      <c r="B75" s="176" t="s">
        <v>58</v>
      </c>
      <c r="C75" s="177" t="s">
        <v>59</v>
      </c>
    </row>
    <row r="76" spans="1:3" s="150" customFormat="1" ht="12.75">
      <c r="A76" s="176" t="s">
        <v>60</v>
      </c>
      <c r="B76" s="178">
        <v>0.01654258</v>
      </c>
      <c r="C76" s="177">
        <v>3360</v>
      </c>
    </row>
    <row r="77" spans="1:3" s="150" customFormat="1" ht="12.75">
      <c r="A77" s="176" t="s">
        <v>61</v>
      </c>
      <c r="B77" s="178">
        <v>0.03626904</v>
      </c>
      <c r="C77" s="177">
        <v>7368</v>
      </c>
    </row>
    <row r="78" spans="1:3" s="150" customFormat="1" ht="12.75">
      <c r="A78" s="176" t="s">
        <v>62</v>
      </c>
      <c r="B78" s="178">
        <v>0.01259719</v>
      </c>
      <c r="C78" s="177">
        <v>2559</v>
      </c>
    </row>
    <row r="79" spans="1:3" s="150" customFormat="1" ht="12.75">
      <c r="A79" s="176" t="s">
        <v>63</v>
      </c>
      <c r="B79" s="178">
        <v>0.90029483</v>
      </c>
      <c r="C79" s="177">
        <v>182888</v>
      </c>
    </row>
    <row r="80" spans="1:3" s="150" customFormat="1" ht="12.75">
      <c r="A80" s="176" t="s">
        <v>64</v>
      </c>
      <c r="B80" s="178">
        <v>0.03429636</v>
      </c>
      <c r="C80" s="177">
        <v>6967</v>
      </c>
    </row>
    <row r="81" spans="1:3" s="150" customFormat="1" ht="12.75">
      <c r="A81" s="176" t="s">
        <v>56</v>
      </c>
      <c r="B81" s="176"/>
      <c r="C81" s="177">
        <v>203142</v>
      </c>
    </row>
  </sheetData>
  <mergeCells count="2">
    <mergeCell ref="A3:D3"/>
    <mergeCell ref="A2:D2"/>
  </mergeCells>
  <printOptions gridLines="1" horizontalCentered="1"/>
  <pageMargins left="0.17" right="0.2" top="0.5" bottom="0.75" header="0.5" footer="0.5"/>
  <pageSetup horizontalDpi="600" verticalDpi="600" orientation="portrait" scale="59" r:id="rId1"/>
  <headerFooter alignWithMargins="0">
    <oddFooter>&amp;L&amp;"Arial,Regular"'&amp;F' [&amp;A]&amp;C&amp;"Arial,Regular"16-Jan-08&amp;R&amp;"Arial,Regular"Page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13"/>
  <sheetViews>
    <sheetView workbookViewId="0" topLeftCell="A1">
      <pane xSplit="1" ySplit="10" topLeftCell="B1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20.83203125" defaultRowHeight="12.75"/>
  <cols>
    <col min="1" max="1" width="48.16015625" style="96" customWidth="1"/>
    <col min="2" max="2" width="19" style="96" customWidth="1"/>
    <col min="3" max="3" width="18" style="96" customWidth="1"/>
    <col min="4" max="4" width="14" style="96" customWidth="1"/>
    <col min="5" max="5" width="16.83203125" style="96" bestFit="1" customWidth="1"/>
    <col min="6" max="6" width="18" style="96" customWidth="1"/>
    <col min="7" max="7" width="27" style="96" bestFit="1" customWidth="1"/>
    <col min="8" max="8" width="16.66015625" style="96" customWidth="1"/>
    <col min="9" max="9" width="17.33203125" style="96" customWidth="1"/>
    <col min="10" max="10" width="4.33203125" style="96" customWidth="1"/>
    <col min="11" max="16384" width="20.83203125" style="96" customWidth="1"/>
  </cols>
  <sheetData>
    <row r="1" spans="1:9" ht="12.75">
      <c r="A1" s="190" t="str">
        <f>"Low Income Home Energy Assistance Program (LIHEAP) Indian Tribe and Tribal Organization Allocations under an EC Release of "&amp;TEXT('Contingency Formula'!C2/1000000,"$0")&amp;" Million"</f>
        <v>Low Income Home Energy Assistance Program (LIHEAP) Indian Tribe and Tribal Organization Allocations under an EC Release of $450 Million</v>
      </c>
      <c r="B1" s="190"/>
      <c r="C1" s="190"/>
      <c r="D1" s="190"/>
      <c r="E1" s="190"/>
      <c r="F1" s="190"/>
      <c r="G1" s="190"/>
      <c r="H1" s="190"/>
      <c r="I1" s="190"/>
    </row>
    <row r="2" spans="1:6" ht="12.75">
      <c r="A2" s="97" t="s">
        <v>178</v>
      </c>
      <c r="C2" s="98"/>
      <c r="F2" s="6" t="s">
        <v>371</v>
      </c>
    </row>
    <row r="3" ht="12.75">
      <c r="A3" s="99"/>
    </row>
    <row r="4" spans="1:6" ht="14.25">
      <c r="A4" s="100" t="s">
        <v>179</v>
      </c>
      <c r="F4" s="101" t="s">
        <v>180</v>
      </c>
    </row>
    <row r="5" spans="1:2" ht="12.75">
      <c r="A5" s="98" t="s">
        <v>181</v>
      </c>
      <c r="B5" s="98" t="s">
        <v>182</v>
      </c>
    </row>
    <row r="6" spans="1:2" ht="12.75">
      <c r="A6" s="98" t="s">
        <v>183</v>
      </c>
      <c r="B6" s="98" t="s">
        <v>184</v>
      </c>
    </row>
    <row r="7" spans="1:2" ht="12.75">
      <c r="A7" s="98" t="s">
        <v>185</v>
      </c>
      <c r="B7" s="98" t="s">
        <v>186</v>
      </c>
    </row>
    <row r="8" spans="1:2" ht="12.75">
      <c r="A8" s="98" t="s">
        <v>187</v>
      </c>
      <c r="B8" s="98" t="s">
        <v>188</v>
      </c>
    </row>
    <row r="9" spans="1:9" ht="12.75">
      <c r="A9" s="102" t="str">
        <f aca="true" t="shared" si="0" ref="A9:I9">IF(COLUMN()&lt;=26,CHAR(64+COLUMN()),CHAR(64+ROUNDDOWN((COLUMN()-1)/26,0))&amp;CHAR(65+MOD((COLUMN()-1),26)))</f>
        <v>A</v>
      </c>
      <c r="B9" s="102" t="str">
        <f t="shared" si="0"/>
        <v>B</v>
      </c>
      <c r="C9" s="102" t="str">
        <f t="shared" si="0"/>
        <v>C</v>
      </c>
      <c r="D9" s="102" t="str">
        <f t="shared" si="0"/>
        <v>D</v>
      </c>
      <c r="E9" s="102" t="str">
        <f t="shared" si="0"/>
        <v>E</v>
      </c>
      <c r="F9" s="102" t="str">
        <f t="shared" si="0"/>
        <v>F</v>
      </c>
      <c r="G9" s="102" t="str">
        <f t="shared" si="0"/>
        <v>G</v>
      </c>
      <c r="H9" s="102" t="str">
        <f t="shared" si="0"/>
        <v>H</v>
      </c>
      <c r="I9" s="102" t="str">
        <f t="shared" si="0"/>
        <v>I</v>
      </c>
    </row>
    <row r="10" spans="1:9" s="106" customFormat="1" ht="38.25">
      <c r="A10" s="103" t="s">
        <v>189</v>
      </c>
      <c r="B10" s="103" t="s">
        <v>190</v>
      </c>
      <c r="C10" s="103" t="s">
        <v>191</v>
      </c>
      <c r="D10" s="103" t="s">
        <v>192</v>
      </c>
      <c r="E10" s="103" t="s">
        <v>193</v>
      </c>
      <c r="F10" s="104" t="s">
        <v>194</v>
      </c>
      <c r="G10" s="105" t="s">
        <v>195</v>
      </c>
      <c r="H10" s="103" t="s">
        <v>196</v>
      </c>
      <c r="I10" s="103" t="s">
        <v>197</v>
      </c>
    </row>
    <row r="12" spans="1:11" s="108" customFormat="1" ht="12.75">
      <c r="A12" s="107" t="s">
        <v>4</v>
      </c>
      <c r="E12" s="109">
        <f>'Contingency Formula'!Q11</f>
        <v>1288320</v>
      </c>
      <c r="H12" s="109">
        <f>SUM($G13:$G16)</f>
        <v>8869</v>
      </c>
      <c r="I12" s="109">
        <f>$E12-$H12</f>
        <v>1279451</v>
      </c>
      <c r="K12" s="109"/>
    </row>
    <row r="13" spans="1:11" s="108" customFormat="1" ht="12.75">
      <c r="A13" s="108" t="s">
        <v>198</v>
      </c>
      <c r="B13" s="108">
        <v>449603</v>
      </c>
      <c r="C13" s="108">
        <v>96</v>
      </c>
      <c r="D13" s="110" t="s">
        <v>199</v>
      </c>
      <c r="E13" s="109"/>
      <c r="F13" s="111">
        <v>0.00021355010596723503</v>
      </c>
      <c r="G13" s="109">
        <f>ROUND(F13*$E$12,0)</f>
        <v>275</v>
      </c>
      <c r="K13" s="109"/>
    </row>
    <row r="14" spans="1:11" s="108" customFormat="1" ht="12.75">
      <c r="A14" s="112" t="s">
        <v>200</v>
      </c>
      <c r="B14" s="113">
        <v>449603</v>
      </c>
      <c r="C14" s="112" t="s">
        <v>180</v>
      </c>
      <c r="D14" s="110" t="s">
        <v>201</v>
      </c>
      <c r="E14" s="109"/>
      <c r="F14" s="111">
        <v>0.003169984990086494</v>
      </c>
      <c r="G14" s="109">
        <f>ROUND(F14*$E$12,0)</f>
        <v>4084</v>
      </c>
      <c r="I14" s="109"/>
      <c r="K14" s="109"/>
    </row>
    <row r="15" spans="1:11" s="108" customFormat="1" ht="12.75">
      <c r="A15" s="112" t="s">
        <v>202</v>
      </c>
      <c r="B15" s="113">
        <v>449603</v>
      </c>
      <c r="C15" s="113">
        <v>1075</v>
      </c>
      <c r="D15" s="110" t="s">
        <v>199</v>
      </c>
      <c r="E15" s="109"/>
      <c r="F15" s="111">
        <v>0.002391021929068098</v>
      </c>
      <c r="G15" s="109">
        <f>ROUND(F15*$E$12,0)</f>
        <v>3080</v>
      </c>
      <c r="I15" s="109"/>
      <c r="K15" s="109"/>
    </row>
    <row r="16" spans="1:11" s="108" customFormat="1" ht="12.75">
      <c r="A16" s="112" t="s">
        <v>203</v>
      </c>
      <c r="B16" s="113">
        <v>449603</v>
      </c>
      <c r="C16" s="113">
        <v>234</v>
      </c>
      <c r="D16" s="110" t="s">
        <v>199</v>
      </c>
      <c r="E16" s="109"/>
      <c r="F16" s="111">
        <v>0.0011098405283880646</v>
      </c>
      <c r="G16" s="109">
        <f>ROUND(F16*$E$12,0)</f>
        <v>1430</v>
      </c>
      <c r="I16" s="109"/>
      <c r="K16" s="109"/>
    </row>
    <row r="17" spans="1:11" s="108" customFormat="1" ht="12.75">
      <c r="A17" s="107" t="s">
        <v>5</v>
      </c>
      <c r="E17" s="109">
        <f>'Contingency Formula'!Q12</f>
        <v>3557138</v>
      </c>
      <c r="H17" s="109">
        <f>SUM(G18:G26)</f>
        <v>1092041</v>
      </c>
      <c r="I17" s="109">
        <f>E17-H17</f>
        <v>2465097</v>
      </c>
      <c r="K17" s="109"/>
    </row>
    <row r="18" spans="1:11" s="108" customFormat="1" ht="12.75">
      <c r="A18" s="112" t="s">
        <v>204</v>
      </c>
      <c r="B18" s="113">
        <v>37808</v>
      </c>
      <c r="C18" s="114">
        <v>164</v>
      </c>
      <c r="D18" s="110" t="s">
        <v>201</v>
      </c>
      <c r="E18" s="109"/>
      <c r="F18" s="111">
        <v>0.008539964637932005</v>
      </c>
      <c r="G18" s="109">
        <f aca="true" t="shared" si="1" ref="G18:G26">ROUND(F18*$E$17,0)</f>
        <v>30378</v>
      </c>
      <c r="I18" s="112"/>
      <c r="K18" s="109"/>
    </row>
    <row r="19" spans="1:11" s="108" customFormat="1" ht="12.75">
      <c r="A19" s="112" t="s">
        <v>205</v>
      </c>
      <c r="B19" s="113">
        <v>37808</v>
      </c>
      <c r="C19" s="114">
        <v>2029</v>
      </c>
      <c r="D19" s="110" t="s">
        <v>201</v>
      </c>
      <c r="E19" s="109"/>
      <c r="F19" s="111">
        <v>0.13824950945427705</v>
      </c>
      <c r="G19" s="109">
        <f t="shared" si="1"/>
        <v>491773</v>
      </c>
      <c r="I19" s="112"/>
      <c r="K19" s="109"/>
    </row>
    <row r="20" spans="1:11" s="108" customFormat="1" ht="12.75">
      <c r="A20" s="112" t="s">
        <v>206</v>
      </c>
      <c r="B20" s="113">
        <v>37808</v>
      </c>
      <c r="C20" s="114">
        <v>111</v>
      </c>
      <c r="D20" s="110" t="s">
        <v>201</v>
      </c>
      <c r="E20" s="109"/>
      <c r="F20" s="111">
        <v>0.006801468167460902</v>
      </c>
      <c r="G20" s="109">
        <f t="shared" si="1"/>
        <v>24194</v>
      </c>
      <c r="K20" s="109"/>
    </row>
    <row r="21" spans="1:11" s="108" customFormat="1" ht="12.75">
      <c r="A21" s="112" t="s">
        <v>207</v>
      </c>
      <c r="B21" s="113">
        <v>37808</v>
      </c>
      <c r="C21" s="114">
        <v>229</v>
      </c>
      <c r="D21" s="110" t="s">
        <v>201</v>
      </c>
      <c r="E21" s="109"/>
      <c r="F21" s="111">
        <v>0.020739980833015703</v>
      </c>
      <c r="G21" s="109">
        <f t="shared" si="1"/>
        <v>73775</v>
      </c>
      <c r="I21" s="112" t="s">
        <v>180</v>
      </c>
      <c r="K21" s="109"/>
    </row>
    <row r="22" spans="1:11" s="108" customFormat="1" ht="12.75">
      <c r="A22" s="112" t="s">
        <v>208</v>
      </c>
      <c r="B22" s="113">
        <v>37808</v>
      </c>
      <c r="C22" s="114">
        <v>275</v>
      </c>
      <c r="D22" s="110" t="s">
        <v>201</v>
      </c>
      <c r="E22" s="109"/>
      <c r="F22" s="111">
        <v>0.008235022606338143</v>
      </c>
      <c r="G22" s="109">
        <f t="shared" si="1"/>
        <v>29293</v>
      </c>
      <c r="K22" s="109"/>
    </row>
    <row r="23" spans="1:11" s="108" customFormat="1" ht="12.75">
      <c r="A23" s="112" t="s">
        <v>209</v>
      </c>
      <c r="B23" s="113">
        <v>37808</v>
      </c>
      <c r="C23" s="114">
        <v>8</v>
      </c>
      <c r="D23" s="110" t="s">
        <v>201</v>
      </c>
      <c r="E23" s="109"/>
      <c r="F23" s="111">
        <v>0.0007015067685456357</v>
      </c>
      <c r="G23" s="109">
        <f t="shared" si="1"/>
        <v>2495</v>
      </c>
      <c r="K23" s="109"/>
    </row>
    <row r="24" spans="1:11" s="108" customFormat="1" ht="12.75">
      <c r="A24" s="112" t="s">
        <v>210</v>
      </c>
      <c r="B24" s="113">
        <v>37808</v>
      </c>
      <c r="C24" s="114">
        <v>1385</v>
      </c>
      <c r="D24" s="110" t="s">
        <v>201</v>
      </c>
      <c r="E24" s="109"/>
      <c r="F24" s="111">
        <v>0.07750748508936202</v>
      </c>
      <c r="G24" s="109">
        <f t="shared" si="1"/>
        <v>275705</v>
      </c>
      <c r="K24" s="109"/>
    </row>
    <row r="25" spans="1:11" s="108" customFormat="1" ht="12.75">
      <c r="A25" s="112" t="s">
        <v>211</v>
      </c>
      <c r="B25" s="113">
        <v>37808</v>
      </c>
      <c r="C25" s="114">
        <v>1171</v>
      </c>
      <c r="D25" s="110" t="s">
        <v>201</v>
      </c>
      <c r="E25" s="109"/>
      <c r="F25" s="111">
        <v>0.04422500033389518</v>
      </c>
      <c r="G25" s="109">
        <f t="shared" si="1"/>
        <v>157314</v>
      </c>
      <c r="I25" s="112" t="s">
        <v>180</v>
      </c>
      <c r="K25" s="109"/>
    </row>
    <row r="26" spans="1:11" s="108" customFormat="1" ht="12.75">
      <c r="A26" s="2" t="s">
        <v>212</v>
      </c>
      <c r="B26" s="113">
        <v>54295</v>
      </c>
      <c r="C26" s="2">
        <v>77</v>
      </c>
      <c r="D26" s="110" t="s">
        <v>201</v>
      </c>
      <c r="E26" s="109"/>
      <c r="F26" s="111">
        <v>0.002000008779341798</v>
      </c>
      <c r="G26" s="109">
        <f t="shared" si="1"/>
        <v>7114</v>
      </c>
      <c r="I26" s="112"/>
      <c r="K26" s="109"/>
    </row>
    <row r="27" spans="1:11" s="108" customFormat="1" ht="12.75">
      <c r="A27" s="107" t="s">
        <v>6</v>
      </c>
      <c r="E27" s="109">
        <f>'Contingency Formula'!Q13</f>
        <v>623047</v>
      </c>
      <c r="H27" s="109">
        <f>SUM(G28:G36)</f>
        <v>47253</v>
      </c>
      <c r="I27" s="109">
        <f>E27-H27</f>
        <v>575794</v>
      </c>
      <c r="K27" s="109"/>
    </row>
    <row r="28" spans="1:11" s="108" customFormat="1" ht="12.75">
      <c r="A28" s="112" t="s">
        <v>213</v>
      </c>
      <c r="B28" s="113">
        <v>343522</v>
      </c>
      <c r="C28" s="114">
        <v>228</v>
      </c>
      <c r="D28" s="110" t="s">
        <v>199</v>
      </c>
      <c r="F28" s="111">
        <v>0.0006637160232315401</v>
      </c>
      <c r="G28" s="109">
        <f aca="true" t="shared" si="2" ref="G28:G36">ROUND(F28*$E$27,0)</f>
        <v>414</v>
      </c>
      <c r="K28" s="109"/>
    </row>
    <row r="29" spans="1:11" s="108" customFormat="1" ht="12.75">
      <c r="A29" s="112" t="s">
        <v>214</v>
      </c>
      <c r="B29" s="113">
        <v>343522</v>
      </c>
      <c r="C29" s="114">
        <v>680</v>
      </c>
      <c r="D29" s="110" t="s">
        <v>199</v>
      </c>
      <c r="E29" s="109"/>
      <c r="F29" s="111">
        <v>0.0019794368842921324</v>
      </c>
      <c r="G29" s="109">
        <f t="shared" si="2"/>
        <v>1233</v>
      </c>
      <c r="K29" s="109"/>
    </row>
    <row r="30" spans="1:11" s="108" customFormat="1" ht="12.75">
      <c r="A30" s="112" t="s">
        <v>215</v>
      </c>
      <c r="B30" s="113">
        <v>343522</v>
      </c>
      <c r="C30" s="114">
        <v>2301</v>
      </c>
      <c r="D30" s="110" t="s">
        <v>199</v>
      </c>
      <c r="E30" s="109"/>
      <c r="F30" s="111">
        <v>0.006698304947679971</v>
      </c>
      <c r="G30" s="109">
        <f t="shared" si="2"/>
        <v>4173</v>
      </c>
      <c r="K30" s="109"/>
    </row>
    <row r="31" spans="1:11" s="108" customFormat="1" ht="12.75">
      <c r="A31" s="112" t="s">
        <v>389</v>
      </c>
      <c r="B31" s="113">
        <v>343522</v>
      </c>
      <c r="C31" s="114">
        <v>142</v>
      </c>
      <c r="D31" s="110" t="s">
        <v>199</v>
      </c>
      <c r="E31" s="109"/>
      <c r="F31" s="111">
        <v>0.0004133432068899246</v>
      </c>
      <c r="G31" s="109">
        <f t="shared" si="2"/>
        <v>258</v>
      </c>
      <c r="K31" s="109"/>
    </row>
    <row r="32" spans="1:11" s="108" customFormat="1" ht="12.75">
      <c r="A32" s="112" t="s">
        <v>216</v>
      </c>
      <c r="B32" s="113">
        <v>343522</v>
      </c>
      <c r="C32" s="114">
        <v>19524</v>
      </c>
      <c r="D32" s="110" t="s">
        <v>199</v>
      </c>
      <c r="E32" s="109"/>
      <c r="F32" s="111">
        <v>0.05683475258518254</v>
      </c>
      <c r="G32" s="109">
        <f t="shared" si="2"/>
        <v>35411</v>
      </c>
      <c r="K32" s="109"/>
    </row>
    <row r="33" spans="1:11" s="108" customFormat="1" ht="12.75">
      <c r="A33" s="112" t="s">
        <v>217</v>
      </c>
      <c r="B33" s="113">
        <v>343522</v>
      </c>
      <c r="C33" s="114">
        <v>879</v>
      </c>
      <c r="D33" s="110" t="s">
        <v>199</v>
      </c>
      <c r="E33" s="109"/>
      <c r="F33" s="111">
        <v>0.0025588323726257575</v>
      </c>
      <c r="G33" s="109">
        <f t="shared" si="2"/>
        <v>1594</v>
      </c>
      <c r="K33" s="109"/>
    </row>
    <row r="34" spans="1:11" s="108" customFormat="1" ht="12.75">
      <c r="A34" s="112" t="s">
        <v>218</v>
      </c>
      <c r="B34" s="113">
        <v>343522</v>
      </c>
      <c r="C34" s="114">
        <v>50</v>
      </c>
      <c r="D34" s="110" t="s">
        <v>199</v>
      </c>
      <c r="E34" s="109"/>
      <c r="F34" s="111">
        <v>0.00014558852589830032</v>
      </c>
      <c r="G34" s="109">
        <f t="shared" si="2"/>
        <v>91</v>
      </c>
      <c r="K34" s="109"/>
    </row>
    <row r="35" spans="1:11" s="108" customFormat="1" ht="12.75">
      <c r="A35" s="112" t="s">
        <v>219</v>
      </c>
      <c r="B35" s="113">
        <v>343522</v>
      </c>
      <c r="C35" s="114">
        <v>849</v>
      </c>
      <c r="D35" s="110" t="s">
        <v>199</v>
      </c>
      <c r="E35" s="109"/>
      <c r="F35" s="111">
        <v>0.0024714299468324512</v>
      </c>
      <c r="G35" s="109">
        <f t="shared" si="2"/>
        <v>1540</v>
      </c>
      <c r="K35" s="109"/>
    </row>
    <row r="36" spans="1:11" s="108" customFormat="1" ht="12.75">
      <c r="A36" s="112" t="s">
        <v>220</v>
      </c>
      <c r="B36" s="113">
        <v>343522</v>
      </c>
      <c r="C36" s="114">
        <v>1400</v>
      </c>
      <c r="D36" s="110" t="s">
        <v>199</v>
      </c>
      <c r="F36" s="111">
        <v>0.004075369244430068</v>
      </c>
      <c r="G36" s="109">
        <f t="shared" si="2"/>
        <v>2539</v>
      </c>
      <c r="K36" s="109"/>
    </row>
    <row r="37" spans="1:11" s="108" customFormat="1" ht="12.75">
      <c r="A37" s="107" t="s">
        <v>8</v>
      </c>
      <c r="E37" s="109">
        <f>'Contingency Formula'!Q15</f>
        <v>6911464</v>
      </c>
      <c r="H37" s="109">
        <f>SUM(G38:G60)</f>
        <v>58303</v>
      </c>
      <c r="I37" s="109">
        <f>E37-H37</f>
        <v>6853161</v>
      </c>
      <c r="K37" s="109"/>
    </row>
    <row r="38" spans="1:11" s="108" customFormat="1" ht="12.75">
      <c r="A38" s="112" t="s">
        <v>221</v>
      </c>
      <c r="B38" s="113">
        <v>1659723</v>
      </c>
      <c r="C38" s="108">
        <v>130</v>
      </c>
      <c r="D38" s="110" t="s">
        <v>199</v>
      </c>
      <c r="E38" s="109"/>
      <c r="F38" s="111">
        <v>7.832383786449923E-05</v>
      </c>
      <c r="G38" s="109">
        <f aca="true" t="shared" si="3" ref="G38:G60">ROUND(F38*$E$37,0)</f>
        <v>541</v>
      </c>
      <c r="H38" s="109"/>
      <c r="I38" s="109"/>
      <c r="K38" s="109"/>
    </row>
    <row r="39" spans="1:11" s="108" customFormat="1" ht="12.75">
      <c r="A39" s="2" t="s">
        <v>222</v>
      </c>
      <c r="B39" s="113">
        <v>1659723</v>
      </c>
      <c r="C39" s="108">
        <v>412</v>
      </c>
      <c r="D39" s="110" t="s">
        <v>199</v>
      </c>
      <c r="E39" s="109"/>
      <c r="F39" s="111">
        <v>0.0002482292233795856</v>
      </c>
      <c r="G39" s="109">
        <f t="shared" si="3"/>
        <v>1716</v>
      </c>
      <c r="H39" s="109"/>
      <c r="I39" s="109"/>
      <c r="K39" s="109"/>
    </row>
    <row r="40" spans="1:11" s="108" customFormat="1" ht="12.75">
      <c r="A40" s="112" t="s">
        <v>223</v>
      </c>
      <c r="B40" s="113">
        <v>1659723</v>
      </c>
      <c r="C40" s="114">
        <v>24</v>
      </c>
      <c r="D40" s="110" t="s">
        <v>199</v>
      </c>
      <c r="E40" s="109"/>
      <c r="F40" s="111">
        <v>1.445790480444289E-05</v>
      </c>
      <c r="G40" s="109">
        <f t="shared" si="3"/>
        <v>100</v>
      </c>
      <c r="K40" s="109"/>
    </row>
    <row r="41" spans="1:11" s="108" customFormat="1" ht="12.75">
      <c r="A41" s="112" t="s">
        <v>224</v>
      </c>
      <c r="B41" s="113">
        <v>1659723</v>
      </c>
      <c r="C41" s="114">
        <v>108</v>
      </c>
      <c r="D41" s="110" t="s">
        <v>199</v>
      </c>
      <c r="E41" s="109"/>
      <c r="F41" s="111">
        <v>6.506612807841132E-05</v>
      </c>
      <c r="G41" s="109">
        <f t="shared" si="3"/>
        <v>450</v>
      </c>
      <c r="I41" s="109"/>
      <c r="K41" s="109"/>
    </row>
    <row r="42" spans="1:11" s="108" customFormat="1" ht="12.75">
      <c r="A42" s="112" t="s">
        <v>225</v>
      </c>
      <c r="B42" s="113">
        <v>1659723</v>
      </c>
      <c r="C42" s="114">
        <v>50</v>
      </c>
      <c r="D42" s="110" t="s">
        <v>199</v>
      </c>
      <c r="E42" s="109"/>
      <c r="F42" s="111">
        <v>3.0127117544077385E-05</v>
      </c>
      <c r="G42" s="109">
        <f t="shared" si="3"/>
        <v>208</v>
      </c>
      <c r="I42" s="109"/>
      <c r="K42" s="109"/>
    </row>
    <row r="43" spans="1:11" s="108" customFormat="1" ht="12.75">
      <c r="A43" s="112" t="s">
        <v>226</v>
      </c>
      <c r="B43" s="113">
        <v>1659723</v>
      </c>
      <c r="C43" s="114">
        <v>896</v>
      </c>
      <c r="D43" s="110" t="s">
        <v>199</v>
      </c>
      <c r="E43" s="109"/>
      <c r="F43" s="111">
        <v>0.0005398543870061731</v>
      </c>
      <c r="G43" s="109">
        <f t="shared" si="3"/>
        <v>3731</v>
      </c>
      <c r="K43" s="109"/>
    </row>
    <row r="44" spans="1:11" s="108" customFormat="1" ht="12.75">
      <c r="A44" s="112" t="s">
        <v>227</v>
      </c>
      <c r="B44" s="113">
        <v>1659723</v>
      </c>
      <c r="C44" s="114">
        <v>136</v>
      </c>
      <c r="D44" s="110" t="s">
        <v>199</v>
      </c>
      <c r="F44" s="111">
        <v>8.194664875323741E-05</v>
      </c>
      <c r="G44" s="109">
        <f t="shared" si="3"/>
        <v>566</v>
      </c>
      <c r="K44" s="109"/>
    </row>
    <row r="45" spans="1:11" s="108" customFormat="1" ht="12.75">
      <c r="A45" s="112" t="s">
        <v>228</v>
      </c>
      <c r="B45" s="113">
        <v>1659723</v>
      </c>
      <c r="C45" s="114">
        <v>650</v>
      </c>
      <c r="D45" s="110" t="s">
        <v>199</v>
      </c>
      <c r="E45" s="109"/>
      <c r="F45" s="111">
        <v>0.00039163030223933275</v>
      </c>
      <c r="G45" s="109">
        <f t="shared" si="3"/>
        <v>2707</v>
      </c>
      <c r="I45" s="109"/>
      <c r="K45" s="109"/>
    </row>
    <row r="46" spans="1:11" s="108" customFormat="1" ht="12.75">
      <c r="A46" s="112" t="s">
        <v>229</v>
      </c>
      <c r="B46" s="113">
        <v>1659723</v>
      </c>
      <c r="C46" s="114">
        <v>371</v>
      </c>
      <c r="D46" s="110" t="s">
        <v>199</v>
      </c>
      <c r="E46" s="109"/>
      <c r="F46" s="111">
        <v>0.0002235363221686155</v>
      </c>
      <c r="G46" s="109">
        <f t="shared" si="3"/>
        <v>1545</v>
      </c>
      <c r="I46" s="109"/>
      <c r="K46" s="109"/>
    </row>
    <row r="47" spans="1:11" s="108" customFormat="1" ht="12.75">
      <c r="A47" s="112" t="s">
        <v>230</v>
      </c>
      <c r="B47" s="113">
        <v>1659723</v>
      </c>
      <c r="C47" s="114">
        <v>5787</v>
      </c>
      <c r="D47" s="110" t="s">
        <v>199</v>
      </c>
      <c r="E47" s="109"/>
      <c r="F47" s="111">
        <v>0.003486726399525704</v>
      </c>
      <c r="G47" s="109">
        <f t="shared" si="3"/>
        <v>24098</v>
      </c>
      <c r="K47" s="109"/>
    </row>
    <row r="48" spans="1:11" s="108" customFormat="1" ht="12.75">
      <c r="A48" s="112" t="s">
        <v>231</v>
      </c>
      <c r="B48" s="113">
        <v>1659723</v>
      </c>
      <c r="C48" s="114">
        <v>82</v>
      </c>
      <c r="D48" s="110" t="s">
        <v>201</v>
      </c>
      <c r="E48" s="109"/>
      <c r="F48" s="111">
        <v>0.00010000513861274525</v>
      </c>
      <c r="G48" s="109">
        <f t="shared" si="3"/>
        <v>691</v>
      </c>
      <c r="K48" s="109"/>
    </row>
    <row r="49" spans="1:11" s="108" customFormat="1" ht="12.75">
      <c r="A49" s="112" t="s">
        <v>232</v>
      </c>
      <c r="B49" s="113">
        <v>1659723</v>
      </c>
      <c r="C49" s="114">
        <v>779</v>
      </c>
      <c r="D49" s="110" t="s">
        <v>199</v>
      </c>
      <c r="E49" s="109"/>
      <c r="F49" s="111">
        <v>0.0004693540425946545</v>
      </c>
      <c r="G49" s="109">
        <f t="shared" si="3"/>
        <v>3244</v>
      </c>
      <c r="I49" s="109"/>
      <c r="K49" s="109"/>
    </row>
    <row r="50" spans="1:11" s="108" customFormat="1" ht="12.75">
      <c r="A50" s="112" t="s">
        <v>233</v>
      </c>
      <c r="B50" s="113">
        <v>1659723</v>
      </c>
      <c r="C50" s="114">
        <v>78</v>
      </c>
      <c r="D50" s="110" t="s">
        <v>199</v>
      </c>
      <c r="E50" s="109"/>
      <c r="F50" s="111">
        <v>4.699652530206686E-05</v>
      </c>
      <c r="G50" s="109">
        <f t="shared" si="3"/>
        <v>325</v>
      </c>
      <c r="I50" s="109"/>
      <c r="K50" s="109"/>
    </row>
    <row r="51" spans="1:11" s="108" customFormat="1" ht="12.75">
      <c r="A51" s="112" t="s">
        <v>234</v>
      </c>
      <c r="B51" s="113">
        <v>1659723</v>
      </c>
      <c r="C51" s="114">
        <v>375</v>
      </c>
      <c r="D51" s="110" t="s">
        <v>199</v>
      </c>
      <c r="E51" s="109"/>
      <c r="F51" s="111">
        <v>0.00022593671220532546</v>
      </c>
      <c r="G51" s="109">
        <f t="shared" si="3"/>
        <v>1562</v>
      </c>
      <c r="K51" s="109"/>
    </row>
    <row r="52" spans="1:11" s="108" customFormat="1" ht="12.75">
      <c r="A52" s="112" t="s">
        <v>235</v>
      </c>
      <c r="B52" s="113">
        <v>1659723</v>
      </c>
      <c r="C52" s="114">
        <v>962</v>
      </c>
      <c r="D52" s="110" t="s">
        <v>199</v>
      </c>
      <c r="E52" s="109"/>
      <c r="F52" s="111">
        <v>0.0005796164034476002</v>
      </c>
      <c r="G52" s="109">
        <f t="shared" si="3"/>
        <v>4006</v>
      </c>
      <c r="K52" s="109"/>
    </row>
    <row r="53" spans="1:11" s="108" customFormat="1" ht="12.75">
      <c r="A53" s="112" t="s">
        <v>236</v>
      </c>
      <c r="B53" s="113">
        <v>1659723</v>
      </c>
      <c r="C53" s="114">
        <v>44</v>
      </c>
      <c r="D53" s="110" t="s">
        <v>199</v>
      </c>
      <c r="E53" s="109"/>
      <c r="F53" s="111">
        <v>2.6515419572175817E-05</v>
      </c>
      <c r="G53" s="109">
        <f t="shared" si="3"/>
        <v>183</v>
      </c>
      <c r="K53" s="109"/>
    </row>
    <row r="54" spans="1:11" s="108" customFormat="1" ht="12.75">
      <c r="A54" s="112" t="s">
        <v>237</v>
      </c>
      <c r="B54" s="113">
        <v>1659723</v>
      </c>
      <c r="C54" s="114">
        <v>894</v>
      </c>
      <c r="D54" s="110" t="s">
        <v>199</v>
      </c>
      <c r="E54" s="109"/>
      <c r="F54" s="111">
        <v>0.0005386430790709815</v>
      </c>
      <c r="G54" s="109">
        <f t="shared" si="3"/>
        <v>3723</v>
      </c>
      <c r="I54" s="109"/>
      <c r="K54" s="109"/>
    </row>
    <row r="55" spans="1:11" s="108" customFormat="1" ht="12.75">
      <c r="A55" s="112" t="s">
        <v>238</v>
      </c>
      <c r="B55" s="113">
        <v>1659723</v>
      </c>
      <c r="C55" s="114">
        <v>575</v>
      </c>
      <c r="D55" s="110" t="s">
        <v>199</v>
      </c>
      <c r="E55" s="109"/>
      <c r="F55" s="111">
        <v>0.000346445182381635</v>
      </c>
      <c r="G55" s="109">
        <f t="shared" si="3"/>
        <v>2394</v>
      </c>
      <c r="I55" s="109"/>
      <c r="K55" s="109"/>
    </row>
    <row r="56" spans="1:11" s="108" customFormat="1" ht="12.75">
      <c r="A56" s="112" t="s">
        <v>239</v>
      </c>
      <c r="B56" s="113">
        <v>1659723</v>
      </c>
      <c r="C56" s="114">
        <v>146</v>
      </c>
      <c r="D56" s="110" t="s">
        <v>199</v>
      </c>
      <c r="E56" s="109"/>
      <c r="F56" s="111">
        <v>8.796984967868556E-05</v>
      </c>
      <c r="G56" s="109">
        <f t="shared" si="3"/>
        <v>608</v>
      </c>
      <c r="I56" s="109"/>
      <c r="K56" s="109"/>
    </row>
    <row r="57" spans="1:11" s="108" customFormat="1" ht="12.75">
      <c r="A57" s="112" t="s">
        <v>240</v>
      </c>
      <c r="B57" s="113">
        <v>1659723</v>
      </c>
      <c r="C57" s="114">
        <v>66</v>
      </c>
      <c r="D57" s="110" t="s">
        <v>199</v>
      </c>
      <c r="E57" s="109"/>
      <c r="F57" s="111">
        <v>3.976201644142711E-05</v>
      </c>
      <c r="G57" s="109">
        <f t="shared" si="3"/>
        <v>275</v>
      </c>
      <c r="K57" s="109"/>
    </row>
    <row r="58" spans="1:11" s="108" customFormat="1" ht="12.75">
      <c r="A58" s="112" t="s">
        <v>241</v>
      </c>
      <c r="B58" s="113">
        <v>1659723</v>
      </c>
      <c r="C58" s="114">
        <v>101</v>
      </c>
      <c r="D58" s="110" t="s">
        <v>199</v>
      </c>
      <c r="E58" s="109"/>
      <c r="F58" s="111">
        <v>6.085433259733226E-05</v>
      </c>
      <c r="G58" s="109">
        <f t="shared" si="3"/>
        <v>421</v>
      </c>
      <c r="K58" s="109"/>
    </row>
    <row r="59" spans="1:11" s="108" customFormat="1" ht="12.75">
      <c r="A59" s="112" t="s">
        <v>242</v>
      </c>
      <c r="B59" s="113">
        <v>1659723</v>
      </c>
      <c r="C59" s="114">
        <v>85</v>
      </c>
      <c r="D59" s="110" t="s">
        <v>199</v>
      </c>
      <c r="E59" s="109"/>
      <c r="F59" s="111">
        <v>5.120832078314592E-05</v>
      </c>
      <c r="G59" s="109">
        <f t="shared" si="3"/>
        <v>354</v>
      </c>
      <c r="K59" s="109"/>
    </row>
    <row r="60" spans="1:11" s="108" customFormat="1" ht="12.75">
      <c r="A60" s="112" t="s">
        <v>243</v>
      </c>
      <c r="B60" s="113">
        <v>1659723</v>
      </c>
      <c r="C60" s="114">
        <v>1166</v>
      </c>
      <c r="D60" s="110" t="s">
        <v>199</v>
      </c>
      <c r="E60" s="109"/>
      <c r="F60" s="111">
        <v>0.0007025252636606197</v>
      </c>
      <c r="G60" s="109">
        <f t="shared" si="3"/>
        <v>4855</v>
      </c>
      <c r="K60" s="109"/>
    </row>
    <row r="61" spans="1:11" s="108" customFormat="1" ht="12.75">
      <c r="A61" s="107" t="s">
        <v>13</v>
      </c>
      <c r="E61" s="109">
        <f>'Contingency Formula'!Q20</f>
        <v>2038508</v>
      </c>
      <c r="H61" s="109">
        <f>G62</f>
        <v>523</v>
      </c>
      <c r="I61" s="109">
        <f>$E61-$H61</f>
        <v>2037985</v>
      </c>
      <c r="K61" s="109"/>
    </row>
    <row r="62" spans="1:11" s="108" customFormat="1" ht="12.75">
      <c r="A62" s="112" t="s">
        <v>244</v>
      </c>
      <c r="B62" s="113">
        <v>1205419</v>
      </c>
      <c r="C62" s="113">
        <v>309</v>
      </c>
      <c r="D62" s="110" t="s">
        <v>199</v>
      </c>
      <c r="E62" s="109"/>
      <c r="F62" s="111">
        <v>0.000256359893722924</v>
      </c>
      <c r="G62" s="109">
        <f>ROUND(F62*E61,0)</f>
        <v>523</v>
      </c>
      <c r="I62" s="109"/>
      <c r="K62" s="109"/>
    </row>
    <row r="63" spans="1:11" s="108" customFormat="1" ht="12.75">
      <c r="A63" s="107" t="s">
        <v>16</v>
      </c>
      <c r="D63" s="112" t="s">
        <v>180</v>
      </c>
      <c r="E63" s="109">
        <f>'Contingency Formula'!Q23</f>
        <v>939987</v>
      </c>
      <c r="H63" s="109">
        <f>SUM(G64:G66)</f>
        <v>45613</v>
      </c>
      <c r="I63" s="109">
        <f>E63-H63</f>
        <v>894374</v>
      </c>
      <c r="K63" s="109"/>
    </row>
    <row r="64" spans="1:11" s="108" customFormat="1" ht="12.75">
      <c r="A64" s="112" t="s">
        <v>245</v>
      </c>
      <c r="B64" s="113">
        <v>84047</v>
      </c>
      <c r="C64" s="108">
        <v>113</v>
      </c>
      <c r="D64" s="110" t="s">
        <v>246</v>
      </c>
      <c r="E64" s="109"/>
      <c r="F64" s="111">
        <v>0.003024992364184208</v>
      </c>
      <c r="G64" s="109">
        <f>ROUND(F64*$E$63,0)</f>
        <v>2843</v>
      </c>
      <c r="H64" s="109"/>
      <c r="I64" s="109"/>
      <c r="K64" s="109"/>
    </row>
    <row r="65" spans="1:11" s="108" customFormat="1" ht="12.75">
      <c r="A65" s="112" t="s">
        <v>247</v>
      </c>
      <c r="B65" s="113">
        <v>84047</v>
      </c>
      <c r="C65" s="113">
        <v>593</v>
      </c>
      <c r="D65" s="110" t="s">
        <v>201</v>
      </c>
      <c r="E65" s="109"/>
      <c r="F65" s="111">
        <v>0.0070000289254017155</v>
      </c>
      <c r="G65" s="109">
        <f>ROUND(F65*$E$63,0)</f>
        <v>6580</v>
      </c>
      <c r="I65" s="109"/>
      <c r="K65" s="109"/>
    </row>
    <row r="66" spans="1:11" s="108" customFormat="1" ht="12.75">
      <c r="A66" s="112" t="s">
        <v>248</v>
      </c>
      <c r="B66" s="113">
        <v>84047</v>
      </c>
      <c r="C66" s="113">
        <v>796</v>
      </c>
      <c r="D66" s="110" t="s">
        <v>201</v>
      </c>
      <c r="E66" s="109"/>
      <c r="F66" s="111">
        <v>0.03850003652444793</v>
      </c>
      <c r="G66" s="109">
        <f>ROUND(F66*$E$63,0)</f>
        <v>36190</v>
      </c>
      <c r="I66" s="109"/>
      <c r="K66" s="109"/>
    </row>
    <row r="67" spans="1:11" s="108" customFormat="1" ht="12.75">
      <c r="A67" s="107" t="s">
        <v>18</v>
      </c>
      <c r="E67" s="109">
        <f>'Contingency Formula'!Q25</f>
        <v>13175820</v>
      </c>
      <c r="H67" s="109">
        <f>G68</f>
        <v>1712</v>
      </c>
      <c r="I67" s="109">
        <f>E67-H67</f>
        <v>13174108</v>
      </c>
      <c r="K67" s="109"/>
    </row>
    <row r="68" spans="1:11" s="108" customFormat="1" ht="12.75">
      <c r="A68" s="112" t="s">
        <v>249</v>
      </c>
      <c r="B68" s="113">
        <v>434091</v>
      </c>
      <c r="C68" s="113">
        <v>0</v>
      </c>
      <c r="D68" s="110" t="s">
        <v>250</v>
      </c>
      <c r="F68" s="111">
        <v>0.00012991988462240835</v>
      </c>
      <c r="G68" s="109">
        <f>ROUND(F68*E67,0)</f>
        <v>1712</v>
      </c>
      <c r="I68" s="109"/>
      <c r="K68" s="109"/>
    </row>
    <row r="69" spans="1:11" s="108" customFormat="1" ht="12.75">
      <c r="A69" s="107" t="s">
        <v>20</v>
      </c>
      <c r="D69" s="112" t="s">
        <v>180</v>
      </c>
      <c r="E69" s="109">
        <f>'Contingency Formula'!Q27</f>
        <v>4288374</v>
      </c>
      <c r="H69" s="109">
        <f>G70</f>
        <v>10635</v>
      </c>
      <c r="I69" s="109">
        <f>$E69-$H69</f>
        <v>4277739</v>
      </c>
      <c r="K69" s="109"/>
    </row>
    <row r="70" spans="1:11" s="108" customFormat="1" ht="12.75">
      <c r="A70" s="112" t="s">
        <v>251</v>
      </c>
      <c r="B70" s="113">
        <v>222152</v>
      </c>
      <c r="C70" s="113">
        <v>120</v>
      </c>
      <c r="D70" s="110" t="s">
        <v>250</v>
      </c>
      <c r="E70" s="109"/>
      <c r="F70" s="111">
        <v>0.0024798535856107155</v>
      </c>
      <c r="G70" s="109">
        <f>ROUND(F70*E69,0)</f>
        <v>10635</v>
      </c>
      <c r="I70" s="109"/>
      <c r="K70" s="109"/>
    </row>
    <row r="71" spans="1:11" s="108" customFormat="1" ht="12.75">
      <c r="A71" s="107" t="s">
        <v>23</v>
      </c>
      <c r="E71" s="109">
        <f>'Contingency Formula'!Q30</f>
        <v>8809352</v>
      </c>
      <c r="H71" s="109">
        <f>SUM(G72:G76)</f>
        <v>321983</v>
      </c>
      <c r="I71" s="109">
        <f>SUM(E71-H71)</f>
        <v>8487369</v>
      </c>
      <c r="K71" s="109"/>
    </row>
    <row r="72" spans="1:11" s="108" customFormat="1" ht="12.75">
      <c r="A72" s="112" t="s">
        <v>252</v>
      </c>
      <c r="B72" s="113">
        <v>100697</v>
      </c>
      <c r="D72" s="110" t="s">
        <v>201</v>
      </c>
      <c r="F72" s="111">
        <v>0.004350004585899325</v>
      </c>
      <c r="G72" s="109">
        <f>ROUND(F72*$E$71,0)</f>
        <v>38321</v>
      </c>
      <c r="I72" s="109"/>
      <c r="K72" s="109"/>
    </row>
    <row r="73" spans="1:11" s="108" customFormat="1" ht="12.75">
      <c r="A73" s="112" t="s">
        <v>253</v>
      </c>
      <c r="B73" s="113">
        <v>100697</v>
      </c>
      <c r="D73" s="110" t="s">
        <v>201</v>
      </c>
      <c r="E73" s="109"/>
      <c r="F73" s="111">
        <v>0.004350004585899325</v>
      </c>
      <c r="G73" s="109">
        <f>ROUND(F73*$E$71,0)</f>
        <v>38321</v>
      </c>
      <c r="I73" s="109"/>
      <c r="K73" s="109"/>
    </row>
    <row r="74" spans="1:11" s="108" customFormat="1" ht="12.75">
      <c r="A74" s="112" t="s">
        <v>254</v>
      </c>
      <c r="B74" s="113">
        <v>100697</v>
      </c>
      <c r="C74" s="113">
        <v>83</v>
      </c>
      <c r="D74" s="110" t="s">
        <v>201</v>
      </c>
      <c r="E74" s="109"/>
      <c r="F74" s="111">
        <v>0.008299987509458418</v>
      </c>
      <c r="G74" s="109">
        <f>ROUND(F74*$E$71,0)</f>
        <v>73118</v>
      </c>
      <c r="I74" s="109"/>
      <c r="K74" s="109"/>
    </row>
    <row r="75" spans="1:11" s="108" customFormat="1" ht="12.75">
      <c r="A75" s="112" t="s">
        <v>255</v>
      </c>
      <c r="B75" s="113">
        <v>100697</v>
      </c>
      <c r="C75" s="113">
        <v>69</v>
      </c>
      <c r="D75" s="110" t="s">
        <v>201</v>
      </c>
      <c r="E75" s="109"/>
      <c r="F75" s="111">
        <v>0.011579999203501697</v>
      </c>
      <c r="G75" s="109">
        <f>ROUND(F75*$E$71,0)</f>
        <v>102012</v>
      </c>
      <c r="I75" s="109"/>
      <c r="K75" s="109"/>
    </row>
    <row r="76" spans="1:11" s="108" customFormat="1" ht="12.75">
      <c r="A76" s="112" t="s">
        <v>256</v>
      </c>
      <c r="B76" s="113">
        <v>100697</v>
      </c>
      <c r="C76" s="113">
        <v>95</v>
      </c>
      <c r="D76" s="110" t="s">
        <v>201</v>
      </c>
      <c r="E76" s="109"/>
      <c r="F76" s="111">
        <v>0.007969998865593325</v>
      </c>
      <c r="G76" s="109">
        <f>ROUND(F76*$E$71,0)</f>
        <v>70211</v>
      </c>
      <c r="I76" s="109"/>
      <c r="K76" s="109"/>
    </row>
    <row r="77" spans="1:11" s="108" customFormat="1" ht="12.75">
      <c r="A77" s="107" t="s">
        <v>25</v>
      </c>
      <c r="E77" s="109">
        <f>'Contingency Formula'!Q32</f>
        <v>27200551</v>
      </c>
      <c r="H77" s="109">
        <f>G78</f>
        <v>10880</v>
      </c>
      <c r="I77" s="109">
        <f>SUM(E77-H77)</f>
        <v>27189671</v>
      </c>
      <c r="K77" s="109"/>
    </row>
    <row r="78" spans="1:11" s="108" customFormat="1" ht="12.75">
      <c r="A78" s="112" t="s">
        <v>257</v>
      </c>
      <c r="B78" s="113">
        <v>531692</v>
      </c>
      <c r="C78" s="113">
        <v>127</v>
      </c>
      <c r="D78" s="110" t="s">
        <v>201</v>
      </c>
      <c r="E78" s="109"/>
      <c r="F78" s="111">
        <v>0.00039999562739519964</v>
      </c>
      <c r="G78" s="109">
        <f>ROUND(F78*$E$77,0)</f>
        <v>10880</v>
      </c>
      <c r="I78" s="109"/>
      <c r="K78" s="109"/>
    </row>
    <row r="79" spans="1:11" s="108" customFormat="1" ht="12.75">
      <c r="A79" s="107" t="s">
        <v>26</v>
      </c>
      <c r="E79" s="109">
        <f>'Contingency Formula'!Q33</f>
        <v>27628231</v>
      </c>
      <c r="H79" s="109">
        <f>SUM(G80:G85)</f>
        <v>211443</v>
      </c>
      <c r="I79" s="109">
        <f>E79-H79</f>
        <v>27416788</v>
      </c>
      <c r="K79" s="109"/>
    </row>
    <row r="80" spans="1:11" s="108" customFormat="1" ht="12.75">
      <c r="A80" s="112" t="s">
        <v>258</v>
      </c>
      <c r="B80" s="113">
        <v>856399</v>
      </c>
      <c r="C80" s="113">
        <v>335</v>
      </c>
      <c r="D80" s="110" t="s">
        <v>199</v>
      </c>
      <c r="E80" s="109"/>
      <c r="F80" s="111">
        <v>0.000391172857615023</v>
      </c>
      <c r="G80" s="109">
        <f aca="true" t="shared" si="4" ref="G80:G85">ROUND(F80*$E$79,0)</f>
        <v>10807</v>
      </c>
      <c r="I80" s="109"/>
      <c r="K80" s="109"/>
    </row>
    <row r="81" spans="1:11" s="108" customFormat="1" ht="12.75">
      <c r="A81" s="112" t="s">
        <v>259</v>
      </c>
      <c r="B81" s="113">
        <v>856399</v>
      </c>
      <c r="C81" s="113">
        <v>637</v>
      </c>
      <c r="D81" s="110" t="s">
        <v>199</v>
      </c>
      <c r="E81" s="109"/>
      <c r="F81" s="111">
        <v>0.0007438076624452607</v>
      </c>
      <c r="G81" s="109">
        <f t="shared" si="4"/>
        <v>20550</v>
      </c>
      <c r="K81" s="109"/>
    </row>
    <row r="82" spans="1:11" s="108" customFormat="1" ht="12.75">
      <c r="A82" s="112" t="s">
        <v>260</v>
      </c>
      <c r="B82" s="113">
        <v>856399</v>
      </c>
      <c r="C82" s="113">
        <v>884</v>
      </c>
      <c r="D82" s="110" t="s">
        <v>199</v>
      </c>
      <c r="E82" s="109"/>
      <c r="F82" s="111">
        <v>0.0010322247759402725</v>
      </c>
      <c r="G82" s="109">
        <f t="shared" si="4"/>
        <v>28519</v>
      </c>
      <c r="K82" s="109"/>
    </row>
    <row r="83" spans="1:11" s="108" customFormat="1" ht="12.75">
      <c r="A83" s="112" t="s">
        <v>261</v>
      </c>
      <c r="B83" s="113">
        <v>856399</v>
      </c>
      <c r="C83" s="113">
        <v>162</v>
      </c>
      <c r="D83" s="110" t="s">
        <v>199</v>
      </c>
      <c r="E83" s="109"/>
      <c r="F83" s="111">
        <v>0.00018916651916990132</v>
      </c>
      <c r="G83" s="109">
        <f t="shared" si="4"/>
        <v>5226</v>
      </c>
      <c r="K83" s="109"/>
    </row>
    <row r="84" spans="1:11" s="108" customFormat="1" ht="12.75">
      <c r="A84" s="112" t="s">
        <v>262</v>
      </c>
      <c r="B84" s="113">
        <v>856399</v>
      </c>
      <c r="C84" s="113">
        <v>555</v>
      </c>
      <c r="D84" s="110" t="s">
        <v>199</v>
      </c>
      <c r="E84" s="109"/>
      <c r="F84" s="111">
        <v>0.0006480622179150512</v>
      </c>
      <c r="G84" s="109">
        <f t="shared" si="4"/>
        <v>17905</v>
      </c>
      <c r="K84" s="109"/>
    </row>
    <row r="85" spans="1:11" s="108" customFormat="1" ht="12.75">
      <c r="A85" s="112" t="s">
        <v>263</v>
      </c>
      <c r="B85" s="113">
        <v>856399</v>
      </c>
      <c r="C85" s="113">
        <v>1744</v>
      </c>
      <c r="D85" s="110" t="s">
        <v>250</v>
      </c>
      <c r="E85" s="109"/>
      <c r="F85" s="111">
        <v>0.004648739781035617</v>
      </c>
      <c r="G85" s="109">
        <f t="shared" si="4"/>
        <v>128436</v>
      </c>
      <c r="I85" s="109"/>
      <c r="K85" s="109"/>
    </row>
    <row r="86" spans="1:11" s="108" customFormat="1" ht="12.75">
      <c r="A86" s="107" t="s">
        <v>28</v>
      </c>
      <c r="E86" s="109">
        <f>'Contingency Formula'!Q35</f>
        <v>1104535</v>
      </c>
      <c r="H86" s="109">
        <f>$G87</f>
        <v>2093</v>
      </c>
      <c r="I86" s="109">
        <f>$E86-$H86</f>
        <v>1102442</v>
      </c>
      <c r="K86" s="109"/>
    </row>
    <row r="87" spans="1:11" s="108" customFormat="1" ht="12.75">
      <c r="A87" s="112" t="s">
        <v>264</v>
      </c>
      <c r="B87" s="113">
        <v>319230</v>
      </c>
      <c r="C87" s="113">
        <v>605</v>
      </c>
      <c r="D87" s="110" t="s">
        <v>246</v>
      </c>
      <c r="E87" s="109"/>
      <c r="F87" s="111">
        <v>0.0018951736836908253</v>
      </c>
      <c r="G87" s="109">
        <f>ROUND(F87*E86,0)</f>
        <v>2093</v>
      </c>
      <c r="I87" s="109"/>
      <c r="K87" s="109"/>
    </row>
    <row r="88" spans="1:11" s="108" customFormat="1" ht="12.75">
      <c r="A88" s="107" t="s">
        <v>30</v>
      </c>
      <c r="E88" s="109">
        <f>'Contingency Formula'!Q37</f>
        <v>3687369</v>
      </c>
      <c r="H88" s="109">
        <f>SUM($G89:$G94)</f>
        <v>644574</v>
      </c>
      <c r="I88" s="109">
        <f>$E88-$H88</f>
        <v>3042795</v>
      </c>
      <c r="K88" s="109"/>
    </row>
    <row r="89" spans="1:11" s="108" customFormat="1" ht="12.75">
      <c r="A89" s="112" t="s">
        <v>265</v>
      </c>
      <c r="C89" s="108">
        <v>928</v>
      </c>
      <c r="D89" s="110" t="s">
        <v>201</v>
      </c>
      <c r="E89" s="109"/>
      <c r="F89" s="111">
        <v>0.03899897177537332</v>
      </c>
      <c r="G89" s="109">
        <f aca="true" t="shared" si="5" ref="G89:G94">ROUND(F89*$E$88,0)</f>
        <v>143804</v>
      </c>
      <c r="I89" s="115"/>
      <c r="K89" s="109"/>
    </row>
    <row r="90" spans="1:11" s="108" customFormat="1" ht="12.75">
      <c r="A90" s="112" t="s">
        <v>266</v>
      </c>
      <c r="C90" s="108">
        <v>1135</v>
      </c>
      <c r="D90" s="110" t="s">
        <v>201</v>
      </c>
      <c r="E90" s="109"/>
      <c r="F90" s="111">
        <v>0.044521011728448384</v>
      </c>
      <c r="G90" s="109">
        <f t="shared" si="5"/>
        <v>164165</v>
      </c>
      <c r="K90" s="109"/>
    </row>
    <row r="91" spans="1:11" s="108" customFormat="1" ht="12.75">
      <c r="A91" s="112" t="s">
        <v>267</v>
      </c>
      <c r="C91" s="108">
        <v>246</v>
      </c>
      <c r="D91" s="110" t="s">
        <v>201</v>
      </c>
      <c r="E91" s="109"/>
      <c r="F91" s="111">
        <v>0.011390025942469578</v>
      </c>
      <c r="G91" s="109">
        <f t="shared" si="5"/>
        <v>41999</v>
      </c>
      <c r="K91" s="109"/>
    </row>
    <row r="92" spans="1:11" s="108" customFormat="1" ht="12.75">
      <c r="A92" s="112" t="s">
        <v>268</v>
      </c>
      <c r="C92" s="108">
        <v>871</v>
      </c>
      <c r="D92" s="110" t="s">
        <v>201</v>
      </c>
      <c r="E92" s="109"/>
      <c r="F92" s="111">
        <v>0.04365802753635708</v>
      </c>
      <c r="G92" s="109">
        <f t="shared" si="5"/>
        <v>160983</v>
      </c>
      <c r="K92" s="109"/>
    </row>
    <row r="93" spans="1:11" s="108" customFormat="1" ht="12.75">
      <c r="A93" s="112" t="s">
        <v>269</v>
      </c>
      <c r="C93" s="108">
        <v>381</v>
      </c>
      <c r="D93" s="110" t="s">
        <v>201</v>
      </c>
      <c r="E93" s="109"/>
      <c r="F93" s="111">
        <v>0.0157029963413037</v>
      </c>
      <c r="G93" s="109">
        <f t="shared" si="5"/>
        <v>57903</v>
      </c>
      <c r="K93" s="109"/>
    </row>
    <row r="94" spans="1:11" s="108" customFormat="1" ht="12.75">
      <c r="A94" s="112" t="s">
        <v>270</v>
      </c>
      <c r="C94" s="108">
        <v>536</v>
      </c>
      <c r="D94" s="110" t="s">
        <v>201</v>
      </c>
      <c r="E94" s="109"/>
      <c r="F94" s="111">
        <v>0.020535025120447182</v>
      </c>
      <c r="G94" s="109">
        <f t="shared" si="5"/>
        <v>75720</v>
      </c>
      <c r="K94" s="109"/>
    </row>
    <row r="95" spans="1:11" s="108" customFormat="1" ht="12.75">
      <c r="A95" s="107" t="s">
        <v>31</v>
      </c>
      <c r="D95" s="110"/>
      <c r="E95" s="109">
        <f>'Contingency Formula'!Q38</f>
        <v>4617940</v>
      </c>
      <c r="G95" s="109"/>
      <c r="H95" s="116">
        <f>G96</f>
        <v>3853</v>
      </c>
      <c r="I95" s="109">
        <f>$E95-$H95</f>
        <v>4614087</v>
      </c>
      <c r="K95" s="109"/>
    </row>
    <row r="96" spans="1:11" s="108" customFormat="1" ht="12.75">
      <c r="A96" s="112" t="s">
        <v>271</v>
      </c>
      <c r="B96" s="108">
        <v>136572</v>
      </c>
      <c r="D96" s="110" t="s">
        <v>250</v>
      </c>
      <c r="E96" s="109"/>
      <c r="F96" s="111">
        <v>0.0008343749577597678</v>
      </c>
      <c r="G96" s="109">
        <f>ROUND(F96*E95,0)</f>
        <v>3853</v>
      </c>
      <c r="K96" s="109"/>
    </row>
    <row r="97" spans="1:12" ht="12.75">
      <c r="A97" s="107" t="s">
        <v>35</v>
      </c>
      <c r="B97" s="108"/>
      <c r="C97" s="108"/>
      <c r="D97" s="108"/>
      <c r="E97" s="109">
        <f>'Contingency Formula'!Q42</f>
        <v>780012</v>
      </c>
      <c r="F97" s="108"/>
      <c r="G97" s="108"/>
      <c r="H97" s="109">
        <f>SUM($G98:$G104)</f>
        <v>62100</v>
      </c>
      <c r="I97" s="109">
        <f>E97-H97</f>
        <v>717912</v>
      </c>
      <c r="K97" s="109"/>
      <c r="L97" s="108"/>
    </row>
    <row r="98" spans="1:12" ht="12.75">
      <c r="A98" s="112" t="s">
        <v>272</v>
      </c>
      <c r="B98" s="113">
        <v>154990</v>
      </c>
      <c r="C98" s="113">
        <v>262</v>
      </c>
      <c r="D98" s="110" t="s">
        <v>246</v>
      </c>
      <c r="E98" s="109"/>
      <c r="F98" s="111">
        <v>0.0016904074032498518</v>
      </c>
      <c r="G98" s="109">
        <f aca="true" t="shared" si="6" ref="G98:G104">ROUND(F98*$E$97,0)</f>
        <v>1319</v>
      </c>
      <c r="H98" s="108"/>
      <c r="I98" s="109"/>
      <c r="K98" s="109"/>
      <c r="L98" s="108"/>
    </row>
    <row r="99" spans="1:12" ht="12.75">
      <c r="A99" s="112" t="s">
        <v>273</v>
      </c>
      <c r="B99" s="113">
        <v>154990</v>
      </c>
      <c r="C99" s="113">
        <v>261</v>
      </c>
      <c r="D99" s="110" t="s">
        <v>246</v>
      </c>
      <c r="E99" s="109"/>
      <c r="F99" s="111">
        <v>0.0016840069558093414</v>
      </c>
      <c r="G99" s="109">
        <f t="shared" si="6"/>
        <v>1314</v>
      </c>
      <c r="H99" s="108"/>
      <c r="I99" s="109"/>
      <c r="K99" s="109"/>
      <c r="L99" s="108"/>
    </row>
    <row r="100" spans="1:12" ht="12.75">
      <c r="A100" s="112" t="s">
        <v>274</v>
      </c>
      <c r="B100" s="113">
        <v>154990</v>
      </c>
      <c r="C100" s="113">
        <v>9939</v>
      </c>
      <c r="D100" s="110" t="s">
        <v>246</v>
      </c>
      <c r="E100" s="109"/>
      <c r="F100" s="111">
        <v>0.0641266737170057</v>
      </c>
      <c r="G100" s="109">
        <f t="shared" si="6"/>
        <v>50020</v>
      </c>
      <c r="H100" s="108"/>
      <c r="I100" s="109"/>
      <c r="K100" s="109"/>
      <c r="L100" s="108"/>
    </row>
    <row r="101" spans="1:12" ht="12.75">
      <c r="A101" s="112" t="s">
        <v>275</v>
      </c>
      <c r="B101" s="113">
        <v>154990</v>
      </c>
      <c r="C101" s="113">
        <v>200</v>
      </c>
      <c r="D101" s="110" t="s">
        <v>246</v>
      </c>
      <c r="E101" s="109"/>
      <c r="F101" s="111">
        <v>0.0012904286724290388</v>
      </c>
      <c r="G101" s="109">
        <f t="shared" si="6"/>
        <v>1007</v>
      </c>
      <c r="H101" s="108"/>
      <c r="I101" s="109"/>
      <c r="K101" s="109"/>
      <c r="L101" s="108"/>
    </row>
    <row r="102" spans="1:12" ht="12.75">
      <c r="A102" s="112" t="s">
        <v>276</v>
      </c>
      <c r="B102" s="113">
        <v>154990</v>
      </c>
      <c r="C102" s="113">
        <v>520</v>
      </c>
      <c r="D102" s="110" t="s">
        <v>246</v>
      </c>
      <c r="E102" s="109"/>
      <c r="F102" s="111">
        <v>0.003355016079893339</v>
      </c>
      <c r="G102" s="109">
        <f t="shared" si="6"/>
        <v>2617</v>
      </c>
      <c r="H102" s="108"/>
      <c r="I102" s="109"/>
      <c r="K102" s="109"/>
      <c r="L102" s="108"/>
    </row>
    <row r="103" spans="1:12" ht="12.75">
      <c r="A103" s="112" t="s">
        <v>277</v>
      </c>
      <c r="B103" s="113">
        <v>154990</v>
      </c>
      <c r="C103" s="113">
        <v>205</v>
      </c>
      <c r="D103" s="110" t="s">
        <v>246</v>
      </c>
      <c r="E103" s="109"/>
      <c r="F103" s="111">
        <v>0.0013226278464759137</v>
      </c>
      <c r="G103" s="109">
        <f t="shared" si="6"/>
        <v>1032</v>
      </c>
      <c r="H103" s="108"/>
      <c r="I103" s="109"/>
      <c r="K103" s="109"/>
      <c r="L103" s="108"/>
    </row>
    <row r="104" spans="1:12" ht="12.75">
      <c r="A104" s="112" t="s">
        <v>278</v>
      </c>
      <c r="B104" s="113">
        <v>154990</v>
      </c>
      <c r="C104" s="113">
        <v>952</v>
      </c>
      <c r="D104" s="110" t="s">
        <v>246</v>
      </c>
      <c r="E104" s="109"/>
      <c r="F104" s="111">
        <v>0.006142361706024495</v>
      </c>
      <c r="G104" s="109">
        <f t="shared" si="6"/>
        <v>4791</v>
      </c>
      <c r="H104" s="108"/>
      <c r="I104" s="109"/>
      <c r="K104" s="109"/>
      <c r="L104" s="108"/>
    </row>
    <row r="105" spans="1:12" ht="12.75">
      <c r="A105" s="107" t="s">
        <v>36</v>
      </c>
      <c r="B105" s="108"/>
      <c r="C105" s="108"/>
      <c r="D105" s="108"/>
      <c r="E105" s="109">
        <f>'Contingency Formula'!Q43</f>
        <v>82449906</v>
      </c>
      <c r="F105" s="108"/>
      <c r="G105" s="108"/>
      <c r="H105" s="109">
        <f>SUM($G106:$G107)</f>
        <v>134293</v>
      </c>
      <c r="I105" s="109">
        <f>$E105-$H105</f>
        <v>82315613</v>
      </c>
      <c r="K105" s="109"/>
      <c r="L105" s="108"/>
    </row>
    <row r="106" spans="1:12" ht="12.75">
      <c r="A106" s="112" t="s">
        <v>279</v>
      </c>
      <c r="B106" s="113">
        <v>1622237</v>
      </c>
      <c r="C106" s="113">
        <v>547</v>
      </c>
      <c r="D106" s="110" t="s">
        <v>199</v>
      </c>
      <c r="E106" s="109"/>
      <c r="F106" s="111">
        <v>0.0008120410349022915</v>
      </c>
      <c r="G106" s="109">
        <f>ROUND(F106*$E$105,0)</f>
        <v>66953</v>
      </c>
      <c r="H106" s="108"/>
      <c r="I106" s="109"/>
      <c r="K106" s="109"/>
      <c r="L106" s="108"/>
    </row>
    <row r="107" spans="1:12" ht="12.75">
      <c r="A107" s="112" t="s">
        <v>280</v>
      </c>
      <c r="B107" s="113">
        <v>1622237</v>
      </c>
      <c r="C107" s="113">
        <v>317</v>
      </c>
      <c r="D107" s="110" t="s">
        <v>199</v>
      </c>
      <c r="E107" s="109"/>
      <c r="F107" s="111">
        <v>0.0008167393624052865</v>
      </c>
      <c r="G107" s="109">
        <f>ROUND(F107*$E$105,0)</f>
        <v>67340</v>
      </c>
      <c r="H107" s="108"/>
      <c r="I107" s="109"/>
      <c r="K107" s="109"/>
      <c r="L107" s="108"/>
    </row>
    <row r="108" spans="1:12" ht="12.75">
      <c r="A108" s="107" t="s">
        <v>37</v>
      </c>
      <c r="B108" s="108"/>
      <c r="C108" s="108"/>
      <c r="D108" s="108"/>
      <c r="E108" s="109">
        <f>'Contingency Formula'!Q44</f>
        <v>2840718</v>
      </c>
      <c r="F108" s="108"/>
      <c r="G108" s="108"/>
      <c r="H108" s="109">
        <f>$G109</f>
        <v>50520</v>
      </c>
      <c r="I108" s="109">
        <f>E108-H108</f>
        <v>2790198</v>
      </c>
      <c r="K108" s="109"/>
      <c r="L108" s="108"/>
    </row>
    <row r="109" spans="1:12" ht="12.75">
      <c r="A109" s="112" t="s">
        <v>281</v>
      </c>
      <c r="B109" s="113">
        <v>618221</v>
      </c>
      <c r="C109" s="113">
        <v>6441</v>
      </c>
      <c r="D109" s="110" t="s">
        <v>201</v>
      </c>
      <c r="E109" s="109"/>
      <c r="F109" s="111">
        <v>0.01778430227952296</v>
      </c>
      <c r="G109" s="109">
        <f>ROUND(F109*E108,0)</f>
        <v>50520</v>
      </c>
      <c r="H109" s="108"/>
      <c r="I109" s="109"/>
      <c r="K109" s="109"/>
      <c r="L109" s="108"/>
    </row>
    <row r="110" spans="1:12" ht="12.75">
      <c r="A110" s="107" t="s">
        <v>38</v>
      </c>
      <c r="B110" s="108"/>
      <c r="C110" s="108"/>
      <c r="D110" s="112" t="s">
        <v>180</v>
      </c>
      <c r="E110" s="109">
        <f>'Contingency Formula'!Q45</f>
        <v>4005599</v>
      </c>
      <c r="F110" s="108"/>
      <c r="G110" s="108"/>
      <c r="H110" s="109">
        <f>SUM(G111:G114)</f>
        <v>819947</v>
      </c>
      <c r="I110" s="109">
        <f>E110-H110</f>
        <v>3185652</v>
      </c>
      <c r="K110" s="109"/>
      <c r="L110" s="108"/>
    </row>
    <row r="111" spans="1:11" s="108" customFormat="1" ht="12.75">
      <c r="A111" s="112" t="s">
        <v>282</v>
      </c>
      <c r="D111" s="110" t="s">
        <v>201</v>
      </c>
      <c r="E111" s="109"/>
      <c r="F111" s="111">
        <v>0.04460000157756027</v>
      </c>
      <c r="G111" s="109">
        <f>ROUND(F111*$E$110,0)</f>
        <v>178650</v>
      </c>
      <c r="I111" s="109"/>
      <c r="K111" s="109"/>
    </row>
    <row r="112" spans="1:11" s="108" customFormat="1" ht="12.75">
      <c r="A112" s="112" t="s">
        <v>283</v>
      </c>
      <c r="D112" s="110" t="s">
        <v>201</v>
      </c>
      <c r="E112" s="109"/>
      <c r="F112" s="111">
        <v>0.039400016634924144</v>
      </c>
      <c r="G112" s="109">
        <f>ROUND(F112*$E$110,0)</f>
        <v>157821</v>
      </c>
      <c r="I112" s="109"/>
      <c r="K112" s="109"/>
    </row>
    <row r="113" spans="1:11" s="108" customFormat="1" ht="12.75">
      <c r="A113" s="112" t="s">
        <v>284</v>
      </c>
      <c r="D113" s="110" t="s">
        <v>201</v>
      </c>
      <c r="E113" s="109"/>
      <c r="F113" s="111">
        <v>0.03670001582049262</v>
      </c>
      <c r="G113" s="109">
        <f>ROUND(F113*$E$110,0)</f>
        <v>147006</v>
      </c>
      <c r="I113" s="109"/>
      <c r="K113" s="109"/>
    </row>
    <row r="114" spans="1:11" s="108" customFormat="1" ht="12.75">
      <c r="A114" s="112" t="s">
        <v>285</v>
      </c>
      <c r="D114" s="110" t="s">
        <v>201</v>
      </c>
      <c r="E114" s="109"/>
      <c r="F114" s="111">
        <v>0.08400001821248441</v>
      </c>
      <c r="G114" s="109">
        <f>ROUND(F114*$E$110,0)</f>
        <v>336470</v>
      </c>
      <c r="I114" s="109"/>
      <c r="K114" s="109"/>
    </row>
    <row r="115" spans="1:12" ht="12.75">
      <c r="A115" s="107" t="s">
        <v>40</v>
      </c>
      <c r="B115" s="108"/>
      <c r="C115" s="108"/>
      <c r="D115" s="108"/>
      <c r="E115" s="109">
        <f>'Contingency Formula'!Q47</f>
        <v>1184231</v>
      </c>
      <c r="F115" s="108"/>
      <c r="G115" s="108"/>
      <c r="H115" s="109">
        <f>SUM(G116:G147)</f>
        <v>108675</v>
      </c>
      <c r="I115" s="109">
        <f>E115-H115</f>
        <v>1075556</v>
      </c>
      <c r="K115" s="109"/>
      <c r="L115" s="108"/>
    </row>
    <row r="116" spans="1:12" ht="12.75">
      <c r="A116" s="112" t="s">
        <v>286</v>
      </c>
      <c r="B116" s="113">
        <v>334782</v>
      </c>
      <c r="C116" s="113">
        <v>195</v>
      </c>
      <c r="D116" s="110" t="s">
        <v>199</v>
      </c>
      <c r="E116" s="109"/>
      <c r="F116" s="111">
        <v>0.0005824871455250187</v>
      </c>
      <c r="G116" s="109">
        <f aca="true" t="shared" si="7" ref="G116:G147">ROUND(F116*$E$115,0)</f>
        <v>690</v>
      </c>
      <c r="H116" s="108"/>
      <c r="I116" s="109"/>
      <c r="K116" s="109"/>
      <c r="L116" s="108"/>
    </row>
    <row r="117" spans="1:12" ht="12.75">
      <c r="A117" s="112" t="s">
        <v>287</v>
      </c>
      <c r="B117" s="113">
        <v>334782</v>
      </c>
      <c r="C117" s="113">
        <v>125</v>
      </c>
      <c r="D117" s="110" t="s">
        <v>199</v>
      </c>
      <c r="E117" s="109"/>
      <c r="F117" s="111">
        <v>0.0003733858698126637</v>
      </c>
      <c r="G117" s="109">
        <f t="shared" si="7"/>
        <v>442</v>
      </c>
      <c r="H117" s="108"/>
      <c r="I117" s="109"/>
      <c r="K117" s="109"/>
      <c r="L117" s="108"/>
    </row>
    <row r="118" spans="1:12" ht="12.75">
      <c r="A118" s="112" t="s">
        <v>288</v>
      </c>
      <c r="B118" s="113">
        <v>334782</v>
      </c>
      <c r="C118" s="113">
        <v>168</v>
      </c>
      <c r="D118" s="110" t="s">
        <v>199</v>
      </c>
      <c r="E118" s="109"/>
      <c r="F118" s="111">
        <v>0.0005018041470801769</v>
      </c>
      <c r="G118" s="109">
        <f t="shared" si="7"/>
        <v>594</v>
      </c>
      <c r="H118" s="108"/>
      <c r="I118" s="109"/>
      <c r="K118" s="109"/>
      <c r="L118" s="108"/>
    </row>
    <row r="119" spans="1:12" ht="12.75">
      <c r="A119" s="112" t="s">
        <v>289</v>
      </c>
      <c r="B119" s="113">
        <v>334782</v>
      </c>
      <c r="C119" s="113">
        <v>196</v>
      </c>
      <c r="D119" s="110" t="s">
        <v>199</v>
      </c>
      <c r="E119" s="109"/>
      <c r="F119" s="111">
        <v>0.0005854706004514357</v>
      </c>
      <c r="G119" s="109">
        <f t="shared" si="7"/>
        <v>693</v>
      </c>
      <c r="H119" s="108"/>
      <c r="I119" s="109"/>
      <c r="K119" s="109"/>
      <c r="L119" s="108"/>
    </row>
    <row r="120" spans="1:12" ht="12.75">
      <c r="A120" s="112" t="s">
        <v>290</v>
      </c>
      <c r="B120" s="113">
        <v>334782</v>
      </c>
      <c r="C120" s="113">
        <v>12117</v>
      </c>
      <c r="D120" s="110" t="s">
        <v>199</v>
      </c>
      <c r="E120" s="109"/>
      <c r="F120" s="111">
        <v>0.03619371858211175</v>
      </c>
      <c r="G120" s="109">
        <f t="shared" si="7"/>
        <v>42862</v>
      </c>
      <c r="H120" s="108"/>
      <c r="I120" s="117" t="s">
        <v>180</v>
      </c>
      <c r="K120" s="109"/>
      <c r="L120" s="108"/>
    </row>
    <row r="121" spans="1:12" ht="12.75">
      <c r="A121" s="112" t="s">
        <v>291</v>
      </c>
      <c r="B121" s="113">
        <v>334782</v>
      </c>
      <c r="C121" s="113">
        <v>635</v>
      </c>
      <c r="D121" s="110" t="s">
        <v>199</v>
      </c>
      <c r="E121" s="109"/>
      <c r="F121" s="111">
        <v>0.0018967638983274882</v>
      </c>
      <c r="G121" s="109">
        <f t="shared" si="7"/>
        <v>2246</v>
      </c>
      <c r="H121" s="108"/>
      <c r="I121" s="109"/>
      <c r="K121" s="109"/>
      <c r="L121" s="108"/>
    </row>
    <row r="122" spans="1:12" ht="12.75">
      <c r="A122" s="112" t="s">
        <v>292</v>
      </c>
      <c r="B122" s="113">
        <v>334782</v>
      </c>
      <c r="C122" s="113">
        <v>1377</v>
      </c>
      <c r="D122" s="110" t="s">
        <v>201</v>
      </c>
      <c r="E122" s="109"/>
      <c r="F122" s="111">
        <v>0.004872695329712629</v>
      </c>
      <c r="G122" s="109">
        <f t="shared" si="7"/>
        <v>5770</v>
      </c>
      <c r="H122" s="108"/>
      <c r="I122" s="109"/>
      <c r="K122" s="109"/>
      <c r="L122" s="108"/>
    </row>
    <row r="123" spans="1:12" ht="12.75">
      <c r="A123" s="112" t="s">
        <v>293</v>
      </c>
      <c r="B123" s="113">
        <v>334782</v>
      </c>
      <c r="C123" s="113">
        <v>4412</v>
      </c>
      <c r="D123" s="110" t="s">
        <v>201</v>
      </c>
      <c r="E123" s="109"/>
      <c r="F123" s="111">
        <v>0.013680048845642917</v>
      </c>
      <c r="G123" s="109">
        <f t="shared" si="7"/>
        <v>16200</v>
      </c>
      <c r="H123" s="108"/>
      <c r="I123" s="117" t="s">
        <v>180</v>
      </c>
      <c r="K123" s="109"/>
      <c r="L123" s="108"/>
    </row>
    <row r="124" spans="1:12" ht="12.75">
      <c r="A124" s="112" t="s">
        <v>294</v>
      </c>
      <c r="B124" s="113">
        <v>334782</v>
      </c>
      <c r="C124" s="113">
        <v>256</v>
      </c>
      <c r="D124" s="110" t="s">
        <v>199</v>
      </c>
      <c r="E124" s="109"/>
      <c r="F124" s="111">
        <v>0.0007646724691838293</v>
      </c>
      <c r="G124" s="109">
        <f t="shared" si="7"/>
        <v>906</v>
      </c>
      <c r="H124" s="108"/>
      <c r="I124" s="109"/>
      <c r="K124" s="109"/>
      <c r="L124" s="108"/>
    </row>
    <row r="125" spans="1:12" ht="12.75">
      <c r="A125" s="112" t="s">
        <v>295</v>
      </c>
      <c r="B125" s="113">
        <v>334782</v>
      </c>
      <c r="C125" s="113">
        <v>696</v>
      </c>
      <c r="D125" s="110" t="s">
        <v>201</v>
      </c>
      <c r="E125" s="109"/>
      <c r="F125" s="111">
        <v>0.002184343010147768</v>
      </c>
      <c r="G125" s="109">
        <f t="shared" si="7"/>
        <v>2587</v>
      </c>
      <c r="H125" s="108"/>
      <c r="I125" s="109"/>
      <c r="K125" s="109"/>
      <c r="L125" s="108"/>
    </row>
    <row r="126" spans="1:12" ht="12.75">
      <c r="A126" s="112" t="s">
        <v>296</v>
      </c>
      <c r="B126" s="113">
        <v>334782</v>
      </c>
      <c r="C126" s="113"/>
      <c r="D126" s="110" t="s">
        <v>250</v>
      </c>
      <c r="E126" s="109"/>
      <c r="F126" s="111">
        <v>0.00025943086316669356</v>
      </c>
      <c r="G126" s="109">
        <f t="shared" si="7"/>
        <v>307</v>
      </c>
      <c r="H126" s="108"/>
      <c r="I126" s="109"/>
      <c r="K126" s="109"/>
      <c r="L126" s="108"/>
    </row>
    <row r="127" spans="1:12" ht="12.75">
      <c r="A127" s="112" t="s">
        <v>297</v>
      </c>
      <c r="B127" s="113">
        <v>334782</v>
      </c>
      <c r="C127" s="113"/>
      <c r="D127" s="110" t="s">
        <v>250</v>
      </c>
      <c r="E127" s="109"/>
      <c r="F127" s="111">
        <v>0.00025943086316669356</v>
      </c>
      <c r="G127" s="109">
        <f t="shared" si="7"/>
        <v>307</v>
      </c>
      <c r="H127" s="108"/>
      <c r="I127" s="109"/>
      <c r="K127" s="109"/>
      <c r="L127" s="108"/>
    </row>
    <row r="128" spans="1:12" ht="12.75">
      <c r="A128" s="112" t="s">
        <v>298</v>
      </c>
      <c r="B128" s="113">
        <v>334782</v>
      </c>
      <c r="C128" s="113"/>
      <c r="D128" s="4" t="s">
        <v>199</v>
      </c>
      <c r="E128" s="109"/>
      <c r="F128" s="111">
        <v>0.00025943086316669356</v>
      </c>
      <c r="G128" s="109">
        <f t="shared" si="7"/>
        <v>307</v>
      </c>
      <c r="H128" s="108"/>
      <c r="I128" s="109"/>
      <c r="K128" s="109"/>
      <c r="L128" s="108"/>
    </row>
    <row r="129" spans="1:12" ht="12.75">
      <c r="A129" s="112" t="s">
        <v>299</v>
      </c>
      <c r="B129" s="113">
        <v>334782</v>
      </c>
      <c r="C129" s="113">
        <v>170</v>
      </c>
      <c r="D129" s="110" t="s">
        <v>199</v>
      </c>
      <c r="E129" s="108"/>
      <c r="F129" s="111">
        <v>0.0005077710569330109</v>
      </c>
      <c r="G129" s="109">
        <f t="shared" si="7"/>
        <v>601</v>
      </c>
      <c r="H129" s="108"/>
      <c r="I129" s="108"/>
      <c r="K129" s="109"/>
      <c r="L129" s="108"/>
    </row>
    <row r="130" spans="1:12" ht="12.75">
      <c r="A130" s="118" t="s">
        <v>300</v>
      </c>
      <c r="B130" s="113">
        <v>334782</v>
      </c>
      <c r="C130" s="113">
        <v>612</v>
      </c>
      <c r="D130" s="4" t="s">
        <v>199</v>
      </c>
      <c r="E130" s="108"/>
      <c r="F130" s="111">
        <v>0.001828079577304106</v>
      </c>
      <c r="G130" s="109">
        <f t="shared" si="7"/>
        <v>2165</v>
      </c>
      <c r="H130" s="108"/>
      <c r="I130" s="108"/>
      <c r="K130" s="109"/>
      <c r="L130" s="108"/>
    </row>
    <row r="131" spans="1:12" ht="12.75">
      <c r="A131" s="112" t="s">
        <v>301</v>
      </c>
      <c r="B131" s="113">
        <v>334782</v>
      </c>
      <c r="C131" s="113">
        <v>100</v>
      </c>
      <c r="D131" s="110" t="s">
        <v>250</v>
      </c>
      <c r="E131" s="109"/>
      <c r="F131" s="111">
        <v>0.0002986697812206559</v>
      </c>
      <c r="G131" s="109">
        <f t="shared" si="7"/>
        <v>354</v>
      </c>
      <c r="H131" s="108"/>
      <c r="I131" s="109"/>
      <c r="K131" s="109"/>
      <c r="L131" s="108"/>
    </row>
    <row r="132" spans="1:12" ht="12.75">
      <c r="A132" s="112" t="s">
        <v>302</v>
      </c>
      <c r="B132" s="113">
        <v>334782</v>
      </c>
      <c r="C132" s="112" t="s">
        <v>180</v>
      </c>
      <c r="D132" s="110" t="s">
        <v>250</v>
      </c>
      <c r="E132" s="108"/>
      <c r="F132" s="111">
        <v>0.00025943086316669356</v>
      </c>
      <c r="G132" s="109">
        <f t="shared" si="7"/>
        <v>307</v>
      </c>
      <c r="H132" s="108"/>
      <c r="I132" s="108"/>
      <c r="K132" s="109"/>
      <c r="L132" s="108"/>
    </row>
    <row r="133" spans="1:12" ht="12.75">
      <c r="A133" s="112" t="s">
        <v>303</v>
      </c>
      <c r="B133" s="113">
        <v>334782</v>
      </c>
      <c r="C133" s="113">
        <v>3057</v>
      </c>
      <c r="D133" s="110" t="s">
        <v>199</v>
      </c>
      <c r="E133" s="109"/>
      <c r="F133" s="111">
        <v>0.009131317806309696</v>
      </c>
      <c r="G133" s="109">
        <f t="shared" si="7"/>
        <v>10814</v>
      </c>
      <c r="H133" s="108"/>
      <c r="I133" s="109"/>
      <c r="K133" s="109"/>
      <c r="L133" s="108"/>
    </row>
    <row r="134" spans="1:12" ht="12.75">
      <c r="A134" s="112" t="s">
        <v>304</v>
      </c>
      <c r="B134" s="113">
        <v>334782</v>
      </c>
      <c r="C134" s="113">
        <v>678</v>
      </c>
      <c r="D134" s="110" t="s">
        <v>201</v>
      </c>
      <c r="E134" s="109"/>
      <c r="F134" s="111">
        <v>0.003458537694590983</v>
      </c>
      <c r="G134" s="109">
        <f t="shared" si="7"/>
        <v>4096</v>
      </c>
      <c r="H134" s="108"/>
      <c r="I134" s="109"/>
      <c r="K134" s="109"/>
      <c r="L134" s="108"/>
    </row>
    <row r="135" spans="1:12" ht="12.75">
      <c r="A135" s="112" t="s">
        <v>305</v>
      </c>
      <c r="B135" s="113">
        <v>334782</v>
      </c>
      <c r="C135" s="113">
        <v>92</v>
      </c>
      <c r="D135" s="110" t="s">
        <v>250</v>
      </c>
      <c r="E135" s="109"/>
      <c r="F135" s="111">
        <v>0.00027480214180932013</v>
      </c>
      <c r="G135" s="109">
        <f t="shared" si="7"/>
        <v>325</v>
      </c>
      <c r="H135" s="108"/>
      <c r="I135" s="109"/>
      <c r="K135" s="109"/>
      <c r="L135" s="108"/>
    </row>
    <row r="136" spans="1:12" ht="12.75">
      <c r="A136" s="112" t="s">
        <v>306</v>
      </c>
      <c r="B136" s="113">
        <v>334782</v>
      </c>
      <c r="C136" s="113">
        <v>23</v>
      </c>
      <c r="D136" s="110" t="s">
        <v>250</v>
      </c>
      <c r="E136" s="109"/>
      <c r="F136" s="111">
        <v>0.00025943086316669356</v>
      </c>
      <c r="G136" s="109">
        <f t="shared" si="7"/>
        <v>307</v>
      </c>
      <c r="H136" s="108"/>
      <c r="I136" s="109"/>
      <c r="K136" s="109"/>
      <c r="L136" s="108"/>
    </row>
    <row r="137" spans="1:12" ht="12.75">
      <c r="A137" s="112" t="s">
        <v>307</v>
      </c>
      <c r="B137" s="113">
        <v>334782</v>
      </c>
      <c r="C137" s="113">
        <v>104</v>
      </c>
      <c r="D137" s="110" t="s">
        <v>250</v>
      </c>
      <c r="E137" s="109"/>
      <c r="F137" s="111">
        <v>0.0003106684586421155</v>
      </c>
      <c r="G137" s="109">
        <f t="shared" si="7"/>
        <v>368</v>
      </c>
      <c r="H137" s="108"/>
      <c r="I137" s="109"/>
      <c r="K137" s="109"/>
      <c r="L137" s="108"/>
    </row>
    <row r="138" spans="1:12" ht="12.75">
      <c r="A138" s="112" t="s">
        <v>308</v>
      </c>
      <c r="B138" s="113">
        <v>334782</v>
      </c>
      <c r="C138" s="113">
        <v>225</v>
      </c>
      <c r="D138" s="110" t="s">
        <v>199</v>
      </c>
      <c r="E138" s="108"/>
      <c r="F138" s="111">
        <v>0.0006720556510333197</v>
      </c>
      <c r="G138" s="109">
        <f t="shared" si="7"/>
        <v>796</v>
      </c>
      <c r="H138" s="108"/>
      <c r="I138" s="108"/>
      <c r="K138" s="109"/>
      <c r="L138" s="108"/>
    </row>
    <row r="139" spans="1:12" ht="12.75">
      <c r="A139" s="112" t="s">
        <v>309</v>
      </c>
      <c r="B139" s="113">
        <v>334782</v>
      </c>
      <c r="C139" s="113">
        <v>246</v>
      </c>
      <c r="D139" s="110" t="s">
        <v>199</v>
      </c>
      <c r="E139" s="108"/>
      <c r="F139" s="111">
        <v>0.0007348379199196594</v>
      </c>
      <c r="G139" s="109">
        <f t="shared" si="7"/>
        <v>870</v>
      </c>
      <c r="H139" s="108"/>
      <c r="I139" s="108"/>
      <c r="K139" s="109"/>
      <c r="L139" s="108"/>
    </row>
    <row r="140" spans="1:12" ht="12.75">
      <c r="A140" s="112" t="s">
        <v>310</v>
      </c>
      <c r="B140" s="113">
        <v>334782</v>
      </c>
      <c r="C140" s="113">
        <v>194</v>
      </c>
      <c r="D140" s="110" t="s">
        <v>201</v>
      </c>
      <c r="E140" s="109"/>
      <c r="F140" s="111">
        <v>0.0006441019755271084</v>
      </c>
      <c r="G140" s="109">
        <f t="shared" si="7"/>
        <v>763</v>
      </c>
      <c r="H140" s="108"/>
      <c r="I140" s="109"/>
      <c r="K140" s="109"/>
      <c r="L140" s="108"/>
    </row>
    <row r="141" spans="1:12" ht="12.75">
      <c r="A141" s="112" t="s">
        <v>311</v>
      </c>
      <c r="B141" s="113">
        <v>334782</v>
      </c>
      <c r="C141" s="113">
        <v>606</v>
      </c>
      <c r="D141" s="110" t="s">
        <v>199</v>
      </c>
      <c r="E141" s="109"/>
      <c r="F141" s="111">
        <v>0.0018101139900298126</v>
      </c>
      <c r="G141" s="109">
        <f t="shared" si="7"/>
        <v>2144</v>
      </c>
      <c r="H141" s="108"/>
      <c r="I141" s="109"/>
      <c r="K141" s="109"/>
      <c r="L141" s="108"/>
    </row>
    <row r="142" spans="1:12" ht="12.75">
      <c r="A142" s="112" t="s">
        <v>312</v>
      </c>
      <c r="B142" s="113">
        <v>334782</v>
      </c>
      <c r="C142" s="113">
        <v>119</v>
      </c>
      <c r="D142" s="110" t="s">
        <v>250</v>
      </c>
      <c r="E142" s="109"/>
      <c r="F142" s="111">
        <v>0.0003554851402541618</v>
      </c>
      <c r="G142" s="109">
        <f t="shared" si="7"/>
        <v>421</v>
      </c>
      <c r="H142" s="108"/>
      <c r="I142" s="109"/>
      <c r="K142" s="109"/>
      <c r="L142" s="108"/>
    </row>
    <row r="143" spans="1:12" ht="12.75">
      <c r="A143" s="112" t="s">
        <v>313</v>
      </c>
      <c r="B143" s="113">
        <v>334782</v>
      </c>
      <c r="C143" s="113"/>
      <c r="D143" s="110" t="s">
        <v>250</v>
      </c>
      <c r="E143" s="109"/>
      <c r="F143" s="111">
        <v>0.00025943086316669356</v>
      </c>
      <c r="G143" s="109">
        <f t="shared" si="7"/>
        <v>307</v>
      </c>
      <c r="H143" s="108"/>
      <c r="I143" s="109"/>
      <c r="K143" s="109"/>
      <c r="L143" s="108"/>
    </row>
    <row r="144" spans="1:12" ht="12.75">
      <c r="A144" s="112" t="s">
        <v>314</v>
      </c>
      <c r="B144" s="113">
        <v>334782</v>
      </c>
      <c r="C144" s="113">
        <v>34</v>
      </c>
      <c r="D144" s="110" t="s">
        <v>250</v>
      </c>
      <c r="E144" s="109"/>
      <c r="F144" s="111">
        <v>0.00025943086316669356</v>
      </c>
      <c r="G144" s="109">
        <f t="shared" si="7"/>
        <v>307</v>
      </c>
      <c r="H144" s="108"/>
      <c r="I144" s="109"/>
      <c r="K144" s="109"/>
      <c r="L144" s="108"/>
    </row>
    <row r="145" spans="1:12" ht="12.75">
      <c r="A145" s="112" t="s">
        <v>315</v>
      </c>
      <c r="B145" s="113">
        <v>334782</v>
      </c>
      <c r="C145" s="113">
        <v>2600</v>
      </c>
      <c r="D145" s="110" t="s">
        <v>199</v>
      </c>
      <c r="E145" s="109"/>
      <c r="F145" s="111">
        <v>0.007766257462042346</v>
      </c>
      <c r="G145" s="109">
        <f t="shared" si="7"/>
        <v>9197</v>
      </c>
      <c r="H145" s="108"/>
      <c r="I145" s="109"/>
      <c r="K145" s="109"/>
      <c r="L145" s="108"/>
    </row>
    <row r="146" spans="1:12" ht="12.75">
      <c r="A146" s="112" t="s">
        <v>316</v>
      </c>
      <c r="B146" s="113">
        <v>334782</v>
      </c>
      <c r="C146" s="113">
        <v>89</v>
      </c>
      <c r="D146" s="110" t="s">
        <v>250</v>
      </c>
      <c r="E146" s="109"/>
      <c r="F146" s="111">
        <v>0.0002658517770300692</v>
      </c>
      <c r="G146" s="109">
        <f t="shared" si="7"/>
        <v>315</v>
      </c>
      <c r="H146" s="108"/>
      <c r="I146" s="109"/>
      <c r="K146" s="109"/>
      <c r="L146" s="108"/>
    </row>
    <row r="147" spans="1:12" ht="12.75">
      <c r="A147" s="112" t="s">
        <v>317</v>
      </c>
      <c r="B147" s="113">
        <v>334782</v>
      </c>
      <c r="C147" s="113">
        <v>75</v>
      </c>
      <c r="D147" s="4" t="s">
        <v>199</v>
      </c>
      <c r="E147" s="109"/>
      <c r="F147" s="111">
        <v>0.00025943086316669356</v>
      </c>
      <c r="G147" s="109">
        <f t="shared" si="7"/>
        <v>307</v>
      </c>
      <c r="H147" s="108"/>
      <c r="I147" s="109"/>
      <c r="K147" s="109"/>
      <c r="L147" s="108"/>
    </row>
    <row r="148" spans="1:12" ht="12.75">
      <c r="A148" s="107" t="s">
        <v>41</v>
      </c>
      <c r="B148" s="108"/>
      <c r="C148" s="108"/>
      <c r="D148" s="112" t="s">
        <v>180</v>
      </c>
      <c r="E148" s="109">
        <f>'Contingency Formula'!Q48</f>
        <v>1867706</v>
      </c>
      <c r="F148" s="108"/>
      <c r="G148" s="108"/>
      <c r="H148" s="109">
        <f>SUM(G149:G154)</f>
        <v>43580</v>
      </c>
      <c r="I148" s="109">
        <f>E148-H148</f>
        <v>1824126</v>
      </c>
      <c r="K148" s="109"/>
      <c r="L148" s="108"/>
    </row>
    <row r="149" spans="1:12" ht="12.75">
      <c r="A149" s="112" t="s">
        <v>318</v>
      </c>
      <c r="B149" s="113">
        <v>239405</v>
      </c>
      <c r="C149" s="108">
        <v>120</v>
      </c>
      <c r="D149" s="110" t="s">
        <v>250</v>
      </c>
      <c r="E149" s="109"/>
      <c r="F149" s="111">
        <v>0.001521567645648773</v>
      </c>
      <c r="G149" s="109">
        <f aca="true" t="shared" si="8" ref="G149:G154">ROUND(F149*$E$148,0)</f>
        <v>2842</v>
      </c>
      <c r="H149" s="109"/>
      <c r="I149" s="109"/>
      <c r="K149" s="109"/>
      <c r="L149" s="108"/>
    </row>
    <row r="150" spans="1:12" ht="12.75">
      <c r="A150" s="112" t="s">
        <v>319</v>
      </c>
      <c r="B150" s="113">
        <v>239405</v>
      </c>
      <c r="C150" s="108"/>
      <c r="D150" s="110" t="s">
        <v>250</v>
      </c>
      <c r="E150" s="109"/>
      <c r="F150" s="111">
        <v>0.004887316401273741</v>
      </c>
      <c r="G150" s="109">
        <f t="shared" si="8"/>
        <v>9128</v>
      </c>
      <c r="H150" s="109"/>
      <c r="I150" s="109"/>
      <c r="K150" s="109"/>
      <c r="L150" s="108"/>
    </row>
    <row r="151" spans="1:12" ht="12.75">
      <c r="A151" s="112" t="s">
        <v>320</v>
      </c>
      <c r="B151" s="113">
        <v>239405</v>
      </c>
      <c r="C151" s="108">
        <v>150</v>
      </c>
      <c r="D151" s="110" t="s">
        <v>246</v>
      </c>
      <c r="E151" s="109"/>
      <c r="F151" s="111">
        <v>0.004715420380765312</v>
      </c>
      <c r="G151" s="109">
        <f t="shared" si="8"/>
        <v>8807</v>
      </c>
      <c r="H151" s="109"/>
      <c r="I151" s="109"/>
      <c r="K151" s="109"/>
      <c r="L151" s="108"/>
    </row>
    <row r="152" spans="1:12" ht="12.75">
      <c r="A152" s="112" t="s">
        <v>321</v>
      </c>
      <c r="B152" s="113">
        <v>239405</v>
      </c>
      <c r="C152" s="108"/>
      <c r="D152" s="110" t="s">
        <v>250</v>
      </c>
      <c r="E152" s="109"/>
      <c r="F152" s="111">
        <v>0.004715420380765312</v>
      </c>
      <c r="G152" s="109">
        <f t="shared" si="8"/>
        <v>8807</v>
      </c>
      <c r="H152" s="109"/>
      <c r="I152" s="109"/>
      <c r="K152" s="109"/>
      <c r="L152" s="108"/>
    </row>
    <row r="153" spans="1:12" ht="12.75">
      <c r="A153" s="112" t="s">
        <v>322</v>
      </c>
      <c r="B153" s="113">
        <v>239405</v>
      </c>
      <c r="C153" s="108"/>
      <c r="D153" s="110" t="s">
        <v>250</v>
      </c>
      <c r="E153" s="109"/>
      <c r="F153" s="111">
        <v>0.0004934813985887912</v>
      </c>
      <c r="G153" s="109">
        <f t="shared" si="8"/>
        <v>922</v>
      </c>
      <c r="H153" s="109"/>
      <c r="I153" s="109"/>
      <c r="K153" s="109"/>
      <c r="L153" s="108"/>
    </row>
    <row r="154" spans="1:12" ht="12.75">
      <c r="A154" s="112" t="s">
        <v>323</v>
      </c>
      <c r="B154" s="113">
        <v>239405</v>
      </c>
      <c r="C154" s="108"/>
      <c r="D154" s="110" t="s">
        <v>201</v>
      </c>
      <c r="E154" s="109"/>
      <c r="F154" s="111">
        <v>0.006999992515532121</v>
      </c>
      <c r="G154" s="109">
        <f t="shared" si="8"/>
        <v>13074</v>
      </c>
      <c r="H154" s="109"/>
      <c r="I154" s="109"/>
      <c r="K154" s="109"/>
      <c r="L154" s="108"/>
    </row>
    <row r="155" spans="1:12" ht="12.75">
      <c r="A155" s="107" t="s">
        <v>43</v>
      </c>
      <c r="B155" s="108"/>
      <c r="C155" s="108"/>
      <c r="D155" s="108"/>
      <c r="E155" s="109">
        <f>'Contingency Formula'!Q50</f>
        <v>4477366</v>
      </c>
      <c r="F155" s="108"/>
      <c r="G155" s="108"/>
      <c r="H155" s="109">
        <f>$G156</f>
        <v>12686</v>
      </c>
      <c r="I155" s="109">
        <f>SUM($E155-$H155)</f>
        <v>4464680</v>
      </c>
      <c r="K155" s="109"/>
      <c r="L155" s="108"/>
    </row>
    <row r="156" spans="1:12" ht="12.75">
      <c r="A156" s="112" t="s">
        <v>324</v>
      </c>
      <c r="B156" s="113">
        <v>84702</v>
      </c>
      <c r="C156" s="119">
        <v>240</v>
      </c>
      <c r="D156" s="110" t="s">
        <v>199</v>
      </c>
      <c r="E156" s="109"/>
      <c r="F156" s="111">
        <v>0.002833456062509665</v>
      </c>
      <c r="G156" s="109">
        <f>ROUND(F156*E155,0)</f>
        <v>12686</v>
      </c>
      <c r="H156" s="108"/>
      <c r="I156" s="108"/>
      <c r="K156" s="109"/>
      <c r="L156" s="108"/>
    </row>
    <row r="157" spans="1:12" ht="12.75">
      <c r="A157" s="107" t="s">
        <v>45</v>
      </c>
      <c r="B157" s="108"/>
      <c r="C157" s="108"/>
      <c r="D157" s="112" t="s">
        <v>180</v>
      </c>
      <c r="E157" s="109">
        <f>'Contingency Formula'!Q52</f>
        <v>3253247</v>
      </c>
      <c r="F157" s="108"/>
      <c r="G157" s="108"/>
      <c r="H157" s="109">
        <f>SUM(G158:G164)</f>
        <v>578428</v>
      </c>
      <c r="I157" s="109">
        <f>E157-H157</f>
        <v>2674819</v>
      </c>
      <c r="K157" s="109"/>
      <c r="L157" s="108"/>
    </row>
    <row r="158" spans="1:12" ht="12.75">
      <c r="A158" s="112" t="s">
        <v>325</v>
      </c>
      <c r="B158" s="108"/>
      <c r="C158" s="108"/>
      <c r="D158" s="110" t="s">
        <v>201</v>
      </c>
      <c r="E158" s="109"/>
      <c r="F158" s="111">
        <v>0.02820001713408368</v>
      </c>
      <c r="G158" s="109">
        <f aca="true" t="shared" si="9" ref="G158:G164">ROUND(F158*$E$157,0)</f>
        <v>91742</v>
      </c>
      <c r="H158" s="108"/>
      <c r="I158" s="109"/>
      <c r="K158" s="109"/>
      <c r="L158" s="108"/>
    </row>
    <row r="159" spans="1:12" ht="12.75">
      <c r="A159" s="112" t="s">
        <v>326</v>
      </c>
      <c r="B159" s="108"/>
      <c r="C159" s="108"/>
      <c r="D159" s="110" t="s">
        <v>201</v>
      </c>
      <c r="E159" s="109"/>
      <c r="F159" s="111">
        <v>0.0037999765492034428</v>
      </c>
      <c r="G159" s="109">
        <f t="shared" si="9"/>
        <v>12362</v>
      </c>
      <c r="H159" s="108"/>
      <c r="I159" s="109"/>
      <c r="K159" s="109"/>
      <c r="L159" s="108"/>
    </row>
    <row r="160" spans="1:12" ht="12.75">
      <c r="A160" s="112" t="s">
        <v>327</v>
      </c>
      <c r="B160" s="108"/>
      <c r="C160" s="108"/>
      <c r="D160" s="110" t="s">
        <v>201</v>
      </c>
      <c r="E160" s="109"/>
      <c r="F160" s="111">
        <v>0.05839998452405345</v>
      </c>
      <c r="G160" s="109">
        <f t="shared" si="9"/>
        <v>189990</v>
      </c>
      <c r="H160" s="108"/>
      <c r="I160" s="109"/>
      <c r="K160" s="109"/>
      <c r="L160" s="108"/>
    </row>
    <row r="161" spans="1:12" ht="12.75">
      <c r="A161" s="112" t="s">
        <v>328</v>
      </c>
      <c r="B161" s="108"/>
      <c r="C161" s="108"/>
      <c r="D161" s="110" t="s">
        <v>201</v>
      </c>
      <c r="E161" s="109"/>
      <c r="F161" s="111">
        <v>0.045999961310133626</v>
      </c>
      <c r="G161" s="109">
        <f t="shared" si="9"/>
        <v>149649</v>
      </c>
      <c r="H161" s="108"/>
      <c r="I161" s="109"/>
      <c r="K161" s="109"/>
      <c r="L161" s="108"/>
    </row>
    <row r="162" spans="1:12" ht="12.75">
      <c r="A162" s="112" t="s">
        <v>329</v>
      </c>
      <c r="B162" s="108"/>
      <c r="C162" s="108"/>
      <c r="D162" s="110" t="s">
        <v>201</v>
      </c>
      <c r="E162" s="109"/>
      <c r="F162" s="111">
        <v>0.018600034820879737</v>
      </c>
      <c r="G162" s="109">
        <f t="shared" si="9"/>
        <v>60511</v>
      </c>
      <c r="H162" s="108"/>
      <c r="I162" s="109"/>
      <c r="K162" s="109"/>
      <c r="L162" s="108"/>
    </row>
    <row r="163" spans="1:12" ht="12.75">
      <c r="A163" s="112" t="s">
        <v>330</v>
      </c>
      <c r="B163" s="108"/>
      <c r="C163" s="108"/>
      <c r="D163" s="110" t="s">
        <v>201</v>
      </c>
      <c r="E163" s="109"/>
      <c r="F163" s="111">
        <v>0.011600011528001001</v>
      </c>
      <c r="G163" s="109">
        <f t="shared" si="9"/>
        <v>37738</v>
      </c>
      <c r="H163" s="108"/>
      <c r="I163" s="109"/>
      <c r="K163" s="109"/>
      <c r="L163" s="108"/>
    </row>
    <row r="164" spans="1:12" ht="12.75">
      <c r="A164" s="112" t="s">
        <v>331</v>
      </c>
      <c r="B164" s="108"/>
      <c r="C164" s="108"/>
      <c r="D164" s="110" t="s">
        <v>201</v>
      </c>
      <c r="E164" s="109"/>
      <c r="F164" s="111">
        <v>0.01120000568504159</v>
      </c>
      <c r="G164" s="109">
        <f t="shared" si="9"/>
        <v>36436</v>
      </c>
      <c r="H164" s="108"/>
      <c r="I164" s="109"/>
      <c r="K164" s="109"/>
      <c r="L164" s="108"/>
    </row>
    <row r="165" spans="1:12" ht="12.75">
      <c r="A165" s="107" t="s">
        <v>48</v>
      </c>
      <c r="B165" s="108"/>
      <c r="C165" s="108"/>
      <c r="D165" s="112" t="s">
        <v>180</v>
      </c>
      <c r="E165" s="109">
        <f>'Contingency Formula'!Q55</f>
        <v>3745228</v>
      </c>
      <c r="F165" s="108"/>
      <c r="G165" s="108"/>
      <c r="H165" s="109">
        <f>SUM(G166:G168)</f>
        <v>74774</v>
      </c>
      <c r="I165" s="109">
        <f>E165-H165</f>
        <v>3670454</v>
      </c>
      <c r="K165" s="109"/>
      <c r="L165" s="108"/>
    </row>
    <row r="166" spans="1:12" ht="12.75">
      <c r="A166" s="112" t="s">
        <v>274</v>
      </c>
      <c r="B166" s="113">
        <v>110884</v>
      </c>
      <c r="C166" s="113">
        <v>997</v>
      </c>
      <c r="D166" s="110" t="s">
        <v>246</v>
      </c>
      <c r="E166" s="109"/>
      <c r="F166" s="111">
        <v>0.008991376043015396</v>
      </c>
      <c r="G166" s="109">
        <f>ROUND(F166*$E$165,0)</f>
        <v>33675</v>
      </c>
      <c r="H166" s="108"/>
      <c r="I166" s="109"/>
      <c r="K166" s="109"/>
      <c r="L166" s="108"/>
    </row>
    <row r="167" spans="1:12" ht="12.75">
      <c r="A167" s="112" t="s">
        <v>332</v>
      </c>
      <c r="B167" s="113">
        <v>110884</v>
      </c>
      <c r="C167" s="108"/>
      <c r="D167" s="110" t="s">
        <v>250</v>
      </c>
      <c r="E167" s="109"/>
      <c r="F167" s="111">
        <v>0.004115203192958722</v>
      </c>
      <c r="G167" s="109">
        <f>ROUND(F167*$E$165,0)</f>
        <v>15412</v>
      </c>
      <c r="H167" s="108"/>
      <c r="I167" s="108"/>
      <c r="K167" s="109"/>
      <c r="L167" s="108"/>
    </row>
    <row r="168" spans="1:12" ht="12.75">
      <c r="A168" s="112" t="s">
        <v>333</v>
      </c>
      <c r="B168" s="113">
        <v>110884</v>
      </c>
      <c r="C168" s="108"/>
      <c r="D168" s="110" t="s">
        <v>250</v>
      </c>
      <c r="E168" s="109"/>
      <c r="F168" s="111">
        <v>0.006858671988264538</v>
      </c>
      <c r="G168" s="109">
        <f>ROUND(F168*$E$165,0)</f>
        <v>25687</v>
      </c>
      <c r="H168" s="108"/>
      <c r="I168" s="109"/>
      <c r="K168" s="109"/>
      <c r="L168" s="108"/>
    </row>
    <row r="169" spans="1:12" ht="12.75">
      <c r="A169" s="107" t="s">
        <v>51</v>
      </c>
      <c r="B169" s="108"/>
      <c r="C169" s="108"/>
      <c r="D169" s="108"/>
      <c r="E169" s="109">
        <f>'Contingency Formula'!Q58</f>
        <v>3072119</v>
      </c>
      <c r="F169" s="108"/>
      <c r="G169" s="108"/>
      <c r="H169" s="109">
        <f>SUM(G170:G190)</f>
        <v>125295</v>
      </c>
      <c r="I169" s="109">
        <f>E169-H169</f>
        <v>2946824</v>
      </c>
      <c r="K169" s="109"/>
      <c r="L169" s="108"/>
    </row>
    <row r="170" spans="1:12" ht="12.75">
      <c r="A170" s="112" t="s">
        <v>334</v>
      </c>
      <c r="B170" s="109"/>
      <c r="C170" s="108"/>
      <c r="D170" s="110" t="s">
        <v>201</v>
      </c>
      <c r="E170" s="109"/>
      <c r="F170" s="111">
        <v>0.00846999025480099</v>
      </c>
      <c r="G170" s="109">
        <f aca="true" t="shared" si="10" ref="G170:G190">ROUND(F170*$E$169,0)</f>
        <v>26021</v>
      </c>
      <c r="H170" s="108"/>
      <c r="I170" s="108"/>
      <c r="K170" s="109"/>
      <c r="L170" s="108"/>
    </row>
    <row r="171" spans="1:12" ht="12.75">
      <c r="A171" s="112" t="s">
        <v>335</v>
      </c>
      <c r="B171" s="109"/>
      <c r="C171" s="108"/>
      <c r="D171" s="110" t="s">
        <v>250</v>
      </c>
      <c r="E171" s="109"/>
      <c r="F171" s="111">
        <v>0.00021150974531151522</v>
      </c>
      <c r="G171" s="109">
        <f t="shared" si="10"/>
        <v>650</v>
      </c>
      <c r="H171" s="108"/>
      <c r="I171" s="108"/>
      <c r="K171" s="109"/>
      <c r="L171" s="108"/>
    </row>
    <row r="172" spans="1:12" ht="12.75">
      <c r="A172" s="112" t="s">
        <v>336</v>
      </c>
      <c r="B172" s="109"/>
      <c r="C172" s="108"/>
      <c r="D172" s="110" t="s">
        <v>201</v>
      </c>
      <c r="E172" s="109"/>
      <c r="F172" s="111">
        <v>0.0002470113810493818</v>
      </c>
      <c r="G172" s="109">
        <f t="shared" si="10"/>
        <v>759</v>
      </c>
      <c r="H172" s="108"/>
      <c r="I172" s="108"/>
      <c r="K172" s="109"/>
      <c r="L172" s="108"/>
    </row>
    <row r="173" spans="1:12" ht="12.75">
      <c r="A173" s="112" t="s">
        <v>337</v>
      </c>
      <c r="B173" s="109"/>
      <c r="C173" s="108"/>
      <c r="D173" s="110" t="s">
        <v>201</v>
      </c>
      <c r="E173" s="109"/>
      <c r="F173" s="111">
        <v>0.0002470113810493818</v>
      </c>
      <c r="G173" s="109">
        <f t="shared" si="10"/>
        <v>759</v>
      </c>
      <c r="H173" s="108"/>
      <c r="I173" s="108"/>
      <c r="K173" s="109"/>
      <c r="L173" s="108"/>
    </row>
    <row r="174" spans="1:12" ht="12.75">
      <c r="A174" s="112" t="s">
        <v>338</v>
      </c>
      <c r="B174" s="109"/>
      <c r="C174" s="108"/>
      <c r="D174" s="110" t="s">
        <v>201</v>
      </c>
      <c r="E174" s="109"/>
      <c r="F174" s="111">
        <v>0.000604002829430366</v>
      </c>
      <c r="G174" s="109">
        <f t="shared" si="10"/>
        <v>1856</v>
      </c>
      <c r="H174" s="108"/>
      <c r="I174" s="108"/>
      <c r="K174" s="109"/>
      <c r="L174" s="108"/>
    </row>
    <row r="175" spans="1:12" ht="12.75">
      <c r="A175" s="112" t="s">
        <v>339</v>
      </c>
      <c r="B175" s="109"/>
      <c r="C175" s="108"/>
      <c r="D175" s="110" t="s">
        <v>201</v>
      </c>
      <c r="E175" s="109"/>
      <c r="F175" s="111">
        <v>0.002498990140970745</v>
      </c>
      <c r="G175" s="109">
        <f t="shared" si="10"/>
        <v>7677</v>
      </c>
      <c r="H175" s="108"/>
      <c r="I175" s="108"/>
      <c r="K175" s="109"/>
      <c r="L175" s="108"/>
    </row>
    <row r="176" spans="1:12" ht="12.75">
      <c r="A176" s="112" t="s">
        <v>340</v>
      </c>
      <c r="B176" s="109"/>
      <c r="C176" s="108"/>
      <c r="D176" s="110" t="s">
        <v>201</v>
      </c>
      <c r="E176" s="109"/>
      <c r="F176" s="111">
        <v>0.0019489897997050213</v>
      </c>
      <c r="G176" s="109">
        <f t="shared" si="10"/>
        <v>5988</v>
      </c>
      <c r="H176" s="108"/>
      <c r="I176" s="108"/>
      <c r="K176" s="109"/>
      <c r="L176" s="108"/>
    </row>
    <row r="177" spans="1:12" ht="12.75">
      <c r="A177" s="112" t="s">
        <v>341</v>
      </c>
      <c r="B177" s="109"/>
      <c r="C177" s="108"/>
      <c r="D177" s="110" t="s">
        <v>201</v>
      </c>
      <c r="E177" s="109"/>
      <c r="F177" s="111">
        <v>0.0008919910984898629</v>
      </c>
      <c r="G177" s="109">
        <f t="shared" si="10"/>
        <v>2740</v>
      </c>
      <c r="H177" s="108"/>
      <c r="I177" s="108"/>
      <c r="K177" s="109"/>
      <c r="L177" s="108"/>
    </row>
    <row r="178" spans="1:12" ht="12.75">
      <c r="A178" s="112" t="s">
        <v>342</v>
      </c>
      <c r="B178" s="109"/>
      <c r="C178" s="108"/>
      <c r="D178" s="110" t="s">
        <v>201</v>
      </c>
      <c r="E178" s="109"/>
      <c r="F178" s="111">
        <v>0.0006860066077544523</v>
      </c>
      <c r="G178" s="109">
        <f t="shared" si="10"/>
        <v>2107</v>
      </c>
      <c r="H178" s="108"/>
      <c r="I178" s="108"/>
      <c r="K178" s="109"/>
      <c r="L178" s="108"/>
    </row>
    <row r="179" spans="1:12" ht="12.75">
      <c r="A179" s="112" t="s">
        <v>343</v>
      </c>
      <c r="B179" s="109"/>
      <c r="C179" s="108"/>
      <c r="D179" s="110" t="s">
        <v>201</v>
      </c>
      <c r="E179" s="109"/>
      <c r="F179" s="111">
        <v>0.0004119939826227493</v>
      </c>
      <c r="G179" s="109">
        <f t="shared" si="10"/>
        <v>1266</v>
      </c>
      <c r="H179" s="108"/>
      <c r="I179" s="108"/>
      <c r="K179" s="109"/>
      <c r="L179" s="108"/>
    </row>
    <row r="180" spans="1:12" ht="12.75">
      <c r="A180" s="112" t="s">
        <v>344</v>
      </c>
      <c r="B180" s="109"/>
      <c r="C180" s="108"/>
      <c r="D180" s="110" t="s">
        <v>201</v>
      </c>
      <c r="E180" s="109"/>
      <c r="F180" s="111">
        <v>0.00278700341118217</v>
      </c>
      <c r="G180" s="109">
        <f t="shared" si="10"/>
        <v>8562</v>
      </c>
      <c r="H180" s="108"/>
      <c r="I180" s="108"/>
      <c r="K180" s="109"/>
      <c r="L180" s="108"/>
    </row>
    <row r="181" spans="1:12" ht="12.75">
      <c r="A181" s="112" t="s">
        <v>345</v>
      </c>
      <c r="B181" s="109"/>
      <c r="C181" s="108"/>
      <c r="D181" s="110" t="s">
        <v>201</v>
      </c>
      <c r="E181" s="109"/>
      <c r="F181" s="111">
        <v>0.0007960116762379827</v>
      </c>
      <c r="G181" s="109">
        <f t="shared" si="10"/>
        <v>2445</v>
      </c>
      <c r="H181" s="108"/>
      <c r="I181" s="108"/>
      <c r="K181" s="109"/>
      <c r="L181" s="108"/>
    </row>
    <row r="182" spans="1:12" ht="12.75">
      <c r="A182" s="112" t="s">
        <v>346</v>
      </c>
      <c r="B182" s="109"/>
      <c r="C182" s="108"/>
      <c r="D182" s="110" t="s">
        <v>201</v>
      </c>
      <c r="E182" s="109"/>
      <c r="F182" s="111">
        <v>0.0021689999366720824</v>
      </c>
      <c r="G182" s="109">
        <f t="shared" si="10"/>
        <v>6663</v>
      </c>
      <c r="H182" s="108"/>
      <c r="I182" s="108"/>
      <c r="K182" s="109"/>
      <c r="L182" s="108"/>
    </row>
    <row r="183" spans="1:12" ht="12.75">
      <c r="A183" s="112" t="s">
        <v>347</v>
      </c>
      <c r="B183" s="109"/>
      <c r="C183" s="108"/>
      <c r="D183" s="110" t="s">
        <v>201</v>
      </c>
      <c r="E183" s="109"/>
      <c r="F183" s="111">
        <v>0.0008229879191683757</v>
      </c>
      <c r="G183" s="109">
        <f t="shared" si="10"/>
        <v>2528</v>
      </c>
      <c r="H183" s="108"/>
      <c r="I183" s="108"/>
      <c r="K183" s="109"/>
      <c r="L183" s="108"/>
    </row>
    <row r="184" spans="1:12" ht="12.75">
      <c r="A184" s="112" t="s">
        <v>348</v>
      </c>
      <c r="B184" s="109"/>
      <c r="C184" s="108"/>
      <c r="D184" s="110" t="s">
        <v>201</v>
      </c>
      <c r="E184" s="109"/>
      <c r="F184" s="111">
        <v>0.0013170106812671395</v>
      </c>
      <c r="G184" s="109">
        <f t="shared" si="10"/>
        <v>4046</v>
      </c>
      <c r="H184" s="108"/>
      <c r="I184" s="108"/>
      <c r="K184" s="109"/>
      <c r="L184" s="108"/>
    </row>
    <row r="185" spans="1:12" ht="12.75">
      <c r="A185" s="112" t="s">
        <v>349</v>
      </c>
      <c r="B185" s="109"/>
      <c r="C185" s="108"/>
      <c r="D185" s="110" t="s">
        <v>201</v>
      </c>
      <c r="E185" s="109"/>
      <c r="F185" s="111">
        <v>0.002782003180796555</v>
      </c>
      <c r="G185" s="109">
        <f t="shared" si="10"/>
        <v>8547</v>
      </c>
      <c r="H185" s="108"/>
      <c r="I185" s="108"/>
      <c r="K185" s="109"/>
      <c r="L185" s="108"/>
    </row>
    <row r="186" spans="1:12" ht="12.75">
      <c r="A186" s="112" t="s">
        <v>350</v>
      </c>
      <c r="B186" s="109"/>
      <c r="C186" s="108"/>
      <c r="D186" s="110" t="s">
        <v>201</v>
      </c>
      <c r="E186" s="109"/>
      <c r="F186" s="111">
        <v>0.0017440053550467338</v>
      </c>
      <c r="G186" s="109">
        <f t="shared" si="10"/>
        <v>5358</v>
      </c>
      <c r="H186" s="108"/>
      <c r="I186" s="108"/>
      <c r="K186" s="109"/>
      <c r="L186" s="108"/>
    </row>
    <row r="187" spans="1:12" ht="12.75">
      <c r="A187" s="2" t="s">
        <v>351</v>
      </c>
      <c r="B187" s="109"/>
      <c r="C187" s="108"/>
      <c r="D187" s="110" t="s">
        <v>201</v>
      </c>
      <c r="E187" s="109"/>
      <c r="F187" s="111">
        <v>0.0002470113810493818</v>
      </c>
      <c r="G187" s="109">
        <f t="shared" si="10"/>
        <v>759</v>
      </c>
      <c r="H187" s="108"/>
      <c r="I187" s="108"/>
      <c r="K187" s="109"/>
      <c r="L187" s="108"/>
    </row>
    <row r="188" spans="1:12" ht="12.75">
      <c r="A188" s="112" t="s">
        <v>352</v>
      </c>
      <c r="B188" s="109"/>
      <c r="C188" s="108"/>
      <c r="D188" s="110" t="s">
        <v>201</v>
      </c>
      <c r="E188" s="109"/>
      <c r="F188" s="111">
        <v>0.0010569987012151584</v>
      </c>
      <c r="G188" s="109">
        <f t="shared" si="10"/>
        <v>3247</v>
      </c>
      <c r="H188" s="108"/>
      <c r="I188" s="108"/>
      <c r="K188" s="109"/>
      <c r="L188" s="108"/>
    </row>
    <row r="189" spans="1:12" ht="12.75">
      <c r="A189" s="112" t="s">
        <v>353</v>
      </c>
      <c r="B189" s="109"/>
      <c r="C189" s="108"/>
      <c r="D189" s="110" t="s">
        <v>201</v>
      </c>
      <c r="E189" s="109"/>
      <c r="F189" s="111">
        <v>0.0018670110225328632</v>
      </c>
      <c r="G189" s="109">
        <f t="shared" si="10"/>
        <v>5736</v>
      </c>
      <c r="H189" s="108"/>
      <c r="I189" s="108"/>
      <c r="K189" s="109"/>
      <c r="L189" s="108"/>
    </row>
    <row r="190" spans="1:12" ht="12.75">
      <c r="A190" s="112" t="s">
        <v>354</v>
      </c>
      <c r="B190" s="109"/>
      <c r="C190" s="108"/>
      <c r="D190" s="110" t="s">
        <v>201</v>
      </c>
      <c r="E190" s="109"/>
      <c r="F190" s="111">
        <v>0.008977988660827548</v>
      </c>
      <c r="G190" s="109">
        <f t="shared" si="10"/>
        <v>27581</v>
      </c>
      <c r="H190" s="108"/>
      <c r="I190" s="108"/>
      <c r="K190" s="109"/>
      <c r="L190" s="108"/>
    </row>
    <row r="191" spans="1:12" ht="12.75">
      <c r="A191" s="107" t="s">
        <v>54</v>
      </c>
      <c r="B191" s="109"/>
      <c r="C191" s="108"/>
      <c r="D191" s="110"/>
      <c r="E191" s="109">
        <f>'Contingency Formula'!Q61</f>
        <v>1499507</v>
      </c>
      <c r="F191" s="108"/>
      <c r="G191" s="109"/>
      <c r="H191" s="116">
        <f>G192</f>
        <v>53943</v>
      </c>
      <c r="I191" s="109">
        <f>E191-H191</f>
        <v>1445564</v>
      </c>
      <c r="K191" s="109"/>
      <c r="L191" s="108"/>
    </row>
    <row r="192" spans="1:12" ht="12.75">
      <c r="A192" s="112" t="s">
        <v>355</v>
      </c>
      <c r="B192" s="109"/>
      <c r="C192" s="108"/>
      <c r="D192" s="110" t="s">
        <v>250</v>
      </c>
      <c r="E192" s="109"/>
      <c r="F192" s="111">
        <v>0.03597403291521229</v>
      </c>
      <c r="G192" s="109">
        <f>ROUND(F192*E191,0)</f>
        <v>53943</v>
      </c>
      <c r="H192" s="108"/>
      <c r="I192" s="108"/>
      <c r="K192" s="109"/>
      <c r="L192" s="108"/>
    </row>
    <row r="193" spans="1:12" ht="12.75">
      <c r="A193" s="112" t="s">
        <v>356</v>
      </c>
      <c r="B193" s="108"/>
      <c r="C193" s="108"/>
      <c r="D193" s="108"/>
      <c r="E193" s="109">
        <f>SUM(E12:E192)</f>
        <v>215046275</v>
      </c>
      <c r="F193" s="108"/>
      <c r="G193" s="109"/>
      <c r="H193" s="109">
        <f>SUM(H12:H192)</f>
        <v>4524016</v>
      </c>
      <c r="I193" s="109">
        <f>SUM(I12:I192)</f>
        <v>210522259</v>
      </c>
      <c r="K193" s="109"/>
      <c r="L193" s="108"/>
    </row>
    <row r="195" ht="12.75">
      <c r="A195" s="47"/>
    </row>
    <row r="445" ht="12.75">
      <c r="H445" s="120"/>
    </row>
    <row r="447" ht="12.75">
      <c r="E447" s="120"/>
    </row>
    <row r="450" ht="12.75">
      <c r="E450" s="120"/>
    </row>
    <row r="451" ht="12.75">
      <c r="E451" s="120"/>
    </row>
    <row r="452" ht="12.75">
      <c r="E452" s="120"/>
    </row>
    <row r="453" ht="12.75">
      <c r="E453" s="120"/>
    </row>
    <row r="454" ht="12.75">
      <c r="E454" s="120"/>
    </row>
    <row r="455" ht="12.75">
      <c r="E455" s="120"/>
    </row>
    <row r="456" ht="12.75">
      <c r="E456" s="120"/>
    </row>
    <row r="457" ht="12.75">
      <c r="E457" s="120"/>
    </row>
    <row r="458" ht="12.75">
      <c r="E458" s="120"/>
    </row>
    <row r="459" ht="12.75">
      <c r="E459" s="120"/>
    </row>
    <row r="460" ht="12.75">
      <c r="E460" s="120"/>
    </row>
    <row r="461" ht="12.75">
      <c r="E461" s="120"/>
    </row>
    <row r="462" ht="12.75">
      <c r="E462" s="120"/>
    </row>
    <row r="463" ht="12.75">
      <c r="E463" s="120"/>
    </row>
    <row r="464" ht="12.75">
      <c r="E464" s="120"/>
    </row>
    <row r="465" ht="12.75">
      <c r="E465" s="120"/>
    </row>
    <row r="466" ht="12.75">
      <c r="E466" s="120"/>
    </row>
    <row r="467" ht="12.75">
      <c r="E467" s="120"/>
    </row>
    <row r="468" ht="12.75">
      <c r="E468" s="120"/>
    </row>
    <row r="469" ht="12.75">
      <c r="E469" s="120"/>
    </row>
    <row r="470" ht="12.75">
      <c r="E470" s="120"/>
    </row>
    <row r="471" ht="12.75">
      <c r="E471" s="120"/>
    </row>
    <row r="472" ht="12.75">
      <c r="E472" s="120"/>
    </row>
    <row r="473" ht="12.75">
      <c r="E473" s="120"/>
    </row>
    <row r="474" ht="12.75">
      <c r="E474" s="120"/>
    </row>
    <row r="475" ht="12.75">
      <c r="E475" s="120"/>
    </row>
    <row r="476" ht="12.75">
      <c r="E476" s="120"/>
    </row>
    <row r="477" ht="12.75">
      <c r="E477" s="120"/>
    </row>
    <row r="478" ht="12.75">
      <c r="E478" s="120"/>
    </row>
    <row r="479" ht="12.75">
      <c r="E479" s="120"/>
    </row>
    <row r="480" ht="12.75">
      <c r="E480" s="120"/>
    </row>
    <row r="481" ht="12.75">
      <c r="E481" s="120"/>
    </row>
    <row r="482" ht="12.75">
      <c r="E482" s="120"/>
    </row>
    <row r="483" ht="12.75">
      <c r="E483" s="120"/>
    </row>
    <row r="484" ht="12.75">
      <c r="E484" s="120"/>
    </row>
    <row r="485" ht="12.75">
      <c r="E485" s="120"/>
    </row>
    <row r="486" ht="12.75">
      <c r="E486" s="120"/>
    </row>
    <row r="487" ht="12.75">
      <c r="E487" s="120"/>
    </row>
    <row r="488" ht="12.75">
      <c r="E488" s="120"/>
    </row>
    <row r="489" ht="12.75">
      <c r="E489" s="120"/>
    </row>
    <row r="490" ht="12.75">
      <c r="E490" s="120"/>
    </row>
    <row r="491" ht="12.75">
      <c r="E491" s="120"/>
    </row>
    <row r="492" ht="12.75">
      <c r="E492" s="120"/>
    </row>
    <row r="493" ht="12.75">
      <c r="E493" s="120"/>
    </row>
    <row r="494" ht="12.75">
      <c r="E494" s="120"/>
    </row>
    <row r="495" ht="12.75">
      <c r="E495" s="120"/>
    </row>
    <row r="496" ht="12.75">
      <c r="E496" s="120"/>
    </row>
    <row r="497" ht="12.75">
      <c r="E497" s="120"/>
    </row>
    <row r="498" ht="12.75">
      <c r="E498" s="120"/>
    </row>
    <row r="499" ht="12.75">
      <c r="E499" s="120"/>
    </row>
    <row r="500" ht="12.75">
      <c r="E500" s="120"/>
    </row>
    <row r="501" ht="12.75">
      <c r="E501" s="120"/>
    </row>
    <row r="502" spans="5:8" ht="12.75">
      <c r="E502" s="120"/>
      <c r="G502" s="121"/>
      <c r="H502" s="121"/>
    </row>
    <row r="504" spans="5:8" ht="12.75">
      <c r="E504" s="121"/>
      <c r="H504" s="121"/>
    </row>
    <row r="506" ht="12.75">
      <c r="H506" s="121"/>
    </row>
    <row r="507" spans="5:8" ht="12.75">
      <c r="E507" s="121"/>
      <c r="H507" s="121"/>
    </row>
    <row r="508" spans="5:8" ht="12.75">
      <c r="E508" s="121"/>
      <c r="H508" s="121"/>
    </row>
    <row r="509" spans="5:8" ht="12.75">
      <c r="E509" s="121"/>
      <c r="H509" s="121"/>
    </row>
    <row r="510" spans="5:8" ht="12.75">
      <c r="E510" s="121"/>
      <c r="H510" s="121"/>
    </row>
    <row r="511" spans="5:8" ht="12.75">
      <c r="E511" s="121"/>
      <c r="H511" s="121"/>
    </row>
    <row r="512" spans="5:8" ht="12.75">
      <c r="E512" s="121"/>
      <c r="H512" s="121"/>
    </row>
    <row r="513" spans="5:8" ht="12.75">
      <c r="E513" s="121"/>
      <c r="H513" s="121"/>
    </row>
  </sheetData>
  <sheetProtection/>
  <mergeCells count="1">
    <mergeCell ref="A1:I1"/>
  </mergeCells>
  <printOptions gridLines="1" horizontalCentered="1"/>
  <pageMargins left="0.25" right="0.25" top="0.5" bottom="0.77" header="0.25" footer="0.5"/>
  <pageSetup fitToHeight="0" horizontalDpi="600" verticalDpi="600" orientation="landscape" scale="68" r:id="rId1"/>
  <headerFooter alignWithMargins="0">
    <oddFooter>&amp;L&amp;"Arial,Regular"'&amp;F' [&amp;A]&amp;C&amp;"Arial,Regular"16-Jan-08&amp;R&amp;"Arial,Regular"Page &amp;P of &amp;N</oddFooter>
  </headerFooter>
  <rowBreaks count="4" manualBreakCount="4">
    <brk id="36" max="9" man="1"/>
    <brk id="70" max="9" man="1"/>
    <brk id="109" max="9" man="1"/>
    <brk id="15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T91"/>
  <sheetViews>
    <sheetView workbookViewId="0" topLeftCell="A1">
      <pane xSplit="1" ySplit="9" topLeftCell="B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33203125" defaultRowHeight="12.75"/>
  <cols>
    <col min="1" max="1" width="25.66015625" style="2" customWidth="1"/>
    <col min="2" max="2" width="24.5" style="2" bestFit="1" customWidth="1"/>
    <col min="3" max="3" width="39.5" style="2" customWidth="1"/>
    <col min="4" max="5" width="24.5" style="2" customWidth="1"/>
    <col min="6" max="6" width="16.33203125" style="13" customWidth="1"/>
    <col min="7" max="7" width="24.5" style="2" customWidth="1"/>
    <col min="8" max="12" width="12.33203125" style="2" customWidth="1"/>
    <col min="13" max="14" width="13.16015625" style="2" customWidth="1"/>
    <col min="15" max="15" width="19.83203125" style="2" customWidth="1"/>
    <col min="16" max="16" width="1.171875" style="2" customWidth="1"/>
    <col min="17" max="17" width="19.83203125" style="2" customWidth="1"/>
    <col min="18" max="18" width="13" style="2" customWidth="1"/>
    <col min="19" max="19" width="9.33203125" style="2" customWidth="1"/>
    <col min="20" max="20" width="10.66015625" style="2" bestFit="1" customWidth="1"/>
    <col min="21" max="16384" width="9.33203125" style="2" customWidth="1"/>
  </cols>
  <sheetData>
    <row r="1" spans="1:18" ht="12.75">
      <c r="A1" s="191" t="str">
        <f>"Low Income Home Energy Assistance Program (LIHEAP) State  and Territory Allotments of "&amp;TEXT('Contingency Formula'!$C$2/1000000,"$0")&amp;" Million in Emergency Contingency Funds Reflecting LI Households Using FO, LPG and NG for Heat"</f>
        <v>Low Income Home Energy Assistance Program (LIHEAP) State  and Territory Allotments of $450 Million in Emergency Contingency Funds Reflecting LI Households Using FO, LPG and NG for Heat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"/>
    </row>
    <row r="2" spans="1:6" ht="12.75">
      <c r="A2" s="3" t="s">
        <v>0</v>
      </c>
      <c r="B2" s="4"/>
      <c r="C2" s="5">
        <v>450000000</v>
      </c>
      <c r="F2" s="6" t="s">
        <v>371</v>
      </c>
    </row>
    <row r="3" spans="1:18" ht="12.75" customHeight="1">
      <c r="A3" s="14" t="s">
        <v>362</v>
      </c>
      <c r="C3" s="5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2.75">
      <c r="A4" s="2" t="s">
        <v>363</v>
      </c>
      <c r="D4" s="10"/>
      <c r="F4" s="14"/>
      <c r="I4" s="14"/>
      <c r="J4" s="14"/>
      <c r="K4" s="14"/>
      <c r="N4" s="93" t="s">
        <v>175</v>
      </c>
      <c r="O4" s="12">
        <v>0.6</v>
      </c>
      <c r="P4" s="12"/>
      <c r="Q4" s="14"/>
      <c r="R4" s="14"/>
    </row>
    <row r="5" spans="1:17" ht="12.75">
      <c r="A5" s="14"/>
      <c r="C5" s="5"/>
      <c r="D5" s="59"/>
      <c r="F5" s="93" t="s">
        <v>93</v>
      </c>
      <c r="G5" s="12">
        <v>0.1956</v>
      </c>
      <c r="I5" s="36"/>
      <c r="J5" s="36"/>
      <c r="N5" s="174" t="s">
        <v>174</v>
      </c>
      <c r="O5" s="94">
        <v>39</v>
      </c>
      <c r="P5" s="94"/>
      <c r="Q5" s="8"/>
    </row>
    <row r="6" spans="3:17" ht="12.75">
      <c r="C6" s="16" t="s">
        <v>1</v>
      </c>
      <c r="D6" s="58"/>
      <c r="E6" s="57"/>
      <c r="G6" s="16" t="s">
        <v>177</v>
      </c>
      <c r="H6" s="16"/>
      <c r="I6" s="16"/>
      <c r="J6" s="16"/>
      <c r="K6" s="16"/>
      <c r="N6" s="16"/>
      <c r="O6" s="16" t="s">
        <v>176</v>
      </c>
      <c r="P6" s="16"/>
      <c r="Q6" s="8"/>
    </row>
    <row r="7" spans="3:18" ht="12.75">
      <c r="C7" s="5">
        <f>C66</f>
        <v>149796858</v>
      </c>
      <c r="G7" s="5">
        <v>50000000</v>
      </c>
      <c r="H7" s="137"/>
      <c r="I7" s="137"/>
      <c r="J7" s="137"/>
      <c r="K7" s="137"/>
      <c r="L7" s="137"/>
      <c r="M7" s="137"/>
      <c r="N7" s="137"/>
      <c r="O7" s="5">
        <v>250000000</v>
      </c>
      <c r="P7" s="5"/>
      <c r="R7" s="8"/>
    </row>
    <row r="8" spans="1:17" ht="12.75">
      <c r="A8" s="4" t="str">
        <f aca="true" t="shared" si="0" ref="A8:Q8">IF(COLUMN()&lt;=26,CHAR(64+COLUMN()),CHAR(64+ROUNDDOWN((COLUMN()-1)/26,0))&amp;CHAR(65+MOD((COLUMN()-1),26)))</f>
        <v>A</v>
      </c>
      <c r="B8" s="4" t="str">
        <f t="shared" si="0"/>
        <v>B</v>
      </c>
      <c r="C8" s="7" t="str">
        <f t="shared" si="0"/>
        <v>C</v>
      </c>
      <c r="D8" s="15" t="str">
        <f t="shared" si="0"/>
        <v>D</v>
      </c>
      <c r="E8" s="15" t="str">
        <f t="shared" si="0"/>
        <v>E</v>
      </c>
      <c r="F8" s="15" t="str">
        <f t="shared" si="0"/>
        <v>F</v>
      </c>
      <c r="G8" s="18" t="str">
        <f t="shared" si="0"/>
        <v>G</v>
      </c>
      <c r="H8" s="15" t="str">
        <f t="shared" si="0"/>
        <v>H</v>
      </c>
      <c r="I8" s="15" t="str">
        <f t="shared" si="0"/>
        <v>I</v>
      </c>
      <c r="J8" s="15" t="str">
        <f t="shared" si="0"/>
        <v>J</v>
      </c>
      <c r="K8" s="15" t="str">
        <f t="shared" si="0"/>
        <v>K</v>
      </c>
      <c r="L8" s="15" t="str">
        <f t="shared" si="0"/>
        <v>L</v>
      </c>
      <c r="M8" s="15" t="str">
        <f t="shared" si="0"/>
        <v>M</v>
      </c>
      <c r="N8" s="15" t="str">
        <f t="shared" si="0"/>
        <v>N</v>
      </c>
      <c r="O8" s="18" t="str">
        <f t="shared" si="0"/>
        <v>O</v>
      </c>
      <c r="P8" s="18"/>
      <c r="Q8" s="18" t="str">
        <f t="shared" si="0"/>
        <v>Q</v>
      </c>
    </row>
    <row r="9" spans="2:17" s="19" customFormat="1" ht="67.5">
      <c r="B9" s="20" t="s">
        <v>2</v>
      </c>
      <c r="C9" s="22" t="str">
        <f>TEXT(C7/$C$2,"0%")&amp;" Award Based on BG Ratios"</f>
        <v>33% Award Based on BG Ratios</v>
      </c>
      <c r="D9" s="21" t="s">
        <v>3</v>
      </c>
      <c r="E9" s="21" t="str">
        <f>"Block Grant Allotment Ratios for &gt;"&amp;TEXT($G$5,"0%")&amp;" OIL"</f>
        <v>Block Grant Allotment Ratios for &gt;20% OIL</v>
      </c>
      <c r="F9" s="21" t="str">
        <f>"Re-weighted Block Grant Allotment Ratios (Col "&amp;E8&amp;" Div by Tot for Col "&amp;E8&amp;")"</f>
        <v>Re-weighted Block Grant Allotment Ratios (Col E Div by Tot for Col E)</v>
      </c>
      <c r="G9" s="22" t="str">
        <f>TEXT(G7/$C$2,"0%")&amp;" Award Based on BG Ratios"</f>
        <v>11% Award Based on BG Ratios</v>
      </c>
      <c r="H9" s="21" t="s">
        <v>173</v>
      </c>
      <c r="I9" s="21" t="s">
        <v>3</v>
      </c>
      <c r="J9" s="21" t="s">
        <v>94</v>
      </c>
      <c r="K9" s="21" t="s">
        <v>95</v>
      </c>
      <c r="L9" s="21" t="str">
        <f>"Total % HH Using OIL, LPG &amp; NG (Col. "&amp;I8&amp;" + "&amp;J8&amp;" + "&amp;K8&amp;")"</f>
        <v>Total % HH Using OIL, LPG &amp; NG (Col. I + J + K)</v>
      </c>
      <c r="M9" s="21" t="str">
        <f>"Block Grant Allotment Ratios for &gt;="&amp;TEXT(O4,"0%")&amp;" OIL + LPG + NG and &lt;="&amp;TEXT(O5,0)&amp;" °F"</f>
        <v>Block Grant Allotment Ratios for &gt;=60% OIL + LPG + NG and &lt;=39 °F</v>
      </c>
      <c r="N9" s="21" t="str">
        <f>"Re-weighted Block Grant Allotment Ratios (Col "&amp;M8&amp;" Div by Tot for Col "&amp;M8&amp;")"</f>
        <v>Re-weighted Block Grant Allotment Ratios (Col M Div by Tot for Col M)</v>
      </c>
      <c r="O9" s="23" t="str">
        <f>TEXT(O7/C2,"0%")&amp;"  Award Based on OIL-LPG-NG, Block Grant Ratio and Avg. Temp. ("&amp;TEXT(O7/1000000,"$0.0")&amp;" Million X Col. "&amp;N8&amp;")"</f>
        <v>56%  Award Based on OIL-LPG-NG, Block Grant Ratio and Avg. Temp. ($250.0 Million X Col. N)</v>
      </c>
      <c r="P9" s="23"/>
      <c r="Q9" s="23" t="str">
        <f>"100%  Award Based on LIHH Using OIL and Block Grant Ratios (Col. "&amp;C8&amp;" + "&amp;G8&amp;" + "&amp;O8&amp;")"</f>
        <v>100%  Award Based on LIHH Using OIL and Block Grant Ratios (Col. C + G + O)</v>
      </c>
    </row>
    <row r="10" spans="3:17" ht="12.75">
      <c r="C10" s="13"/>
      <c r="D10" s="24"/>
      <c r="E10" s="24"/>
      <c r="F10" s="24"/>
      <c r="G10" s="13"/>
      <c r="O10" s="13"/>
      <c r="P10" s="13"/>
      <c r="Q10" s="8"/>
    </row>
    <row r="11" spans="1:20" ht="12.75">
      <c r="A11" s="2" t="s">
        <v>4</v>
      </c>
      <c r="B11" s="25">
        <v>0.00860045</v>
      </c>
      <c r="C11" s="5">
        <f aca="true" t="shared" si="1" ref="C11:C42">ROUND(B11*$C$7,0)</f>
        <v>1288320</v>
      </c>
      <c r="D11" s="26">
        <f>'Census-Heating_Fuel_Users'!F92</f>
        <v>0.007138133758481063</v>
      </c>
      <c r="E11" s="27">
        <f aca="true" t="shared" si="2" ref="E11:E42">IF(D11&gt;=$G$5,B11,0)</f>
        <v>0</v>
      </c>
      <c r="F11" s="27">
        <f aca="true" t="shared" si="3" ref="F11:F42">E11/$E$62</f>
        <v>0</v>
      </c>
      <c r="G11" s="5">
        <f>ROUND(F11*$G$7,0)</f>
        <v>0</v>
      </c>
      <c r="H11" s="83">
        <f>'NOAA-HDD_Data'!V7</f>
        <v>50.258278145695364</v>
      </c>
      <c r="I11" s="26">
        <f>'Census-Heating_Fuel_Users'!F92</f>
        <v>0.007138133758481063</v>
      </c>
      <c r="J11" s="26">
        <f>'Census-Heating_Fuel_Users'!D92</f>
        <v>0.17627023452573987</v>
      </c>
      <c r="K11" s="26">
        <f>'Census-Heating_Fuel_Users'!C92</f>
        <v>0.36775882528783527</v>
      </c>
      <c r="L11" s="26">
        <f>SUM(I11:K11)</f>
        <v>0.5511671935720562</v>
      </c>
      <c r="M11" s="136">
        <f aca="true" t="shared" si="4" ref="M11:M42">IF(AND(L11&gt;=$O$4,H11&lt;=$O$5),B11,0)</f>
        <v>0</v>
      </c>
      <c r="N11" s="136">
        <f>M11/$M$62</f>
        <v>0</v>
      </c>
      <c r="O11" s="5">
        <f>ROUND(N11*$O$7,0)</f>
        <v>0</v>
      </c>
      <c r="P11" s="5"/>
      <c r="Q11" s="17">
        <f>O11+G11+C11</f>
        <v>1288320</v>
      </c>
      <c r="T11" s="142"/>
    </row>
    <row r="12" spans="1:20" ht="12.75">
      <c r="A12" s="2" t="s">
        <v>5</v>
      </c>
      <c r="B12" s="25">
        <v>0.00548986</v>
      </c>
      <c r="C12" s="5">
        <f t="shared" si="1"/>
        <v>822364</v>
      </c>
      <c r="D12" s="26">
        <f>'Census-Heating_Fuel_Users'!F93</f>
        <v>0.376902780596712</v>
      </c>
      <c r="E12" s="27">
        <f t="shared" si="2"/>
        <v>0.00548986</v>
      </c>
      <c r="F12" s="27">
        <f t="shared" si="3"/>
        <v>0.016136248670342145</v>
      </c>
      <c r="G12" s="5">
        <f aca="true" t="shared" si="5" ref="G12:G61">ROUND(F12*$G$7,0)</f>
        <v>806812</v>
      </c>
      <c r="H12" s="83">
        <f>'NOAA-HDD_Data'!V8</f>
        <v>13.52980132450331</v>
      </c>
      <c r="I12" s="26">
        <f>'Census-Heating_Fuel_Users'!F93</f>
        <v>0.376902780596712</v>
      </c>
      <c r="J12" s="26">
        <f>'Census-Heating_Fuel_Users'!D93</f>
        <v>0.02668966916988025</v>
      </c>
      <c r="K12" s="26">
        <f>'Census-Heating_Fuel_Users'!C93</f>
        <v>0.33620864623503144</v>
      </c>
      <c r="L12" s="26">
        <f aca="true" t="shared" si="6" ref="L12:L61">SUM(I12:K12)</f>
        <v>0.7398010960016237</v>
      </c>
      <c r="M12" s="136">
        <f t="shared" si="4"/>
        <v>0.00548986</v>
      </c>
      <c r="N12" s="136">
        <f aca="true" t="shared" si="7" ref="N12:N61">M12/$M$62</f>
        <v>0.007711849197447139</v>
      </c>
      <c r="O12" s="5">
        <f aca="true" t="shared" si="8" ref="O12:O61">ROUND(N12*$O$7,0)</f>
        <v>1927962</v>
      </c>
      <c r="P12" s="5"/>
      <c r="Q12" s="17">
        <f aca="true" t="shared" si="9" ref="Q12:Q61">O12+G12+C12</f>
        <v>3557138</v>
      </c>
      <c r="T12" s="142"/>
    </row>
    <row r="13" spans="1:20" ht="12.75">
      <c r="A13" s="2" t="s">
        <v>6</v>
      </c>
      <c r="B13" s="25">
        <v>0.00415928</v>
      </c>
      <c r="C13" s="5">
        <f t="shared" si="1"/>
        <v>623047</v>
      </c>
      <c r="D13" s="26">
        <f>'Census-Heating_Fuel_Users'!F94</f>
        <v>0.0013770499265952725</v>
      </c>
      <c r="E13" s="27">
        <f t="shared" si="2"/>
        <v>0</v>
      </c>
      <c r="F13" s="27">
        <f t="shared" si="3"/>
        <v>0</v>
      </c>
      <c r="G13" s="5">
        <f t="shared" si="5"/>
        <v>0</v>
      </c>
      <c r="H13" s="83">
        <f>'NOAA-HDD_Data'!V9</f>
        <v>53</v>
      </c>
      <c r="I13" s="26">
        <f>'Census-Heating_Fuel_Users'!F94</f>
        <v>0.0013770499265952725</v>
      </c>
      <c r="J13" s="26">
        <f>'Census-Heating_Fuel_Users'!D94</f>
        <v>0.0718114465852576</v>
      </c>
      <c r="K13" s="26">
        <f>'Census-Heating_Fuel_Users'!C94</f>
        <v>0.36997120713789844</v>
      </c>
      <c r="L13" s="26">
        <f t="shared" si="6"/>
        <v>0.4431597036497513</v>
      </c>
      <c r="M13" s="136">
        <f t="shared" si="4"/>
        <v>0</v>
      </c>
      <c r="N13" s="136">
        <f t="shared" si="7"/>
        <v>0</v>
      </c>
      <c r="O13" s="5">
        <f t="shared" si="8"/>
        <v>0</v>
      </c>
      <c r="P13" s="5"/>
      <c r="Q13" s="17">
        <f t="shared" si="9"/>
        <v>623047</v>
      </c>
      <c r="T13" s="142"/>
    </row>
    <row r="14" spans="1:20" ht="12.75">
      <c r="A14" s="2" t="s">
        <v>7</v>
      </c>
      <c r="B14" s="25">
        <v>0.00656255</v>
      </c>
      <c r="C14" s="5">
        <f t="shared" si="1"/>
        <v>983049</v>
      </c>
      <c r="D14" s="26">
        <f>'Census-Heating_Fuel_Users'!F95</f>
        <v>0.001561393634597578</v>
      </c>
      <c r="E14" s="27">
        <f t="shared" si="2"/>
        <v>0</v>
      </c>
      <c r="F14" s="27">
        <f t="shared" si="3"/>
        <v>0</v>
      </c>
      <c r="G14" s="5">
        <f t="shared" si="5"/>
        <v>0</v>
      </c>
      <c r="H14" s="83">
        <f>'NOAA-HDD_Data'!V10</f>
        <v>47.16556291390728</v>
      </c>
      <c r="I14" s="26">
        <f>'Census-Heating_Fuel_Users'!F95</f>
        <v>0.001561393634597578</v>
      </c>
      <c r="J14" s="26">
        <f>'Census-Heating_Fuel_Users'!D95</f>
        <v>0.1618221100600955</v>
      </c>
      <c r="K14" s="26">
        <f>'Census-Heating_Fuel_Users'!C95</f>
        <v>0.46039325332703934</v>
      </c>
      <c r="L14" s="26">
        <f t="shared" si="6"/>
        <v>0.6237767570217324</v>
      </c>
      <c r="M14" s="136">
        <f t="shared" si="4"/>
        <v>0</v>
      </c>
      <c r="N14" s="136">
        <f t="shared" si="7"/>
        <v>0</v>
      </c>
      <c r="O14" s="5">
        <f t="shared" si="8"/>
        <v>0</v>
      </c>
      <c r="P14" s="5"/>
      <c r="Q14" s="17">
        <f t="shared" si="9"/>
        <v>983049</v>
      </c>
      <c r="T14" s="142"/>
    </row>
    <row r="15" spans="1:20" ht="12.75">
      <c r="A15" s="2" t="s">
        <v>8</v>
      </c>
      <c r="B15" s="25">
        <v>0.04613891</v>
      </c>
      <c r="C15" s="5">
        <f t="shared" si="1"/>
        <v>6911464</v>
      </c>
      <c r="D15" s="26">
        <f>'Census-Heating_Fuel_Users'!F96</f>
        <v>0.0035464671481736016</v>
      </c>
      <c r="E15" s="27">
        <f t="shared" si="2"/>
        <v>0</v>
      </c>
      <c r="F15" s="27">
        <f t="shared" si="3"/>
        <v>0</v>
      </c>
      <c r="G15" s="5">
        <f t="shared" si="5"/>
        <v>0</v>
      </c>
      <c r="H15" s="83">
        <f>'NOAA-HDD_Data'!V11</f>
        <v>52.609271523178805</v>
      </c>
      <c r="I15" s="26">
        <f>'Census-Heating_Fuel_Users'!F96</f>
        <v>0.0035464671481736016</v>
      </c>
      <c r="J15" s="26">
        <f>'Census-Heating_Fuel_Users'!D96</f>
        <v>0.04141489127193039</v>
      </c>
      <c r="K15" s="26">
        <f>'Census-Heating_Fuel_Users'!C96</f>
        <v>0.6447746340071837</v>
      </c>
      <c r="L15" s="26">
        <f t="shared" si="6"/>
        <v>0.6897359924272877</v>
      </c>
      <c r="M15" s="136">
        <f t="shared" si="4"/>
        <v>0</v>
      </c>
      <c r="N15" s="136">
        <f t="shared" si="7"/>
        <v>0</v>
      </c>
      <c r="O15" s="5">
        <f t="shared" si="8"/>
        <v>0</v>
      </c>
      <c r="P15" s="5"/>
      <c r="Q15" s="17">
        <f t="shared" si="9"/>
        <v>6911464</v>
      </c>
      <c r="T15" s="142"/>
    </row>
    <row r="16" spans="1:20" ht="12.75">
      <c r="A16" s="2" t="s">
        <v>9</v>
      </c>
      <c r="B16" s="25">
        <v>0.0160872</v>
      </c>
      <c r="C16" s="5">
        <f t="shared" si="1"/>
        <v>2409812</v>
      </c>
      <c r="D16" s="26">
        <f>'Census-Heating_Fuel_Users'!F97</f>
        <v>0.001823398151099777</v>
      </c>
      <c r="E16" s="27">
        <f t="shared" si="2"/>
        <v>0</v>
      </c>
      <c r="F16" s="27">
        <f t="shared" si="3"/>
        <v>0</v>
      </c>
      <c r="G16" s="5">
        <f t="shared" si="5"/>
        <v>0</v>
      </c>
      <c r="H16" s="83">
        <f>'NOAA-HDD_Data'!V12</f>
        <v>31.516556291390728</v>
      </c>
      <c r="I16" s="26">
        <f>'Census-Heating_Fuel_Users'!F97</f>
        <v>0.001823398151099777</v>
      </c>
      <c r="J16" s="26">
        <f>'Census-Heating_Fuel_Users'!D97</f>
        <v>0.07004144086707045</v>
      </c>
      <c r="K16" s="26">
        <f>'Census-Heating_Fuel_Users'!C97</f>
        <v>0.6743512910423972</v>
      </c>
      <c r="L16" s="26">
        <f t="shared" si="6"/>
        <v>0.7462161300605674</v>
      </c>
      <c r="M16" s="136">
        <f t="shared" si="4"/>
        <v>0.0160872</v>
      </c>
      <c r="N16" s="136">
        <f t="shared" si="7"/>
        <v>0.02259840149096181</v>
      </c>
      <c r="O16" s="5">
        <f t="shared" si="8"/>
        <v>5649600</v>
      </c>
      <c r="P16" s="5"/>
      <c r="Q16" s="17">
        <f t="shared" si="9"/>
        <v>8059412</v>
      </c>
      <c r="T16" s="142"/>
    </row>
    <row r="17" spans="1:20" ht="12.75">
      <c r="A17" s="2" t="s">
        <v>10</v>
      </c>
      <c r="B17" s="25">
        <v>0.02098632</v>
      </c>
      <c r="C17" s="5">
        <f t="shared" si="1"/>
        <v>3143685</v>
      </c>
      <c r="D17" s="26">
        <f>'Census-Heating_Fuel_Users'!F98</f>
        <v>0.41850758563877255</v>
      </c>
      <c r="E17" s="27">
        <f t="shared" si="2"/>
        <v>0.02098632</v>
      </c>
      <c r="F17" s="27">
        <f t="shared" si="3"/>
        <v>0.06168472022881726</v>
      </c>
      <c r="G17" s="5">
        <f t="shared" si="5"/>
        <v>3084236</v>
      </c>
      <c r="H17" s="83">
        <f>'NOAA-HDD_Data'!V13</f>
        <v>36.22516556291391</v>
      </c>
      <c r="I17" s="26">
        <f>'Census-Heating_Fuel_Users'!F98</f>
        <v>0.41850758563877255</v>
      </c>
      <c r="J17" s="26">
        <f>'Census-Heating_Fuel_Users'!D98</f>
        <v>0.03094666025949063</v>
      </c>
      <c r="K17" s="26">
        <f>'Census-Heating_Fuel_Users'!C98</f>
        <v>0.3371318734125077</v>
      </c>
      <c r="L17" s="26">
        <f t="shared" si="6"/>
        <v>0.7865861193107708</v>
      </c>
      <c r="M17" s="136">
        <f t="shared" si="4"/>
        <v>0.02098632</v>
      </c>
      <c r="N17" s="136">
        <f t="shared" si="7"/>
        <v>0.02948041207778866</v>
      </c>
      <c r="O17" s="5">
        <f t="shared" si="8"/>
        <v>7370103</v>
      </c>
      <c r="P17" s="5"/>
      <c r="Q17" s="17">
        <f t="shared" si="9"/>
        <v>13598024</v>
      </c>
      <c r="T17" s="142"/>
    </row>
    <row r="18" spans="1:20" ht="12.75">
      <c r="A18" s="2" t="s">
        <v>11</v>
      </c>
      <c r="B18" s="25">
        <v>0.00278553</v>
      </c>
      <c r="C18" s="5">
        <f t="shared" si="1"/>
        <v>417264</v>
      </c>
      <c r="D18" s="26">
        <f>'Census-Heating_Fuel_Users'!F99</f>
        <v>0.28111737505542533</v>
      </c>
      <c r="E18" s="27">
        <f t="shared" si="2"/>
        <v>0.00278553</v>
      </c>
      <c r="F18" s="27">
        <f t="shared" si="3"/>
        <v>0.008187459199086708</v>
      </c>
      <c r="G18" s="5">
        <f>ROUND(F18*$G$7,0)+1</f>
        <v>409374</v>
      </c>
      <c r="H18" s="83">
        <f>'NOAA-HDD_Data'!V14</f>
        <v>41.258278145695364</v>
      </c>
      <c r="I18" s="26">
        <f>'Census-Heating_Fuel_Users'!F99</f>
        <v>0.28111737505542533</v>
      </c>
      <c r="J18" s="26">
        <f>'Census-Heating_Fuel_Users'!D99</f>
        <v>0.10800025337302845</v>
      </c>
      <c r="K18" s="26">
        <f>'Census-Heating_Fuel_Users'!C99</f>
        <v>0.309938557040603</v>
      </c>
      <c r="L18" s="26">
        <f t="shared" si="6"/>
        <v>0.6990561854690568</v>
      </c>
      <c r="M18" s="136">
        <f t="shared" si="4"/>
        <v>0</v>
      </c>
      <c r="N18" s="136">
        <f t="shared" si="7"/>
        <v>0</v>
      </c>
      <c r="O18" s="5">
        <f t="shared" si="8"/>
        <v>0</v>
      </c>
      <c r="P18" s="5"/>
      <c r="Q18" s="17">
        <f t="shared" si="9"/>
        <v>826638</v>
      </c>
      <c r="T18" s="142"/>
    </row>
    <row r="19" spans="1:20" ht="12.75">
      <c r="A19" s="28" t="s">
        <v>12</v>
      </c>
      <c r="B19" s="25">
        <v>0.00325921</v>
      </c>
      <c r="C19" s="5">
        <f t="shared" si="1"/>
        <v>488219</v>
      </c>
      <c r="D19" s="26">
        <f>'Census-Heating_Fuel_Users'!F100</f>
        <v>0.06038647342995169</v>
      </c>
      <c r="E19" s="27">
        <f t="shared" si="2"/>
        <v>0</v>
      </c>
      <c r="F19" s="27">
        <f t="shared" si="3"/>
        <v>0</v>
      </c>
      <c r="G19" s="5">
        <f t="shared" si="5"/>
        <v>0</v>
      </c>
      <c r="H19" s="83">
        <f>'NOAA-HDD_Data'!V15</f>
        <v>43.132450331125824</v>
      </c>
      <c r="I19" s="26">
        <f>'Census-Heating_Fuel_Users'!F100</f>
        <v>0.06038647342995169</v>
      </c>
      <c r="J19" s="26">
        <f>'Census-Heating_Fuel_Users'!D100</f>
        <v>0.023282340311325818</v>
      </c>
      <c r="K19" s="26">
        <f>'Census-Heating_Fuel_Users'!C100</f>
        <v>0.605475040257649</v>
      </c>
      <c r="L19" s="26">
        <f t="shared" si="6"/>
        <v>0.6891438539989265</v>
      </c>
      <c r="M19" s="136">
        <f t="shared" si="4"/>
        <v>0</v>
      </c>
      <c r="N19" s="136">
        <f t="shared" si="7"/>
        <v>0</v>
      </c>
      <c r="O19" s="5">
        <f t="shared" si="8"/>
        <v>0</v>
      </c>
      <c r="P19" s="5"/>
      <c r="Q19" s="17">
        <f t="shared" si="9"/>
        <v>488219</v>
      </c>
      <c r="T19" s="142"/>
    </row>
    <row r="20" spans="1:20" ht="12.75">
      <c r="A20" s="2" t="s">
        <v>13</v>
      </c>
      <c r="B20" s="25">
        <v>0.01360848</v>
      </c>
      <c r="C20" s="5">
        <f t="shared" si="1"/>
        <v>2038508</v>
      </c>
      <c r="D20" s="26">
        <f>'Census-Heating_Fuel_Users'!F101</f>
        <v>0.014197600159656739</v>
      </c>
      <c r="E20" s="27">
        <f t="shared" si="2"/>
        <v>0</v>
      </c>
      <c r="F20" s="27">
        <f t="shared" si="3"/>
        <v>0</v>
      </c>
      <c r="G20" s="5">
        <f t="shared" si="5"/>
        <v>0</v>
      </c>
      <c r="H20" s="83">
        <f>'NOAA-HDD_Data'!V16</f>
        <v>61.65562913907285</v>
      </c>
      <c r="I20" s="26">
        <f>'Census-Heating_Fuel_Users'!F101</f>
        <v>0.014197600159656739</v>
      </c>
      <c r="J20" s="26">
        <f>'Census-Heating_Fuel_Users'!D101</f>
        <v>0.05587674000898069</v>
      </c>
      <c r="K20" s="26">
        <f>'Census-Heating_Fuel_Users'!C101</f>
        <v>0.06462044105173877</v>
      </c>
      <c r="L20" s="26">
        <f t="shared" si="6"/>
        <v>0.1346947812203762</v>
      </c>
      <c r="M20" s="136">
        <f t="shared" si="4"/>
        <v>0</v>
      </c>
      <c r="N20" s="136">
        <f t="shared" si="7"/>
        <v>0</v>
      </c>
      <c r="O20" s="5">
        <f t="shared" si="8"/>
        <v>0</v>
      </c>
      <c r="P20" s="5"/>
      <c r="Q20" s="17">
        <f t="shared" si="9"/>
        <v>2038508</v>
      </c>
      <c r="T20" s="142"/>
    </row>
    <row r="21" spans="1:20" ht="12.75">
      <c r="A21" s="2" t="s">
        <v>14</v>
      </c>
      <c r="B21" s="25">
        <v>0.01075959</v>
      </c>
      <c r="C21" s="5">
        <f t="shared" si="1"/>
        <v>1611753</v>
      </c>
      <c r="D21" s="26">
        <f>'Census-Heating_Fuel_Users'!F102</f>
        <v>0.011070274944680419</v>
      </c>
      <c r="E21" s="27">
        <f t="shared" si="2"/>
        <v>0</v>
      </c>
      <c r="F21" s="27">
        <f t="shared" si="3"/>
        <v>0</v>
      </c>
      <c r="G21" s="5">
        <f t="shared" si="5"/>
        <v>0</v>
      </c>
      <c r="H21" s="83">
        <f>'NOAA-HDD_Data'!V17</f>
        <v>50.086092715231786</v>
      </c>
      <c r="I21" s="26">
        <f>'Census-Heating_Fuel_Users'!F102</f>
        <v>0.011070274944680419</v>
      </c>
      <c r="J21" s="26">
        <f>'Census-Heating_Fuel_Users'!D102</f>
        <v>0.15116870564895593</v>
      </c>
      <c r="K21" s="26">
        <f>'Census-Heating_Fuel_Users'!C102</f>
        <v>0.40750820255868964</v>
      </c>
      <c r="L21" s="26">
        <f t="shared" si="6"/>
        <v>0.569747183152326</v>
      </c>
      <c r="M21" s="136">
        <f t="shared" si="4"/>
        <v>0</v>
      </c>
      <c r="N21" s="136">
        <f t="shared" si="7"/>
        <v>0</v>
      </c>
      <c r="O21" s="5">
        <f t="shared" si="8"/>
        <v>0</v>
      </c>
      <c r="P21" s="5"/>
      <c r="Q21" s="17">
        <f t="shared" si="9"/>
        <v>1611753</v>
      </c>
      <c r="T21" s="142"/>
    </row>
    <row r="22" spans="1:20" ht="12.75">
      <c r="A22" s="2" t="s">
        <v>15</v>
      </c>
      <c r="B22" s="25">
        <v>0.00108355</v>
      </c>
      <c r="C22" s="5">
        <f>ROUND(B22*$C$7,0)+1</f>
        <v>162313</v>
      </c>
      <c r="D22" s="26">
        <f>'Census-Heating_Fuel_Users'!F103</f>
        <v>0.0016432626232446967</v>
      </c>
      <c r="E22" s="27">
        <f t="shared" si="2"/>
        <v>0</v>
      </c>
      <c r="F22" s="27">
        <f t="shared" si="3"/>
        <v>0</v>
      </c>
      <c r="G22" s="5">
        <f t="shared" si="5"/>
        <v>0</v>
      </c>
      <c r="H22" s="83">
        <f>'NOAA-HDD_Data'!V18</f>
        <v>65</v>
      </c>
      <c r="I22" s="26">
        <f>'Census-Heating_Fuel_Users'!F103</f>
        <v>0.0016432626232446967</v>
      </c>
      <c r="J22" s="26">
        <f>'Census-Heating_Fuel_Users'!D103</f>
        <v>0.03580320685190718</v>
      </c>
      <c r="K22" s="26">
        <f>'Census-Heating_Fuel_Users'!C103</f>
        <v>0.04063340304750523</v>
      </c>
      <c r="L22" s="26">
        <f t="shared" si="6"/>
        <v>0.0780798725226571</v>
      </c>
      <c r="M22" s="136">
        <f t="shared" si="4"/>
        <v>0</v>
      </c>
      <c r="N22" s="136">
        <f t="shared" si="7"/>
        <v>0</v>
      </c>
      <c r="O22" s="5">
        <f t="shared" si="8"/>
        <v>0</v>
      </c>
      <c r="P22" s="5"/>
      <c r="Q22" s="17">
        <f t="shared" si="9"/>
        <v>162313</v>
      </c>
      <c r="T22" s="142"/>
    </row>
    <row r="23" spans="1:20" ht="12.75">
      <c r="A23" s="2" t="s">
        <v>16</v>
      </c>
      <c r="B23" s="25">
        <v>0.00627508</v>
      </c>
      <c r="C23" s="5">
        <f t="shared" si="1"/>
        <v>939987</v>
      </c>
      <c r="D23" s="26">
        <f>'Census-Heating_Fuel_Users'!F104</f>
        <v>0.05865934163306898</v>
      </c>
      <c r="E23" s="27">
        <f t="shared" si="2"/>
        <v>0</v>
      </c>
      <c r="F23" s="27">
        <f t="shared" si="3"/>
        <v>0</v>
      </c>
      <c r="G23" s="5">
        <f t="shared" si="5"/>
        <v>0</v>
      </c>
      <c r="H23" s="83">
        <f>'NOAA-HDD_Data'!V19</f>
        <v>32.854304635761586</v>
      </c>
      <c r="I23" s="26">
        <f>'Census-Heating_Fuel_Users'!F104</f>
        <v>0.05865934163306898</v>
      </c>
      <c r="J23" s="26">
        <f>'Census-Heating_Fuel_Users'!D104</f>
        <v>0.06021000398741748</v>
      </c>
      <c r="K23" s="26">
        <f>'Census-Heating_Fuel_Users'!C104</f>
        <v>0.33941783704753886</v>
      </c>
      <c r="L23" s="26">
        <f t="shared" si="6"/>
        <v>0.4582871826680253</v>
      </c>
      <c r="M23" s="136">
        <f t="shared" si="4"/>
        <v>0</v>
      </c>
      <c r="N23" s="136">
        <f t="shared" si="7"/>
        <v>0</v>
      </c>
      <c r="O23" s="5">
        <f t="shared" si="8"/>
        <v>0</v>
      </c>
      <c r="P23" s="5"/>
      <c r="Q23" s="17">
        <f t="shared" si="9"/>
        <v>939987</v>
      </c>
      <c r="T23" s="142"/>
    </row>
    <row r="24" spans="1:20" ht="12.75">
      <c r="A24" s="2" t="s">
        <v>17</v>
      </c>
      <c r="B24" s="25">
        <v>0.05808651</v>
      </c>
      <c r="C24" s="5">
        <f t="shared" si="1"/>
        <v>8701177</v>
      </c>
      <c r="D24" s="26">
        <f>'Census-Heating_Fuel_Users'!F105</f>
        <v>0.007007472362494882</v>
      </c>
      <c r="E24" s="27">
        <f t="shared" si="2"/>
        <v>0</v>
      </c>
      <c r="F24" s="27">
        <f t="shared" si="3"/>
        <v>0</v>
      </c>
      <c r="G24" s="5">
        <f t="shared" si="5"/>
        <v>0</v>
      </c>
      <c r="H24" s="83">
        <f>'NOAA-HDD_Data'!V20</f>
        <v>33.56953642384106</v>
      </c>
      <c r="I24" s="26">
        <f>'Census-Heating_Fuel_Users'!F105</f>
        <v>0.007007472362494882</v>
      </c>
      <c r="J24" s="26">
        <f>'Census-Heating_Fuel_Users'!D105</f>
        <v>0.05193547836768118</v>
      </c>
      <c r="K24" s="26">
        <f>'Census-Heating_Fuel_Users'!C105</f>
        <v>0.7501108912242391</v>
      </c>
      <c r="L24" s="26">
        <f t="shared" si="6"/>
        <v>0.8090538419544152</v>
      </c>
      <c r="M24" s="136">
        <f t="shared" si="4"/>
        <v>0.05808651</v>
      </c>
      <c r="N24" s="136">
        <f t="shared" si="7"/>
        <v>0.08159669017534239</v>
      </c>
      <c r="O24" s="5">
        <f t="shared" si="8"/>
        <v>20399173</v>
      </c>
      <c r="P24" s="5"/>
      <c r="Q24" s="17">
        <f t="shared" si="9"/>
        <v>29100350</v>
      </c>
      <c r="T24" s="142"/>
    </row>
    <row r="25" spans="1:20" ht="12.75">
      <c r="A25" s="2" t="s">
        <v>18</v>
      </c>
      <c r="B25" s="25">
        <v>0.02629994</v>
      </c>
      <c r="C25" s="5">
        <f t="shared" si="1"/>
        <v>3939648</v>
      </c>
      <c r="D25" s="26">
        <f>'Census-Heating_Fuel_Users'!F106</f>
        <v>0.028352850968911193</v>
      </c>
      <c r="E25" s="27">
        <f t="shared" si="2"/>
        <v>0</v>
      </c>
      <c r="F25" s="27">
        <f t="shared" si="3"/>
        <v>0</v>
      </c>
      <c r="G25" s="5">
        <f t="shared" si="5"/>
        <v>0</v>
      </c>
      <c r="H25" s="83">
        <f>'NOAA-HDD_Data'!V21</f>
        <v>36.04635761589404</v>
      </c>
      <c r="I25" s="26">
        <f>'Census-Heating_Fuel_Users'!F106</f>
        <v>0.028352850968911193</v>
      </c>
      <c r="J25" s="26">
        <f>'Census-Heating_Fuel_Users'!D106</f>
        <v>0.07679841070681723</v>
      </c>
      <c r="K25" s="26">
        <f>'Census-Heating_Fuel_Users'!C106</f>
        <v>0.6173933500627352</v>
      </c>
      <c r="L25" s="26">
        <f t="shared" si="6"/>
        <v>0.7225446117384636</v>
      </c>
      <c r="M25" s="136">
        <f t="shared" si="4"/>
        <v>0.02629994</v>
      </c>
      <c r="N25" s="136">
        <f t="shared" si="7"/>
        <v>0.03694468915089053</v>
      </c>
      <c r="O25" s="5">
        <f t="shared" si="8"/>
        <v>9236172</v>
      </c>
      <c r="P25" s="5"/>
      <c r="Q25" s="17">
        <f t="shared" si="9"/>
        <v>13175820</v>
      </c>
      <c r="T25" s="142"/>
    </row>
    <row r="26" spans="1:20" ht="12.75">
      <c r="A26" s="2" t="s">
        <v>19</v>
      </c>
      <c r="B26" s="25">
        <v>0.01863912</v>
      </c>
      <c r="C26" s="5">
        <f t="shared" si="1"/>
        <v>2792082</v>
      </c>
      <c r="D26" s="26">
        <f>'Census-Heating_Fuel_Users'!F107</f>
        <v>0.02477176776242197</v>
      </c>
      <c r="E26" s="27">
        <f t="shared" si="2"/>
        <v>0</v>
      </c>
      <c r="F26" s="27">
        <f t="shared" si="3"/>
        <v>0</v>
      </c>
      <c r="G26" s="5">
        <f t="shared" si="5"/>
        <v>0</v>
      </c>
      <c r="H26" s="83">
        <f>'NOAA-HDD_Data'!V22</f>
        <v>29.980132450331126</v>
      </c>
      <c r="I26" s="26">
        <f>'Census-Heating_Fuel_Users'!F107</f>
        <v>0.02477176776242197</v>
      </c>
      <c r="J26" s="26">
        <f>'Census-Heating_Fuel_Users'!D107</f>
        <v>0.14274889041244182</v>
      </c>
      <c r="K26" s="26">
        <f>'Census-Heating_Fuel_Users'!C107</f>
        <v>0.6166600512394905</v>
      </c>
      <c r="L26" s="26">
        <f t="shared" si="6"/>
        <v>0.7841807094143542</v>
      </c>
      <c r="M26" s="136">
        <f t="shared" si="4"/>
        <v>0.01863912</v>
      </c>
      <c r="N26" s="136">
        <f t="shared" si="7"/>
        <v>0.026183196404484067</v>
      </c>
      <c r="O26" s="5">
        <f t="shared" si="8"/>
        <v>6545799</v>
      </c>
      <c r="P26" s="5"/>
      <c r="Q26" s="17">
        <f t="shared" si="9"/>
        <v>9337881</v>
      </c>
      <c r="T26" s="142"/>
    </row>
    <row r="27" spans="1:20" ht="12.75">
      <c r="A27" s="2" t="s">
        <v>20</v>
      </c>
      <c r="B27" s="25">
        <v>0.00855992</v>
      </c>
      <c r="C27" s="5">
        <f t="shared" si="1"/>
        <v>1282249</v>
      </c>
      <c r="D27" s="26">
        <f>'Census-Heating_Fuel_Users'!F108</f>
        <v>0.0016023501134997996</v>
      </c>
      <c r="E27" s="27">
        <f t="shared" si="2"/>
        <v>0</v>
      </c>
      <c r="F27" s="27">
        <f t="shared" si="3"/>
        <v>0</v>
      </c>
      <c r="G27" s="5">
        <f t="shared" si="5"/>
        <v>0</v>
      </c>
      <c r="H27" s="83">
        <f>'NOAA-HDD_Data'!V23</f>
        <v>38.74834437086093</v>
      </c>
      <c r="I27" s="26">
        <f>'Census-Heating_Fuel_Users'!F108</f>
        <v>0.0016023501134997996</v>
      </c>
      <c r="J27" s="26">
        <f>'Census-Heating_Fuel_Users'!D108</f>
        <v>0.08635522575968563</v>
      </c>
      <c r="K27" s="26">
        <f>'Census-Heating_Fuel_Users'!C108</f>
        <v>0.6846803883791466</v>
      </c>
      <c r="L27" s="26">
        <f t="shared" si="6"/>
        <v>0.772637964252332</v>
      </c>
      <c r="M27" s="136">
        <f t="shared" si="4"/>
        <v>0.00855992</v>
      </c>
      <c r="N27" s="136">
        <f t="shared" si="7"/>
        <v>0.012024498289976742</v>
      </c>
      <c r="O27" s="5">
        <f t="shared" si="8"/>
        <v>3006125</v>
      </c>
      <c r="P27" s="5"/>
      <c r="Q27" s="17">
        <f t="shared" si="9"/>
        <v>4288374</v>
      </c>
      <c r="T27" s="142"/>
    </row>
    <row r="28" spans="1:20" ht="12.75">
      <c r="A28" s="2" t="s">
        <v>21</v>
      </c>
      <c r="B28" s="25">
        <v>0.0136864</v>
      </c>
      <c r="C28" s="5">
        <f t="shared" si="1"/>
        <v>2050180</v>
      </c>
      <c r="D28" s="26">
        <f>'Census-Heating_Fuel_Users'!F109</f>
        <v>0.04116937531742001</v>
      </c>
      <c r="E28" s="27">
        <f t="shared" si="2"/>
        <v>0</v>
      </c>
      <c r="F28" s="27">
        <f t="shared" si="3"/>
        <v>0</v>
      </c>
      <c r="G28" s="5">
        <f t="shared" si="5"/>
        <v>0</v>
      </c>
      <c r="H28" s="83">
        <f>'NOAA-HDD_Data'!V24</f>
        <v>42.019867549668874</v>
      </c>
      <c r="I28" s="26">
        <f>'Census-Heating_Fuel_Users'!F109</f>
        <v>0.04116937531742001</v>
      </c>
      <c r="J28" s="26">
        <f>'Census-Heating_Fuel_Users'!D109</f>
        <v>0.10410318266463518</v>
      </c>
      <c r="K28" s="26">
        <f>'Census-Heating_Fuel_Users'!C109</f>
        <v>0.3637210089724056</v>
      </c>
      <c r="L28" s="26">
        <f t="shared" si="6"/>
        <v>0.5089935669544607</v>
      </c>
      <c r="M28" s="136">
        <f t="shared" si="4"/>
        <v>0</v>
      </c>
      <c r="N28" s="136">
        <f t="shared" si="7"/>
        <v>0</v>
      </c>
      <c r="O28" s="5">
        <f t="shared" si="8"/>
        <v>0</v>
      </c>
      <c r="P28" s="5"/>
      <c r="Q28" s="17">
        <f t="shared" si="9"/>
        <v>2050180</v>
      </c>
      <c r="T28" s="142"/>
    </row>
    <row r="29" spans="1:20" ht="12.75">
      <c r="A29" s="2" t="s">
        <v>22</v>
      </c>
      <c r="B29" s="25">
        <v>0.00879264</v>
      </c>
      <c r="C29" s="5">
        <f t="shared" si="1"/>
        <v>1317110</v>
      </c>
      <c r="D29" s="26">
        <f>'Census-Heating_Fuel_Users'!F110</f>
        <v>0.002251584448315481</v>
      </c>
      <c r="E29" s="27">
        <f t="shared" si="2"/>
        <v>0</v>
      </c>
      <c r="F29" s="27">
        <f t="shared" si="3"/>
        <v>0</v>
      </c>
      <c r="G29" s="5">
        <f t="shared" si="5"/>
        <v>0</v>
      </c>
      <c r="H29" s="83">
        <f>'NOAA-HDD_Data'!V25</f>
        <v>54.132450331125824</v>
      </c>
      <c r="I29" s="26">
        <f>'Census-Heating_Fuel_Users'!F110</f>
        <v>0.002251584448315481</v>
      </c>
      <c r="J29" s="26">
        <f>'Census-Heating_Fuel_Users'!D110</f>
        <v>0.06554612505096179</v>
      </c>
      <c r="K29" s="26">
        <f>'Census-Heating_Fuel_Users'!C110</f>
        <v>0.4709517808828435</v>
      </c>
      <c r="L29" s="26">
        <f t="shared" si="6"/>
        <v>0.5387494903821208</v>
      </c>
      <c r="M29" s="136">
        <f t="shared" si="4"/>
        <v>0</v>
      </c>
      <c r="N29" s="136">
        <f t="shared" si="7"/>
        <v>0</v>
      </c>
      <c r="O29" s="5">
        <f t="shared" si="8"/>
        <v>0</v>
      </c>
      <c r="P29" s="5"/>
      <c r="Q29" s="17">
        <f t="shared" si="9"/>
        <v>1317110</v>
      </c>
      <c r="T29" s="142"/>
    </row>
    <row r="30" spans="1:20" ht="12.75">
      <c r="A30" s="2" t="s">
        <v>23</v>
      </c>
      <c r="B30" s="25">
        <v>0.01359579</v>
      </c>
      <c r="C30" s="5">
        <f t="shared" si="1"/>
        <v>2036607</v>
      </c>
      <c r="D30" s="26">
        <f>'Census-Heating_Fuel_Users'!F111</f>
        <v>0.7517375266938459</v>
      </c>
      <c r="E30" s="27">
        <f t="shared" si="2"/>
        <v>0.01359579</v>
      </c>
      <c r="F30" s="27">
        <f t="shared" si="3"/>
        <v>0.03996186575062953</v>
      </c>
      <c r="G30" s="5">
        <f t="shared" si="5"/>
        <v>1998093</v>
      </c>
      <c r="H30" s="83">
        <f>'NOAA-HDD_Data'!V26</f>
        <v>26.986754966887418</v>
      </c>
      <c r="I30" s="26">
        <f>'Census-Heating_Fuel_Users'!F111</f>
        <v>0.7517375266938459</v>
      </c>
      <c r="J30" s="26">
        <f>'Census-Heating_Fuel_Users'!D111</f>
        <v>0.04950495049504951</v>
      </c>
      <c r="K30" s="26">
        <f>'Census-Heating_Fuel_Users'!C111</f>
        <v>0.04084643758493496</v>
      </c>
      <c r="L30" s="26">
        <f t="shared" si="6"/>
        <v>0.8420889147738304</v>
      </c>
      <c r="M30" s="136">
        <f t="shared" si="4"/>
        <v>0.01359579</v>
      </c>
      <c r="N30" s="136">
        <f t="shared" si="7"/>
        <v>0.01909860765122605</v>
      </c>
      <c r="O30" s="5">
        <f t="shared" si="8"/>
        <v>4774652</v>
      </c>
      <c r="P30" s="5"/>
      <c r="Q30" s="17">
        <f t="shared" si="9"/>
        <v>8809352</v>
      </c>
      <c r="T30" s="142"/>
    </row>
    <row r="31" spans="1:20" ht="12.75">
      <c r="A31" s="2" t="s">
        <v>24</v>
      </c>
      <c r="B31" s="25">
        <v>0.01606896</v>
      </c>
      <c r="C31" s="5">
        <f t="shared" si="1"/>
        <v>2407080</v>
      </c>
      <c r="D31" s="26">
        <f>'Census-Heating_Fuel_Users'!F112</f>
        <v>0.1690239448051948</v>
      </c>
      <c r="E31" s="27">
        <f t="shared" si="2"/>
        <v>0</v>
      </c>
      <c r="F31" s="27">
        <f t="shared" si="3"/>
        <v>0</v>
      </c>
      <c r="G31" s="5">
        <f t="shared" si="5"/>
        <v>0</v>
      </c>
      <c r="H31" s="83">
        <f>'NOAA-HDD_Data'!V27</f>
        <v>40.735099337748345</v>
      </c>
      <c r="I31" s="26">
        <f>'Census-Heating_Fuel_Users'!F112</f>
        <v>0.1690239448051948</v>
      </c>
      <c r="J31" s="26">
        <f>'Census-Heating_Fuel_Users'!D112</f>
        <v>0.03616071428571429</v>
      </c>
      <c r="K31" s="26">
        <f>'Census-Heating_Fuel_Users'!C112</f>
        <v>0.46894277597402595</v>
      </c>
      <c r="L31" s="26">
        <f t="shared" si="6"/>
        <v>0.6741274350649351</v>
      </c>
      <c r="M31" s="136">
        <f t="shared" si="4"/>
        <v>0</v>
      </c>
      <c r="N31" s="136">
        <f t="shared" si="7"/>
        <v>0</v>
      </c>
      <c r="O31" s="5">
        <f t="shared" si="8"/>
        <v>0</v>
      </c>
      <c r="P31" s="5"/>
      <c r="Q31" s="17">
        <f t="shared" si="9"/>
        <v>2407080</v>
      </c>
      <c r="T31" s="142"/>
    </row>
    <row r="32" spans="1:20" ht="12.75">
      <c r="A32" s="2" t="s">
        <v>25</v>
      </c>
      <c r="B32" s="25">
        <v>0.04197959</v>
      </c>
      <c r="C32" s="5">
        <f t="shared" si="1"/>
        <v>6288411</v>
      </c>
      <c r="D32" s="26">
        <f>'Census-Heating_Fuel_Users'!F113</f>
        <v>0.31616630419347846</v>
      </c>
      <c r="E32" s="27">
        <f t="shared" si="2"/>
        <v>0.04197959</v>
      </c>
      <c r="F32" s="27">
        <f t="shared" si="3"/>
        <v>0.12338986847005358</v>
      </c>
      <c r="G32" s="5">
        <f t="shared" si="5"/>
        <v>6169493</v>
      </c>
      <c r="H32" s="83">
        <f>'NOAA-HDD_Data'!V28</f>
        <v>34.688741721854306</v>
      </c>
      <c r="I32" s="26">
        <f>'Census-Heating_Fuel_Users'!F113</f>
        <v>0.31616630419347846</v>
      </c>
      <c r="J32" s="26">
        <f>'Census-Heating_Fuel_Users'!D113</f>
        <v>0.032929007570831746</v>
      </c>
      <c r="K32" s="26">
        <f>'Census-Heating_Fuel_Users'!C113</f>
        <v>0.4455281271720365</v>
      </c>
      <c r="L32" s="26">
        <f t="shared" si="6"/>
        <v>0.7946234389363467</v>
      </c>
      <c r="M32" s="136">
        <f t="shared" si="4"/>
        <v>0.04197959</v>
      </c>
      <c r="N32" s="136">
        <f t="shared" si="7"/>
        <v>0.05897058712802511</v>
      </c>
      <c r="O32" s="5">
        <f t="shared" si="8"/>
        <v>14742647</v>
      </c>
      <c r="P32" s="5"/>
      <c r="Q32" s="17">
        <f t="shared" si="9"/>
        <v>27200551</v>
      </c>
      <c r="T32" s="142"/>
    </row>
    <row r="33" spans="1:20" ht="12.75">
      <c r="A33" s="2" t="s">
        <v>26</v>
      </c>
      <c r="B33" s="25">
        <v>0.05514805</v>
      </c>
      <c r="C33" s="5">
        <f t="shared" si="1"/>
        <v>8261005</v>
      </c>
      <c r="D33" s="26">
        <f>'Census-Heating_Fuel_Users'!F114</f>
        <v>0.03633897190306867</v>
      </c>
      <c r="E33" s="27">
        <f t="shared" si="2"/>
        <v>0</v>
      </c>
      <c r="F33" s="27">
        <f t="shared" si="3"/>
        <v>0</v>
      </c>
      <c r="G33" s="5">
        <f t="shared" si="5"/>
        <v>0</v>
      </c>
      <c r="H33" s="83">
        <f>'NOAA-HDD_Data'!V29</f>
        <v>32.04635761589404</v>
      </c>
      <c r="I33" s="26">
        <f>'Census-Heating_Fuel_Users'!F114</f>
        <v>0.03633897190306867</v>
      </c>
      <c r="J33" s="26">
        <f>'Census-Heating_Fuel_Users'!D114</f>
        <v>0.09281544817380223</v>
      </c>
      <c r="K33" s="26">
        <f>'Census-Heating_Fuel_Users'!C114</f>
        <v>0.7405915359792818</v>
      </c>
      <c r="L33" s="26">
        <f t="shared" si="6"/>
        <v>0.8697459560561527</v>
      </c>
      <c r="M33" s="136">
        <f t="shared" si="4"/>
        <v>0.05514805</v>
      </c>
      <c r="N33" s="136">
        <f t="shared" si="7"/>
        <v>0.07746890542441422</v>
      </c>
      <c r="O33" s="5">
        <f t="shared" si="8"/>
        <v>19367226</v>
      </c>
      <c r="P33" s="5"/>
      <c r="Q33" s="17">
        <f t="shared" si="9"/>
        <v>27628231</v>
      </c>
      <c r="T33" s="142"/>
    </row>
    <row r="34" spans="1:20" ht="12.75">
      <c r="A34" s="2" t="s">
        <v>27</v>
      </c>
      <c r="B34" s="25">
        <v>0.03973105</v>
      </c>
      <c r="C34" s="5">
        <f t="shared" si="1"/>
        <v>5951586</v>
      </c>
      <c r="D34" s="26">
        <f>'Census-Heating_Fuel_Users'!F115</f>
        <v>0.08636864126844307</v>
      </c>
      <c r="E34" s="27">
        <f t="shared" si="2"/>
        <v>0</v>
      </c>
      <c r="F34" s="27">
        <f t="shared" si="3"/>
        <v>0</v>
      </c>
      <c r="G34" s="5">
        <f t="shared" si="5"/>
        <v>0</v>
      </c>
      <c r="H34" s="83">
        <f>'NOAA-HDD_Data'!V30</f>
        <v>24.158940397350996</v>
      </c>
      <c r="I34" s="26">
        <f>'Census-Heating_Fuel_Users'!F115</f>
        <v>0.08636864126844307</v>
      </c>
      <c r="J34" s="26">
        <f>'Census-Heating_Fuel_Users'!D115</f>
        <v>0.11913675401893856</v>
      </c>
      <c r="K34" s="26">
        <f>'Census-Heating_Fuel_Users'!C115</f>
        <v>0.5592160317110768</v>
      </c>
      <c r="L34" s="26">
        <f t="shared" si="6"/>
        <v>0.7647214269984585</v>
      </c>
      <c r="M34" s="136">
        <f t="shared" si="4"/>
        <v>0.03973105</v>
      </c>
      <c r="N34" s="136">
        <f t="shared" si="7"/>
        <v>0.055811963521152114</v>
      </c>
      <c r="O34" s="5">
        <f t="shared" si="8"/>
        <v>13952991</v>
      </c>
      <c r="P34" s="5"/>
      <c r="Q34" s="17">
        <f t="shared" si="9"/>
        <v>19904577</v>
      </c>
      <c r="T34" s="142"/>
    </row>
    <row r="35" spans="1:20" ht="12.75">
      <c r="A35" s="2" t="s">
        <v>28</v>
      </c>
      <c r="B35" s="25">
        <v>0.00737355</v>
      </c>
      <c r="C35" s="5">
        <f t="shared" si="1"/>
        <v>1104535</v>
      </c>
      <c r="D35" s="26">
        <f>'Census-Heating_Fuel_Users'!F116</f>
        <v>0.0026436642697443952</v>
      </c>
      <c r="E35" s="27">
        <f t="shared" si="2"/>
        <v>0</v>
      </c>
      <c r="F35" s="27">
        <f t="shared" si="3"/>
        <v>0</v>
      </c>
      <c r="G35" s="5">
        <f t="shared" si="5"/>
        <v>0</v>
      </c>
      <c r="H35" s="83">
        <f>'NOAA-HDD_Data'!V31</f>
        <v>50.87417218543047</v>
      </c>
      <c r="I35" s="26">
        <f>'Census-Heating_Fuel_Users'!F116</f>
        <v>0.0026436642697443952</v>
      </c>
      <c r="J35" s="26">
        <f>'Census-Heating_Fuel_Users'!D116</f>
        <v>0.2408906882591093</v>
      </c>
      <c r="K35" s="26">
        <f>'Census-Heating_Fuel_Users'!C116</f>
        <v>0.3619402985074627</v>
      </c>
      <c r="L35" s="26">
        <f t="shared" si="6"/>
        <v>0.6054746510363164</v>
      </c>
      <c r="M35" s="136">
        <f t="shared" si="4"/>
        <v>0</v>
      </c>
      <c r="N35" s="136">
        <f t="shared" si="7"/>
        <v>0</v>
      </c>
      <c r="O35" s="5">
        <f t="shared" si="8"/>
        <v>0</v>
      </c>
      <c r="P35" s="5"/>
      <c r="Q35" s="17">
        <f t="shared" si="9"/>
        <v>1104535</v>
      </c>
      <c r="T35" s="142"/>
    </row>
    <row r="36" spans="1:20" ht="12.75">
      <c r="A36" s="2" t="s">
        <v>29</v>
      </c>
      <c r="B36" s="25">
        <v>0.02320202</v>
      </c>
      <c r="C36" s="5">
        <f t="shared" si="1"/>
        <v>3475590</v>
      </c>
      <c r="D36" s="26">
        <f>'Census-Heating_Fuel_Users'!F117</f>
        <v>0.006993412603057547</v>
      </c>
      <c r="E36" s="27">
        <f t="shared" si="2"/>
        <v>0</v>
      </c>
      <c r="F36" s="27">
        <f t="shared" si="3"/>
        <v>0</v>
      </c>
      <c r="G36" s="5">
        <f t="shared" si="5"/>
        <v>0</v>
      </c>
      <c r="H36" s="83">
        <f>'NOAA-HDD_Data'!V32</f>
        <v>38.76158940397351</v>
      </c>
      <c r="I36" s="26">
        <f>'Census-Heating_Fuel_Users'!F117</f>
        <v>0.006993412603057547</v>
      </c>
      <c r="J36" s="26">
        <f>'Census-Heating_Fuel_Users'!D117</f>
        <v>0.1600613166507851</v>
      </c>
      <c r="K36" s="26">
        <f>'Census-Heating_Fuel_Users'!C117</f>
        <v>0.5072212785350292</v>
      </c>
      <c r="L36" s="26">
        <f t="shared" si="6"/>
        <v>0.6742760077888719</v>
      </c>
      <c r="M36" s="136">
        <f t="shared" si="4"/>
        <v>0.02320202</v>
      </c>
      <c r="N36" s="136">
        <f t="shared" si="7"/>
        <v>0.032592903883915524</v>
      </c>
      <c r="O36" s="5">
        <f t="shared" si="8"/>
        <v>8148226</v>
      </c>
      <c r="P36" s="5"/>
      <c r="Q36" s="17">
        <f t="shared" si="9"/>
        <v>11623816</v>
      </c>
      <c r="T36" s="142"/>
    </row>
    <row r="37" spans="1:20" ht="12.75">
      <c r="A37" s="2" t="s">
        <v>30</v>
      </c>
      <c r="B37" s="25">
        <v>0.00736027</v>
      </c>
      <c r="C37" s="5">
        <f t="shared" si="1"/>
        <v>1102545</v>
      </c>
      <c r="D37" s="26">
        <f>'Census-Heating_Fuel_Users'!F118</f>
        <v>0.03456843469806633</v>
      </c>
      <c r="E37" s="27">
        <f t="shared" si="2"/>
        <v>0</v>
      </c>
      <c r="F37" s="27">
        <f t="shared" si="3"/>
        <v>0</v>
      </c>
      <c r="G37" s="5">
        <f t="shared" si="5"/>
        <v>0</v>
      </c>
      <c r="H37" s="83">
        <f>'NOAA-HDD_Data'!V33</f>
        <v>29.99337748344371</v>
      </c>
      <c r="I37" s="26">
        <f>'Census-Heating_Fuel_Users'!F118</f>
        <v>0.03456843469806633</v>
      </c>
      <c r="J37" s="26">
        <f>'Census-Heating_Fuel_Users'!D118</f>
        <v>0.13022577508912175</v>
      </c>
      <c r="K37" s="26">
        <f>'Census-Heating_Fuel_Users'!C118</f>
        <v>0.5176082964243275</v>
      </c>
      <c r="L37" s="26">
        <f t="shared" si="6"/>
        <v>0.6824025062115155</v>
      </c>
      <c r="M37" s="136">
        <f t="shared" si="4"/>
        <v>0.00736027</v>
      </c>
      <c r="N37" s="136">
        <f t="shared" si="7"/>
        <v>0.010339296865948177</v>
      </c>
      <c r="O37" s="5">
        <f t="shared" si="8"/>
        <v>2584824</v>
      </c>
      <c r="P37" s="5"/>
      <c r="Q37" s="17">
        <f t="shared" si="9"/>
        <v>3687369</v>
      </c>
      <c r="T37" s="142"/>
    </row>
    <row r="38" spans="1:20" ht="12.75">
      <c r="A38" s="2" t="s">
        <v>31</v>
      </c>
      <c r="B38" s="25">
        <v>0.00921776</v>
      </c>
      <c r="C38" s="5">
        <f t="shared" si="1"/>
        <v>1380791</v>
      </c>
      <c r="D38" s="26">
        <f>'Census-Heating_Fuel_Users'!F119</f>
        <v>0.015309264744698948</v>
      </c>
      <c r="E38" s="27">
        <f t="shared" si="2"/>
        <v>0</v>
      </c>
      <c r="F38" s="27">
        <f t="shared" si="3"/>
        <v>0</v>
      </c>
      <c r="G38" s="5">
        <f t="shared" si="5"/>
        <v>0</v>
      </c>
      <c r="H38" s="83">
        <f>'NOAA-HDD_Data'!V34</f>
        <v>32.390728476821195</v>
      </c>
      <c r="I38" s="26">
        <f>'Census-Heating_Fuel_Users'!F119</f>
        <v>0.015309264744698948</v>
      </c>
      <c r="J38" s="26">
        <f>'Census-Heating_Fuel_Users'!D119</f>
        <v>0.12050913570108807</v>
      </c>
      <c r="K38" s="26">
        <f>'Census-Heating_Fuel_Users'!C119</f>
        <v>0.6260081532099598</v>
      </c>
      <c r="L38" s="26">
        <f t="shared" si="6"/>
        <v>0.7618265536557469</v>
      </c>
      <c r="M38" s="136">
        <f t="shared" si="4"/>
        <v>0.00921776</v>
      </c>
      <c r="N38" s="136">
        <f t="shared" si="7"/>
        <v>0.012948595238905972</v>
      </c>
      <c r="O38" s="5">
        <f t="shared" si="8"/>
        <v>3237149</v>
      </c>
      <c r="P38" s="5"/>
      <c r="Q38" s="17">
        <f t="shared" si="9"/>
        <v>4617940</v>
      </c>
      <c r="T38" s="142"/>
    </row>
    <row r="39" spans="1:20" ht="12.75">
      <c r="A39" s="2" t="s">
        <v>32</v>
      </c>
      <c r="B39" s="25">
        <v>0.00195349</v>
      </c>
      <c r="C39" s="5">
        <f t="shared" si="1"/>
        <v>292627</v>
      </c>
      <c r="D39" s="26">
        <f>'Census-Heating_Fuel_Users'!F120</f>
        <v>0.011933315566610406</v>
      </c>
      <c r="E39" s="27">
        <f t="shared" si="2"/>
        <v>0</v>
      </c>
      <c r="F39" s="27">
        <f t="shared" si="3"/>
        <v>0</v>
      </c>
      <c r="G39" s="5">
        <f t="shared" si="5"/>
        <v>0</v>
      </c>
      <c r="H39" s="83">
        <f>'NOAA-HDD_Data'!V35</f>
        <v>45.62913907284768</v>
      </c>
      <c r="I39" s="26">
        <f>'Census-Heating_Fuel_Users'!F120</f>
        <v>0.011933315566610406</v>
      </c>
      <c r="J39" s="26">
        <f>'Census-Heating_Fuel_Users'!D120</f>
        <v>0.05415889372538569</v>
      </c>
      <c r="K39" s="26">
        <f>'Census-Heating_Fuel_Users'!C120</f>
        <v>0.4289479138906162</v>
      </c>
      <c r="L39" s="26">
        <f t="shared" si="6"/>
        <v>0.4950401231826123</v>
      </c>
      <c r="M39" s="136">
        <f t="shared" si="4"/>
        <v>0</v>
      </c>
      <c r="N39" s="136">
        <f t="shared" si="7"/>
        <v>0</v>
      </c>
      <c r="O39" s="5">
        <f t="shared" si="8"/>
        <v>0</v>
      </c>
      <c r="P39" s="5"/>
      <c r="Q39" s="17">
        <f t="shared" si="9"/>
        <v>292627</v>
      </c>
      <c r="T39" s="142"/>
    </row>
    <row r="40" spans="1:20" ht="12.75">
      <c r="A40" s="2" t="s">
        <v>33</v>
      </c>
      <c r="B40" s="25">
        <v>0.00794588</v>
      </c>
      <c r="C40" s="5">
        <f t="shared" si="1"/>
        <v>1190268</v>
      </c>
      <c r="D40" s="26">
        <f>'Census-Heating_Fuel_Users'!F121</f>
        <v>0.5426211400854823</v>
      </c>
      <c r="E40" s="27">
        <f t="shared" si="2"/>
        <v>0.00794588</v>
      </c>
      <c r="F40" s="27">
        <f t="shared" si="3"/>
        <v>0.02335518493817661</v>
      </c>
      <c r="G40" s="5">
        <f t="shared" si="5"/>
        <v>1167759</v>
      </c>
      <c r="H40" s="83">
        <f>'NOAA-HDD_Data'!V36</f>
        <v>29.71523178807947</v>
      </c>
      <c r="I40" s="26">
        <f>'Census-Heating_Fuel_Users'!F121</f>
        <v>0.5426211400854823</v>
      </c>
      <c r="J40" s="26">
        <f>'Census-Heating_Fuel_Users'!D121</f>
        <v>0.09210968640445662</v>
      </c>
      <c r="K40" s="26">
        <f>'Census-Heating_Fuel_Users'!C121</f>
        <v>0.18854151659222976</v>
      </c>
      <c r="L40" s="26">
        <f t="shared" si="6"/>
        <v>0.8232723430821687</v>
      </c>
      <c r="M40" s="136">
        <f t="shared" si="4"/>
        <v>0.00794588</v>
      </c>
      <c r="N40" s="136">
        <f t="shared" si="7"/>
        <v>0.011161929138632183</v>
      </c>
      <c r="O40" s="5">
        <f t="shared" si="8"/>
        <v>2790482</v>
      </c>
      <c r="P40" s="5"/>
      <c r="Q40" s="17">
        <f t="shared" si="9"/>
        <v>5148509</v>
      </c>
      <c r="T40" s="142"/>
    </row>
    <row r="41" spans="1:20" ht="12.75">
      <c r="A41" s="2" t="s">
        <v>34</v>
      </c>
      <c r="B41" s="25">
        <v>0.03897152</v>
      </c>
      <c r="C41" s="5">
        <f t="shared" si="1"/>
        <v>5837811</v>
      </c>
      <c r="D41" s="26">
        <f>'Census-Heating_Fuel_Users'!F122</f>
        <v>0.19562421185372006</v>
      </c>
      <c r="E41" s="27">
        <f t="shared" si="2"/>
        <v>0.03897152</v>
      </c>
      <c r="F41" s="27">
        <f t="shared" si="3"/>
        <v>0.11454830137402636</v>
      </c>
      <c r="G41" s="5">
        <f t="shared" si="5"/>
        <v>5727415</v>
      </c>
      <c r="H41" s="83">
        <f>'NOAA-HDD_Data'!V37</f>
        <v>38.41059602649007</v>
      </c>
      <c r="I41" s="26">
        <f>'Census-Heating_Fuel_Users'!F122</f>
        <v>0.19562421185372006</v>
      </c>
      <c r="J41" s="26">
        <f>'Census-Heating_Fuel_Users'!D122</f>
        <v>0.03206179066834804</v>
      </c>
      <c r="K41" s="26">
        <f>'Census-Heating_Fuel_Users'!C122</f>
        <v>0.6048108448928121</v>
      </c>
      <c r="L41" s="26">
        <f t="shared" si="6"/>
        <v>0.8324968474148802</v>
      </c>
      <c r="M41" s="136">
        <f t="shared" si="4"/>
        <v>0.03897152</v>
      </c>
      <c r="N41" s="136">
        <f t="shared" si="7"/>
        <v>0.05474501813075291</v>
      </c>
      <c r="O41" s="5">
        <f t="shared" si="8"/>
        <v>13686255</v>
      </c>
      <c r="P41" s="5"/>
      <c r="Q41" s="17">
        <f t="shared" si="9"/>
        <v>25251481</v>
      </c>
      <c r="T41" s="142"/>
    </row>
    <row r="42" spans="1:20" ht="12.75">
      <c r="A42" s="2" t="s">
        <v>35</v>
      </c>
      <c r="B42" s="25">
        <v>0.00520713</v>
      </c>
      <c r="C42" s="5">
        <f t="shared" si="1"/>
        <v>780012</v>
      </c>
      <c r="D42" s="26">
        <f>'Census-Heating_Fuel_Users'!F123</f>
        <v>0.0018765868197372778</v>
      </c>
      <c r="E42" s="27">
        <f t="shared" si="2"/>
        <v>0</v>
      </c>
      <c r="F42" s="27">
        <f t="shared" si="3"/>
        <v>0</v>
      </c>
      <c r="G42" s="5">
        <f t="shared" si="5"/>
        <v>0</v>
      </c>
      <c r="H42" s="83">
        <f>'NOAA-HDD_Data'!V38</f>
        <v>40.29139072847682</v>
      </c>
      <c r="I42" s="26">
        <f>'Census-Heating_Fuel_Users'!F123</f>
        <v>0.0018765868197372778</v>
      </c>
      <c r="J42" s="26">
        <f>'Census-Heating_Fuel_Users'!D123</f>
        <v>0.1723700187658682</v>
      </c>
      <c r="K42" s="26">
        <f>'Census-Heating_Fuel_Users'!C123</f>
        <v>0.6043989402803841</v>
      </c>
      <c r="L42" s="26">
        <f t="shared" si="6"/>
        <v>0.7786455458659896</v>
      </c>
      <c r="M42" s="136">
        <f t="shared" si="4"/>
        <v>0</v>
      </c>
      <c r="N42" s="136">
        <f t="shared" si="7"/>
        <v>0</v>
      </c>
      <c r="O42" s="5">
        <f t="shared" si="8"/>
        <v>0</v>
      </c>
      <c r="P42" s="5"/>
      <c r="Q42" s="17">
        <f t="shared" si="9"/>
        <v>780012</v>
      </c>
      <c r="T42" s="142"/>
    </row>
    <row r="43" spans="1:20" ht="12.75">
      <c r="A43" s="2" t="s">
        <v>36</v>
      </c>
      <c r="B43" s="25">
        <v>0.12724791</v>
      </c>
      <c r="C43" s="5">
        <f>ROUND(B43*$C$7,0)</f>
        <v>19061337</v>
      </c>
      <c r="D43" s="26">
        <f>'Census-Heating_Fuel_Users'!F124</f>
        <v>0.29345501003832813</v>
      </c>
      <c r="E43" s="27">
        <f aca="true" t="shared" si="10" ref="E43:E61">IF(D43&gt;=$G$5,B43,0)</f>
        <v>0.12724791</v>
      </c>
      <c r="F43" s="27">
        <f aca="true" t="shared" si="11" ref="F43:F61">E43/$E$62</f>
        <v>0.37401753752214384</v>
      </c>
      <c r="G43" s="5">
        <f t="shared" si="5"/>
        <v>18700877</v>
      </c>
      <c r="H43" s="83">
        <f>'NOAA-HDD_Data'!V39</f>
        <v>36.3046357615894</v>
      </c>
      <c r="I43" s="26">
        <f>'Census-Heating_Fuel_Users'!F124</f>
        <v>0.29345501003832813</v>
      </c>
      <c r="J43" s="26">
        <f>'Census-Heating_Fuel_Users'!D124</f>
        <v>0.0390022510190424</v>
      </c>
      <c r="K43" s="26">
        <f>'Census-Heating_Fuel_Users'!C124</f>
        <v>0.5115507696051591</v>
      </c>
      <c r="L43" s="26">
        <f t="shared" si="6"/>
        <v>0.8440080306625297</v>
      </c>
      <c r="M43" s="136">
        <f aca="true" t="shared" si="12" ref="M43:M61">IF(AND(L43&gt;=$O$4,H43&lt;=$O$5),B43,0)</f>
        <v>0.12724791</v>
      </c>
      <c r="N43" s="136">
        <f t="shared" si="7"/>
        <v>0.1787507682546232</v>
      </c>
      <c r="O43" s="5">
        <f t="shared" si="8"/>
        <v>44687692</v>
      </c>
      <c r="P43" s="5"/>
      <c r="Q43" s="17">
        <f t="shared" si="9"/>
        <v>82449906</v>
      </c>
      <c r="T43" s="142"/>
    </row>
    <row r="44" spans="1:20" ht="12.75">
      <c r="A44" s="2" t="s">
        <v>37</v>
      </c>
      <c r="B44" s="25">
        <v>0.0189638</v>
      </c>
      <c r="C44" s="5">
        <f aca="true" t="shared" si="13" ref="C44:C61">ROUND(B44*$C$7,0)</f>
        <v>2840718</v>
      </c>
      <c r="D44" s="26">
        <f>'Census-Heating_Fuel_Users'!F125</f>
        <v>0.16013043146776454</v>
      </c>
      <c r="E44" s="27">
        <f t="shared" si="10"/>
        <v>0</v>
      </c>
      <c r="F44" s="27">
        <f t="shared" si="11"/>
        <v>0</v>
      </c>
      <c r="G44" s="5">
        <f t="shared" si="5"/>
        <v>0</v>
      </c>
      <c r="H44" s="83">
        <f>'NOAA-HDD_Data'!V40</f>
        <v>47.185430463576154</v>
      </c>
      <c r="I44" s="26">
        <f>'Census-Heating_Fuel_Users'!F125</f>
        <v>0.16013043146776454</v>
      </c>
      <c r="J44" s="26">
        <f>'Census-Heating_Fuel_Users'!D125</f>
        <v>0.13517016497469372</v>
      </c>
      <c r="K44" s="26">
        <f>'Census-Heating_Fuel_Users'!C125</f>
        <v>0.18642199037012275</v>
      </c>
      <c r="L44" s="26">
        <f t="shared" si="6"/>
        <v>0.481722586812581</v>
      </c>
      <c r="M44" s="136">
        <f t="shared" si="12"/>
        <v>0</v>
      </c>
      <c r="N44" s="136">
        <f t="shared" si="7"/>
        <v>0</v>
      </c>
      <c r="O44" s="5">
        <f t="shared" si="8"/>
        <v>0</v>
      </c>
      <c r="P44" s="5"/>
      <c r="Q44" s="17">
        <f t="shared" si="9"/>
        <v>2840718</v>
      </c>
      <c r="T44" s="142"/>
    </row>
    <row r="45" spans="1:20" ht="12.75">
      <c r="A45" s="2" t="s">
        <v>38</v>
      </c>
      <c r="B45" s="25">
        <v>0.00799548</v>
      </c>
      <c r="C45" s="5">
        <f t="shared" si="13"/>
        <v>1197698</v>
      </c>
      <c r="D45" s="26">
        <f>'Census-Heating_Fuel_Users'!F126</f>
        <v>0.10338017470565894</v>
      </c>
      <c r="E45" s="27">
        <f t="shared" si="10"/>
        <v>0</v>
      </c>
      <c r="F45" s="27">
        <f t="shared" si="11"/>
        <v>0</v>
      </c>
      <c r="G45" s="5">
        <f t="shared" si="5"/>
        <v>0</v>
      </c>
      <c r="H45" s="83">
        <f>'NOAA-HDD_Data'!V41</f>
        <v>21.735099337748345</v>
      </c>
      <c r="I45" s="26">
        <f>'Census-Heating_Fuel_Users'!F126</f>
        <v>0.10338017470565894</v>
      </c>
      <c r="J45" s="26">
        <f>'Census-Heating_Fuel_Users'!D126</f>
        <v>0.16984428408659324</v>
      </c>
      <c r="K45" s="26">
        <f>'Census-Heating_Fuel_Users'!C126</f>
        <v>0.3407519939232814</v>
      </c>
      <c r="L45" s="26">
        <f t="shared" si="6"/>
        <v>0.6139764527155336</v>
      </c>
      <c r="M45" s="136">
        <f t="shared" si="12"/>
        <v>0.00799548</v>
      </c>
      <c r="N45" s="136">
        <f t="shared" si="7"/>
        <v>0.011231604452791992</v>
      </c>
      <c r="O45" s="5">
        <f t="shared" si="8"/>
        <v>2807901</v>
      </c>
      <c r="P45" s="5"/>
      <c r="Q45" s="17">
        <f t="shared" si="9"/>
        <v>4005599</v>
      </c>
      <c r="T45" s="142"/>
    </row>
    <row r="46" spans="1:20" ht="12.75">
      <c r="A46" s="2" t="s">
        <v>39</v>
      </c>
      <c r="B46" s="25">
        <v>0.0513862</v>
      </c>
      <c r="C46" s="5">
        <f t="shared" si="13"/>
        <v>7697491</v>
      </c>
      <c r="D46" s="26">
        <f>'Census-Heating_Fuel_Users'!F127</f>
        <v>0.04456429417203968</v>
      </c>
      <c r="E46" s="27">
        <f t="shared" si="10"/>
        <v>0</v>
      </c>
      <c r="F46" s="27">
        <f t="shared" si="11"/>
        <v>0</v>
      </c>
      <c r="G46" s="5">
        <f t="shared" si="5"/>
        <v>0</v>
      </c>
      <c r="H46" s="83">
        <f>'NOAA-HDD_Data'!V42</f>
        <v>35.90728476821192</v>
      </c>
      <c r="I46" s="26">
        <f>'Census-Heating_Fuel_Users'!F127</f>
        <v>0.04456429417203968</v>
      </c>
      <c r="J46" s="26">
        <f>'Census-Heating_Fuel_Users'!D127</f>
        <v>0.057827726011807384</v>
      </c>
      <c r="K46" s="26">
        <f>'Census-Heating_Fuel_Users'!C127</f>
        <v>0.6553725267046857</v>
      </c>
      <c r="L46" s="26">
        <f t="shared" si="6"/>
        <v>0.7577645468885328</v>
      </c>
      <c r="M46" s="136">
        <f t="shared" si="12"/>
        <v>0.0513862</v>
      </c>
      <c r="N46" s="136">
        <f t="shared" si="7"/>
        <v>0.07218446831610609</v>
      </c>
      <c r="O46" s="5">
        <f t="shared" si="8"/>
        <v>18046117</v>
      </c>
      <c r="P46" s="5"/>
      <c r="Q46" s="17">
        <f t="shared" si="9"/>
        <v>25743608</v>
      </c>
      <c r="T46" s="142"/>
    </row>
    <row r="47" spans="1:20" ht="12.75">
      <c r="A47" s="2" t="s">
        <v>40</v>
      </c>
      <c r="B47" s="25">
        <v>0.00790558</v>
      </c>
      <c r="C47" s="5">
        <f t="shared" si="13"/>
        <v>1184231</v>
      </c>
      <c r="D47" s="26">
        <f>'Census-Heating_Fuel_Users'!F128</f>
        <v>0.001204004329004329</v>
      </c>
      <c r="E47" s="27">
        <f t="shared" si="10"/>
        <v>0</v>
      </c>
      <c r="F47" s="27">
        <f t="shared" si="11"/>
        <v>0</v>
      </c>
      <c r="G47" s="5">
        <f t="shared" si="5"/>
        <v>0</v>
      </c>
      <c r="H47" s="83">
        <f>'NOAA-HDD_Data'!V43</f>
        <v>44.89403973509934</v>
      </c>
      <c r="I47" s="26">
        <f>'Census-Heating_Fuel_Users'!F128</f>
        <v>0.001204004329004329</v>
      </c>
      <c r="J47" s="26">
        <f>'Census-Heating_Fuel_Users'!D128</f>
        <v>0.12842261904761904</v>
      </c>
      <c r="K47" s="26">
        <f>'Census-Heating_Fuel_Users'!C128</f>
        <v>0.5617018398268399</v>
      </c>
      <c r="L47" s="26">
        <f t="shared" si="6"/>
        <v>0.6913284632034632</v>
      </c>
      <c r="M47" s="136">
        <f t="shared" si="12"/>
        <v>0</v>
      </c>
      <c r="N47" s="136">
        <f t="shared" si="7"/>
        <v>0</v>
      </c>
      <c r="O47" s="5">
        <f t="shared" si="8"/>
        <v>0</v>
      </c>
      <c r="P47" s="5"/>
      <c r="Q47" s="17">
        <f t="shared" si="9"/>
        <v>1184231</v>
      </c>
      <c r="T47" s="142"/>
    </row>
    <row r="48" spans="1:20" ht="12.75">
      <c r="A48" s="2" t="s">
        <v>41</v>
      </c>
      <c r="B48" s="25">
        <v>0.01246826</v>
      </c>
      <c r="C48" s="5">
        <f t="shared" si="13"/>
        <v>1867706</v>
      </c>
      <c r="D48" s="26">
        <f>'Census-Heating_Fuel_Users'!F129</f>
        <v>0.05474759872693279</v>
      </c>
      <c r="E48" s="27">
        <f t="shared" si="10"/>
        <v>0</v>
      </c>
      <c r="F48" s="27">
        <f t="shared" si="11"/>
        <v>0</v>
      </c>
      <c r="G48" s="5">
        <f t="shared" si="5"/>
        <v>0</v>
      </c>
      <c r="H48" s="83">
        <f>'NOAA-HDD_Data'!V44</f>
        <v>41.42384105960265</v>
      </c>
      <c r="I48" s="26">
        <f>'Census-Heating_Fuel_Users'!F129</f>
        <v>0.05474759872693279</v>
      </c>
      <c r="J48" s="26">
        <f>'Census-Heating_Fuel_Users'!D129</f>
        <v>0.022949462657170995</v>
      </c>
      <c r="K48" s="26">
        <f>'Census-Heating_Fuel_Users'!C129</f>
        <v>0.22388570939243865</v>
      </c>
      <c r="L48" s="26">
        <f t="shared" si="6"/>
        <v>0.30158277077654244</v>
      </c>
      <c r="M48" s="136">
        <f t="shared" si="12"/>
        <v>0</v>
      </c>
      <c r="N48" s="136">
        <f t="shared" si="7"/>
        <v>0</v>
      </c>
      <c r="O48" s="5">
        <f t="shared" si="8"/>
        <v>0</v>
      </c>
      <c r="P48" s="5"/>
      <c r="Q48" s="17">
        <f t="shared" si="9"/>
        <v>1867706</v>
      </c>
      <c r="T48" s="142"/>
    </row>
    <row r="49" spans="1:20" ht="12.75">
      <c r="A49" s="8" t="s">
        <v>42</v>
      </c>
      <c r="B49" s="25">
        <v>0.0683509</v>
      </c>
      <c r="C49" s="5">
        <f t="shared" si="13"/>
        <v>10238750</v>
      </c>
      <c r="D49" s="26">
        <f>'Census-Heating_Fuel_Users'!F130</f>
        <v>0.23842536751197824</v>
      </c>
      <c r="E49" s="27">
        <f t="shared" si="10"/>
        <v>0.0683509</v>
      </c>
      <c r="F49" s="27">
        <f t="shared" si="11"/>
        <v>0.20090259482786246</v>
      </c>
      <c r="G49" s="5">
        <f t="shared" si="5"/>
        <v>10045130</v>
      </c>
      <c r="H49" s="83">
        <f>'NOAA-HDD_Data'!V45</f>
        <v>36.264900662251655</v>
      </c>
      <c r="I49" s="26">
        <f>'Census-Heating_Fuel_Users'!F130</f>
        <v>0.23842536751197824</v>
      </c>
      <c r="J49" s="26">
        <f>'Census-Heating_Fuel_Users'!D130</f>
        <v>0.03130485772712259</v>
      </c>
      <c r="K49" s="26">
        <f>'Census-Heating_Fuel_Users'!C130</f>
        <v>0.5323570126963745</v>
      </c>
      <c r="L49" s="26">
        <f t="shared" si="6"/>
        <v>0.8020872379354753</v>
      </c>
      <c r="M49" s="136">
        <f t="shared" si="12"/>
        <v>0.0683509</v>
      </c>
      <c r="N49" s="136">
        <f t="shared" si="7"/>
        <v>0.09601553287511698</v>
      </c>
      <c r="O49" s="5">
        <f t="shared" si="8"/>
        <v>24003883</v>
      </c>
      <c r="P49" s="5"/>
      <c r="Q49" s="17">
        <f t="shared" si="9"/>
        <v>44287763</v>
      </c>
      <c r="T49" s="142"/>
    </row>
    <row r="50" spans="1:20" ht="12.75">
      <c r="A50" s="2" t="s">
        <v>43</v>
      </c>
      <c r="B50" s="25">
        <v>0.00691008</v>
      </c>
      <c r="C50" s="5">
        <f t="shared" si="13"/>
        <v>1035108</v>
      </c>
      <c r="D50" s="26">
        <f>'Census-Heating_Fuel_Users'!F131</f>
        <v>0.32441780032280376</v>
      </c>
      <c r="E50" s="27">
        <f t="shared" si="10"/>
        <v>0.00691008</v>
      </c>
      <c r="F50" s="27">
        <f t="shared" si="11"/>
        <v>0.020310676267146673</v>
      </c>
      <c r="G50" s="5">
        <f t="shared" si="5"/>
        <v>1015534</v>
      </c>
      <c r="H50" s="83">
        <f>'NOAA-HDD_Data'!V46</f>
        <v>36.973509933774835</v>
      </c>
      <c r="I50" s="26">
        <f>'Census-Heating_Fuel_Users'!F131</f>
        <v>0.32441780032280376</v>
      </c>
      <c r="J50" s="26">
        <f>'Census-Heating_Fuel_Users'!D131</f>
        <v>0.032472523249558065</v>
      </c>
      <c r="K50" s="26">
        <f>'Census-Heating_Fuel_Users'!C131</f>
        <v>0.518138498193836</v>
      </c>
      <c r="L50" s="26">
        <f t="shared" si="6"/>
        <v>0.8750288217661978</v>
      </c>
      <c r="M50" s="136">
        <f t="shared" si="12"/>
        <v>0.00691008</v>
      </c>
      <c r="N50" s="136">
        <f t="shared" si="7"/>
        <v>0.009706895057851297</v>
      </c>
      <c r="O50" s="5">
        <f t="shared" si="8"/>
        <v>2426724</v>
      </c>
      <c r="P50" s="5"/>
      <c r="Q50" s="17">
        <f t="shared" si="9"/>
        <v>4477366</v>
      </c>
      <c r="T50" s="142"/>
    </row>
    <row r="51" spans="1:20" ht="12.75">
      <c r="A51" s="2" t="s">
        <v>44</v>
      </c>
      <c r="B51" s="25">
        <v>0.00683051</v>
      </c>
      <c r="C51" s="5">
        <f t="shared" si="13"/>
        <v>1023189</v>
      </c>
      <c r="D51" s="26">
        <f>'Census-Heating_Fuel_Users'!F132</f>
        <v>0.08182326175461004</v>
      </c>
      <c r="E51" s="27">
        <f t="shared" si="10"/>
        <v>0</v>
      </c>
      <c r="F51" s="27">
        <f t="shared" si="11"/>
        <v>0</v>
      </c>
      <c r="G51" s="5">
        <f t="shared" si="5"/>
        <v>0</v>
      </c>
      <c r="H51" s="83">
        <f>'NOAA-HDD_Data'!V47</f>
        <v>50.40397350993378</v>
      </c>
      <c r="I51" s="26">
        <f>'Census-Heating_Fuel_Users'!F132</f>
        <v>0.08182326175461004</v>
      </c>
      <c r="J51" s="26">
        <f>'Census-Heating_Fuel_Users'!D132</f>
        <v>0.11198668019934085</v>
      </c>
      <c r="K51" s="26">
        <f>'Census-Heating_Fuel_Users'!C132</f>
        <v>0.23837653525527716</v>
      </c>
      <c r="L51" s="26">
        <f t="shared" si="6"/>
        <v>0.4321864772092281</v>
      </c>
      <c r="M51" s="136">
        <f t="shared" si="12"/>
        <v>0</v>
      </c>
      <c r="N51" s="136">
        <f t="shared" si="7"/>
        <v>0</v>
      </c>
      <c r="O51" s="5">
        <f t="shared" si="8"/>
        <v>0</v>
      </c>
      <c r="P51" s="5"/>
      <c r="Q51" s="17">
        <f t="shared" si="9"/>
        <v>1023189</v>
      </c>
      <c r="T51" s="142"/>
    </row>
    <row r="52" spans="1:20" ht="12.75">
      <c r="A52" s="2" t="s">
        <v>45</v>
      </c>
      <c r="B52" s="25">
        <v>0.00649373</v>
      </c>
      <c r="C52" s="5">
        <f t="shared" si="13"/>
        <v>972740</v>
      </c>
      <c r="D52" s="26">
        <f>'Census-Heating_Fuel_Users'!F133</f>
        <v>0.0788496590832377</v>
      </c>
      <c r="E52" s="27">
        <f t="shared" si="10"/>
        <v>0</v>
      </c>
      <c r="F52" s="27">
        <f t="shared" si="11"/>
        <v>0</v>
      </c>
      <c r="G52" s="5">
        <f t="shared" si="5"/>
        <v>0</v>
      </c>
      <c r="H52" s="83">
        <f>'NOAA-HDD_Data'!V48</f>
        <v>28.516556291390728</v>
      </c>
      <c r="I52" s="26">
        <f>'Census-Heating_Fuel_Users'!F133</f>
        <v>0.0788496590832377</v>
      </c>
      <c r="J52" s="26">
        <f>'Census-Heating_Fuel_Users'!D133</f>
        <v>0.2594342806993857</v>
      </c>
      <c r="K52" s="26">
        <f>'Census-Heating_Fuel_Users'!C133</f>
        <v>0.3557685816512523</v>
      </c>
      <c r="L52" s="26">
        <f t="shared" si="6"/>
        <v>0.6940525214338757</v>
      </c>
      <c r="M52" s="136">
        <f t="shared" si="12"/>
        <v>0.00649373</v>
      </c>
      <c r="N52" s="136">
        <f t="shared" si="7"/>
        <v>0.009122029794737644</v>
      </c>
      <c r="O52" s="5">
        <f t="shared" si="8"/>
        <v>2280507</v>
      </c>
      <c r="P52" s="5"/>
      <c r="Q52" s="17">
        <f t="shared" si="9"/>
        <v>3253247</v>
      </c>
      <c r="T52" s="142"/>
    </row>
    <row r="53" spans="1:20" ht="12.75">
      <c r="A53" s="2" t="s">
        <v>46</v>
      </c>
      <c r="B53" s="25">
        <v>0.01386403</v>
      </c>
      <c r="C53" s="5">
        <f t="shared" si="13"/>
        <v>2076788</v>
      </c>
      <c r="D53" s="26">
        <f>'Census-Heating_Fuel_Users'!F134</f>
        <v>0.03172651453255568</v>
      </c>
      <c r="E53" s="27">
        <f t="shared" si="10"/>
        <v>0</v>
      </c>
      <c r="F53" s="27">
        <f t="shared" si="11"/>
        <v>0</v>
      </c>
      <c r="G53" s="5">
        <f t="shared" si="5"/>
        <v>0</v>
      </c>
      <c r="H53" s="83">
        <f>'NOAA-HDD_Data'!V49</f>
        <v>44.42384105960265</v>
      </c>
      <c r="I53" s="26">
        <f>'Census-Heating_Fuel_Users'!F134</f>
        <v>0.03172651453255568</v>
      </c>
      <c r="J53" s="26">
        <f>'Census-Heating_Fuel_Users'!D134</f>
        <v>0.0769622792612786</v>
      </c>
      <c r="K53" s="26">
        <f>'Census-Heating_Fuel_Users'!C134</f>
        <v>0.2923903283475841</v>
      </c>
      <c r="L53" s="26">
        <f t="shared" si="6"/>
        <v>0.4010791221414184</v>
      </c>
      <c r="M53" s="136">
        <f t="shared" si="12"/>
        <v>0</v>
      </c>
      <c r="N53" s="136">
        <f t="shared" si="7"/>
        <v>0</v>
      </c>
      <c r="O53" s="5">
        <f t="shared" si="8"/>
        <v>0</v>
      </c>
      <c r="P53" s="5"/>
      <c r="Q53" s="17">
        <f t="shared" si="9"/>
        <v>2076788</v>
      </c>
      <c r="T53" s="142"/>
    </row>
    <row r="54" spans="1:20" ht="12.75">
      <c r="A54" s="2" t="s">
        <v>47</v>
      </c>
      <c r="B54" s="25">
        <v>0.02263997</v>
      </c>
      <c r="C54" s="5">
        <f t="shared" si="13"/>
        <v>3391396</v>
      </c>
      <c r="D54" s="26">
        <f>'Census-Heating_Fuel_Users'!F135</f>
        <v>0.0011018214091211651</v>
      </c>
      <c r="E54" s="27">
        <f t="shared" si="10"/>
        <v>0</v>
      </c>
      <c r="F54" s="27">
        <f t="shared" si="11"/>
        <v>0</v>
      </c>
      <c r="G54" s="5">
        <f t="shared" si="5"/>
        <v>0</v>
      </c>
      <c r="H54" s="83">
        <f>'NOAA-HDD_Data'!V50</f>
        <v>53.36423841059603</v>
      </c>
      <c r="I54" s="26">
        <f>'Census-Heating_Fuel_Users'!F135</f>
        <v>0.0011018214091211651</v>
      </c>
      <c r="J54" s="26">
        <f>'Census-Heating_Fuel_Users'!D135</f>
        <v>0.0856672448917845</v>
      </c>
      <c r="K54" s="26">
        <f>'Census-Heating_Fuel_Users'!C135</f>
        <v>0.41446890695282085</v>
      </c>
      <c r="L54" s="26">
        <f t="shared" si="6"/>
        <v>0.5012379732537265</v>
      </c>
      <c r="M54" s="136">
        <f t="shared" si="12"/>
        <v>0</v>
      </c>
      <c r="N54" s="136">
        <f t="shared" si="7"/>
        <v>0</v>
      </c>
      <c r="O54" s="5">
        <f t="shared" si="8"/>
        <v>0</v>
      </c>
      <c r="P54" s="5"/>
      <c r="Q54" s="17">
        <f t="shared" si="9"/>
        <v>3391396</v>
      </c>
      <c r="T54" s="142"/>
    </row>
    <row r="55" spans="1:20" ht="12.75">
      <c r="A55" s="2" t="s">
        <v>48</v>
      </c>
      <c r="B55" s="25">
        <v>0.00747576</v>
      </c>
      <c r="C55" s="5">
        <f t="shared" si="13"/>
        <v>1119845</v>
      </c>
      <c r="D55" s="26">
        <f>'Census-Heating_Fuel_Users'!F136</f>
        <v>0.008703451483240874</v>
      </c>
      <c r="E55" s="27">
        <f t="shared" si="10"/>
        <v>0</v>
      </c>
      <c r="F55" s="27">
        <f t="shared" si="11"/>
        <v>0</v>
      </c>
      <c r="G55" s="5">
        <f t="shared" si="5"/>
        <v>0</v>
      </c>
      <c r="H55" s="83">
        <f>'NOAA-HDD_Data'!V51</f>
        <v>33.10596026490066</v>
      </c>
      <c r="I55" s="26">
        <f>'Census-Heating_Fuel_Users'!F136</f>
        <v>0.008703451483240874</v>
      </c>
      <c r="J55" s="26">
        <f>'Census-Heating_Fuel_Users'!D136</f>
        <v>0.043118626050559744</v>
      </c>
      <c r="K55" s="26">
        <f>'Census-Heating_Fuel_Users'!C136</f>
        <v>0.7634455037703883</v>
      </c>
      <c r="L55" s="26">
        <f t="shared" si="6"/>
        <v>0.815267581304189</v>
      </c>
      <c r="M55" s="136">
        <f t="shared" si="12"/>
        <v>0.00747576</v>
      </c>
      <c r="N55" s="136">
        <f t="shared" si="7"/>
        <v>0.01050153077789004</v>
      </c>
      <c r="O55" s="5">
        <f t="shared" si="8"/>
        <v>2625383</v>
      </c>
      <c r="P55" s="5"/>
      <c r="Q55" s="17">
        <f t="shared" si="9"/>
        <v>3745228</v>
      </c>
      <c r="T55" s="142"/>
    </row>
    <row r="56" spans="1:20" ht="12.75">
      <c r="A56" s="2" t="s">
        <v>49</v>
      </c>
      <c r="B56" s="25">
        <v>0.00595572</v>
      </c>
      <c r="C56" s="5">
        <f t="shared" si="13"/>
        <v>892148</v>
      </c>
      <c r="D56" s="26">
        <f>'Census-Heating_Fuel_Users'!F137</f>
        <v>0.5705290773939659</v>
      </c>
      <c r="E56" s="27">
        <f t="shared" si="10"/>
        <v>0.00595572</v>
      </c>
      <c r="F56" s="27">
        <f t="shared" si="11"/>
        <v>0.017505542751715</v>
      </c>
      <c r="G56" s="5">
        <f t="shared" si="5"/>
        <v>875277</v>
      </c>
      <c r="H56" s="83">
        <f>'NOAA-HDD_Data'!V52</f>
        <v>27</v>
      </c>
      <c r="I56" s="26">
        <f>'Census-Heating_Fuel_Users'!F137</f>
        <v>0.5705290773939659</v>
      </c>
      <c r="J56" s="26">
        <f>'Census-Heating_Fuel_Users'!D137</f>
        <v>0.1410581547879318</v>
      </c>
      <c r="K56" s="26">
        <f>'Census-Heating_Fuel_Users'!C137</f>
        <v>0.10660253607345868</v>
      </c>
      <c r="L56" s="26">
        <f t="shared" si="6"/>
        <v>0.8181897682553564</v>
      </c>
      <c r="M56" s="136">
        <f t="shared" si="12"/>
        <v>0.00595572</v>
      </c>
      <c r="N56" s="136">
        <f t="shared" si="7"/>
        <v>0.008366263347739263</v>
      </c>
      <c r="O56" s="5">
        <f t="shared" si="8"/>
        <v>2091566</v>
      </c>
      <c r="P56" s="5"/>
      <c r="Q56" s="17">
        <f t="shared" si="9"/>
        <v>3858991</v>
      </c>
      <c r="T56" s="142"/>
    </row>
    <row r="57" spans="1:20" ht="12.75">
      <c r="A57" s="2" t="s">
        <v>50</v>
      </c>
      <c r="B57" s="25">
        <v>0.01957379</v>
      </c>
      <c r="C57" s="5">
        <f t="shared" si="13"/>
        <v>2932092</v>
      </c>
      <c r="D57" s="26">
        <f>'Census-Heating_Fuel_Users'!F138</f>
        <v>0.18085511484798636</v>
      </c>
      <c r="E57" s="27">
        <f t="shared" si="10"/>
        <v>0</v>
      </c>
      <c r="F57" s="27">
        <f t="shared" si="11"/>
        <v>0</v>
      </c>
      <c r="G57" s="5">
        <f t="shared" si="5"/>
        <v>0</v>
      </c>
      <c r="H57" s="83">
        <f>'NOAA-HDD_Data'!V53</f>
        <v>42.72185430463576</v>
      </c>
      <c r="I57" s="26">
        <f>'Census-Heating_Fuel_Users'!F138</f>
        <v>0.18085511484798636</v>
      </c>
      <c r="J57" s="26">
        <f>'Census-Heating_Fuel_Users'!D138</f>
        <v>0.05692895875220862</v>
      </c>
      <c r="K57" s="26">
        <f>'Census-Heating_Fuel_Users'!C138</f>
        <v>0.25492749649667945</v>
      </c>
      <c r="L57" s="26">
        <f t="shared" si="6"/>
        <v>0.49271157009687444</v>
      </c>
      <c r="M57" s="136">
        <f t="shared" si="12"/>
        <v>0</v>
      </c>
      <c r="N57" s="136">
        <f t="shared" si="7"/>
        <v>0</v>
      </c>
      <c r="O57" s="5">
        <f t="shared" si="8"/>
        <v>0</v>
      </c>
      <c r="P57" s="5"/>
      <c r="Q57" s="17">
        <f t="shared" si="9"/>
        <v>2932092</v>
      </c>
      <c r="T57" s="142"/>
    </row>
    <row r="58" spans="1:20" ht="12.75">
      <c r="A58" s="2" t="s">
        <v>51</v>
      </c>
      <c r="B58" s="25">
        <v>0.02050857</v>
      </c>
      <c r="C58" s="5">
        <f t="shared" si="13"/>
        <v>3072119</v>
      </c>
      <c r="D58" s="26">
        <f>'Census-Heating_Fuel_Users'!F139</f>
        <v>0.04531683689204143</v>
      </c>
      <c r="E58" s="27">
        <f t="shared" si="10"/>
        <v>0</v>
      </c>
      <c r="F58" s="27">
        <f t="shared" si="11"/>
        <v>0</v>
      </c>
      <c r="G58" s="5">
        <f t="shared" si="5"/>
        <v>0</v>
      </c>
      <c r="H58" s="83">
        <f>'NOAA-HDD_Data'!V54</f>
        <v>40.16556291390728</v>
      </c>
      <c r="I58" s="26">
        <f>'Census-Heating_Fuel_Users'!F139</f>
        <v>0.04531683689204143</v>
      </c>
      <c r="J58" s="26">
        <f>'Census-Heating_Fuel_Users'!D139</f>
        <v>0.026313879868657367</v>
      </c>
      <c r="K58" s="26">
        <f>'Census-Heating_Fuel_Users'!C139</f>
        <v>0.19961721967236906</v>
      </c>
      <c r="L58" s="26">
        <f t="shared" si="6"/>
        <v>0.2712479364330679</v>
      </c>
      <c r="M58" s="136">
        <f t="shared" si="12"/>
        <v>0</v>
      </c>
      <c r="N58" s="136">
        <f t="shared" si="7"/>
        <v>0</v>
      </c>
      <c r="O58" s="5">
        <f t="shared" si="8"/>
        <v>0</v>
      </c>
      <c r="P58" s="5"/>
      <c r="Q58" s="17">
        <f t="shared" si="9"/>
        <v>3072119</v>
      </c>
      <c r="T58" s="142"/>
    </row>
    <row r="59" spans="1:20" ht="12.75">
      <c r="A59" s="2" t="s">
        <v>52</v>
      </c>
      <c r="B59" s="25">
        <v>0.00905733</v>
      </c>
      <c r="C59" s="5">
        <f t="shared" si="13"/>
        <v>1356760</v>
      </c>
      <c r="D59" s="26">
        <f>'Census-Heating_Fuel_Users'!F140</f>
        <v>0.0754883211208286</v>
      </c>
      <c r="E59" s="27">
        <f t="shared" si="10"/>
        <v>0</v>
      </c>
      <c r="F59" s="27">
        <f t="shared" si="11"/>
        <v>0</v>
      </c>
      <c r="G59" s="5">
        <f t="shared" si="5"/>
        <v>0</v>
      </c>
      <c r="H59" s="83">
        <f>'NOAA-HDD_Data'!V55</f>
        <v>38.437086092715234</v>
      </c>
      <c r="I59" s="26">
        <f>'Census-Heating_Fuel_Users'!F140</f>
        <v>0.0754883211208286</v>
      </c>
      <c r="J59" s="26">
        <f>'Census-Heating_Fuel_Users'!D140</f>
        <v>0.05960848357221136</v>
      </c>
      <c r="K59" s="26">
        <f>'Census-Heating_Fuel_Users'!C140</f>
        <v>0.4383608741431549</v>
      </c>
      <c r="L59" s="26">
        <f t="shared" si="6"/>
        <v>0.5734576788361948</v>
      </c>
      <c r="M59" s="136">
        <f t="shared" si="12"/>
        <v>0</v>
      </c>
      <c r="N59" s="136">
        <f t="shared" si="7"/>
        <v>0</v>
      </c>
      <c r="O59" s="5">
        <f t="shared" si="8"/>
        <v>0</v>
      </c>
      <c r="P59" s="5"/>
      <c r="Q59" s="17">
        <f t="shared" si="9"/>
        <v>1356760</v>
      </c>
      <c r="T59" s="142"/>
    </row>
    <row r="60" spans="1:20" ht="12.75">
      <c r="A60" s="2" t="s">
        <v>53</v>
      </c>
      <c r="B60" s="25">
        <v>0.03576365</v>
      </c>
      <c r="C60" s="5">
        <f t="shared" si="13"/>
        <v>5357282</v>
      </c>
      <c r="D60" s="26">
        <f>'Census-Heating_Fuel_Users'!F141</f>
        <v>0.07920197704783535</v>
      </c>
      <c r="E60" s="27">
        <f t="shared" si="10"/>
        <v>0</v>
      </c>
      <c r="F60" s="27">
        <f t="shared" si="11"/>
        <v>0</v>
      </c>
      <c r="G60" s="5">
        <f t="shared" si="5"/>
        <v>0</v>
      </c>
      <c r="H60" s="83">
        <f>'NOAA-HDD_Data'!V56</f>
        <v>28.70860927152318</v>
      </c>
      <c r="I60" s="26">
        <f>'Census-Heating_Fuel_Users'!F141</f>
        <v>0.07920197704783535</v>
      </c>
      <c r="J60" s="26">
        <f>'Census-Heating_Fuel_Users'!D141</f>
        <v>0.1074369415790369</v>
      </c>
      <c r="K60" s="26">
        <f>'Census-Heating_Fuel_Users'!C141</f>
        <v>0.5895124415940448</v>
      </c>
      <c r="L60" s="26">
        <f t="shared" si="6"/>
        <v>0.7761513602209171</v>
      </c>
      <c r="M60" s="136">
        <f t="shared" si="12"/>
        <v>0.03576365</v>
      </c>
      <c r="N60" s="136">
        <f t="shared" si="7"/>
        <v>0.05023878123490952</v>
      </c>
      <c r="O60" s="5">
        <f t="shared" si="8"/>
        <v>12559695</v>
      </c>
      <c r="P60" s="5"/>
      <c r="Q60" s="17">
        <f t="shared" si="9"/>
        <v>17916977</v>
      </c>
      <c r="T60" s="142"/>
    </row>
    <row r="61" spans="1:20" ht="13.5" thickBot="1">
      <c r="A61" s="2" t="s">
        <v>54</v>
      </c>
      <c r="B61" s="25">
        <v>0.00299313</v>
      </c>
      <c r="C61" s="5">
        <f t="shared" si="13"/>
        <v>448361</v>
      </c>
      <c r="D61" s="26">
        <f>'Census-Heating_Fuel_Users'!F142</f>
        <v>0.0026890061019753855</v>
      </c>
      <c r="E61" s="27">
        <f t="shared" si="10"/>
        <v>0</v>
      </c>
      <c r="F61" s="27">
        <f t="shared" si="11"/>
        <v>0</v>
      </c>
      <c r="G61" s="5">
        <f t="shared" si="5"/>
        <v>0</v>
      </c>
      <c r="H61" s="83">
        <f>'NOAA-HDD_Data'!V57</f>
        <v>29.13245033112583</v>
      </c>
      <c r="I61" s="26">
        <f>'Census-Heating_Fuel_Users'!F142</f>
        <v>0.0026890061019753855</v>
      </c>
      <c r="J61" s="26">
        <f>'Census-Heating_Fuel_Users'!D142</f>
        <v>0.11055952011583411</v>
      </c>
      <c r="K61" s="26">
        <f>'Census-Heating_Fuel_Users'!C142</f>
        <v>0.6087496121625815</v>
      </c>
      <c r="L61" s="26">
        <f t="shared" si="6"/>
        <v>0.721998138380391</v>
      </c>
      <c r="M61" s="136">
        <f t="shared" si="12"/>
        <v>0.00299313</v>
      </c>
      <c r="N61" s="136">
        <f t="shared" si="7"/>
        <v>0.004204582118370041</v>
      </c>
      <c r="O61" s="5">
        <f t="shared" si="8"/>
        <v>1051146</v>
      </c>
      <c r="P61" s="5"/>
      <c r="Q61" s="17">
        <f t="shared" si="9"/>
        <v>1499507</v>
      </c>
      <c r="T61" s="142"/>
    </row>
    <row r="62" spans="1:20" ht="13.5" thickTop="1">
      <c r="A62" s="29" t="s">
        <v>55</v>
      </c>
      <c r="B62" s="30">
        <f>SUM(B11:B61)</f>
        <v>1</v>
      </c>
      <c r="C62" s="31">
        <f>SUM(C11:C61)</f>
        <v>149796858</v>
      </c>
      <c r="D62" s="29"/>
      <c r="E62" s="32">
        <f>SUM(E11:E61)</f>
        <v>0.34021909999999994</v>
      </c>
      <c r="F62" s="32">
        <f>SUM(F11:F61)</f>
        <v>1</v>
      </c>
      <c r="G62" s="31">
        <f>SUM(G11:G61)</f>
        <v>50000000</v>
      </c>
      <c r="H62" s="31"/>
      <c r="I62" s="31"/>
      <c r="J62" s="31"/>
      <c r="K62" s="31"/>
      <c r="L62" s="31"/>
      <c r="M62" s="95">
        <f>SUM(M11:M61)</f>
        <v>0.7118733600000002</v>
      </c>
      <c r="N62" s="31"/>
      <c r="O62" s="31">
        <f>SUM(O11:O61)</f>
        <v>250000000</v>
      </c>
      <c r="P62" s="31"/>
      <c r="Q62" s="31">
        <f>SUM(Q11:Q61)</f>
        <v>449796858</v>
      </c>
      <c r="T62" s="142"/>
    </row>
    <row r="63" spans="2:18" ht="12.75">
      <c r="B63" s="33"/>
      <c r="C63" s="33"/>
      <c r="D63" s="33"/>
      <c r="E63" s="33"/>
      <c r="F63" s="3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8"/>
      <c r="R63" s="8"/>
    </row>
    <row r="64" spans="1:18" ht="25.5">
      <c r="A64" s="10" t="s">
        <v>364</v>
      </c>
      <c r="B64" s="34"/>
      <c r="C64" s="5">
        <v>150000000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5"/>
    </row>
    <row r="65" spans="1:18" ht="13.5" thickBot="1">
      <c r="A65" s="138" t="s">
        <v>366</v>
      </c>
      <c r="B65" s="37">
        <v>0.00135428</v>
      </c>
      <c r="C65" s="36">
        <f>ROUND(C64*B65,0)</f>
        <v>203142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3.5" thickTop="1">
      <c r="A66" s="140" t="s">
        <v>365</v>
      </c>
      <c r="B66" s="29"/>
      <c r="C66" s="141">
        <f>C64-C65</f>
        <v>149796858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2.75">
      <c r="A67" s="9"/>
      <c r="B67" s="8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ht="12.75">
      <c r="A68" s="9" t="s">
        <v>370</v>
      </c>
      <c r="B68" s="8"/>
      <c r="C68" s="36">
        <f>C66</f>
        <v>149796858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9" t="s">
        <v>368</v>
      </c>
      <c r="B69" s="8"/>
      <c r="C69" s="36">
        <f>O7</f>
        <v>250000000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ht="13.5" thickBot="1">
      <c r="A70" s="9" t="s">
        <v>369</v>
      </c>
      <c r="B70" s="8"/>
      <c r="C70" s="36">
        <f>G7</f>
        <v>50000000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ht="13.5" thickTop="1">
      <c r="A71" s="139" t="s">
        <v>367</v>
      </c>
      <c r="B71" s="38"/>
      <c r="C71" s="31">
        <f>C66+G7+O7</f>
        <v>449796858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2:18" ht="12.75">
      <c r="B72" s="34"/>
      <c r="C72" s="34"/>
      <c r="D72" s="39"/>
      <c r="E72" s="17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6" ht="12.75">
      <c r="A73" s="40" t="s">
        <v>57</v>
      </c>
      <c r="B73" s="60" t="s">
        <v>58</v>
      </c>
      <c r="C73" s="61" t="s">
        <v>59</v>
      </c>
      <c r="E73" s="42"/>
      <c r="F73" s="2"/>
    </row>
    <row r="74" spans="1:6" ht="12.75">
      <c r="A74" s="43" t="s">
        <v>60</v>
      </c>
      <c r="B74" s="37">
        <v>0.01654258</v>
      </c>
      <c r="C74" s="41">
        <f>ROUND(B74*$C$65,0)</f>
        <v>3360</v>
      </c>
      <c r="F74" s="2"/>
    </row>
    <row r="75" spans="1:6" ht="12.75">
      <c r="A75" s="43" t="s">
        <v>61</v>
      </c>
      <c r="B75" s="37">
        <v>0.03626904</v>
      </c>
      <c r="C75" s="41">
        <f>ROUND(B75*$C$65,0)</f>
        <v>7368</v>
      </c>
      <c r="F75" s="2"/>
    </row>
    <row r="76" spans="1:6" ht="12.75">
      <c r="A76" s="43" t="s">
        <v>62</v>
      </c>
      <c r="B76" s="37">
        <v>0.01259719</v>
      </c>
      <c r="C76" s="41">
        <f>ROUND(B76*$C$65,0)</f>
        <v>2559</v>
      </c>
      <c r="F76" s="2"/>
    </row>
    <row r="77" spans="1:6" ht="12.75">
      <c r="A77" s="43" t="s">
        <v>63</v>
      </c>
      <c r="B77" s="37">
        <v>0.90029483</v>
      </c>
      <c r="C77" s="41">
        <f>ROUND(B77*$C$65,0)</f>
        <v>182888</v>
      </c>
      <c r="F77" s="2"/>
    </row>
    <row r="78" spans="1:6" ht="13.5" thickBot="1">
      <c r="A78" s="43" t="s">
        <v>64</v>
      </c>
      <c r="B78" s="37">
        <v>0.03429636</v>
      </c>
      <c r="C78" s="41">
        <f>ROUND(B78*$C$65,0)</f>
        <v>6967</v>
      </c>
      <c r="F78" s="2"/>
    </row>
    <row r="79" spans="1:6" ht="13.5" thickTop="1">
      <c r="A79" s="44" t="s">
        <v>56</v>
      </c>
      <c r="B79" s="45"/>
      <c r="C79" s="46">
        <f>SUM(C74:C78)</f>
        <v>203142</v>
      </c>
      <c r="F79" s="2"/>
    </row>
    <row r="80" spans="1:6" ht="12.75">
      <c r="A80" s="40"/>
      <c r="B80" s="43"/>
      <c r="C80" s="41"/>
      <c r="F80" s="2"/>
    </row>
    <row r="81" ht="12.75">
      <c r="A81" s="47"/>
    </row>
    <row r="85" spans="5:6" ht="12.75">
      <c r="E85" s="13"/>
      <c r="F85" s="2"/>
    </row>
    <row r="86" spans="5:6" ht="12.75">
      <c r="E86" s="13"/>
      <c r="F86" s="2"/>
    </row>
    <row r="87" spans="5:6" ht="12.75">
      <c r="E87" s="13"/>
      <c r="F87" s="2"/>
    </row>
    <row r="88" spans="5:6" ht="12.75">
      <c r="E88" s="13"/>
      <c r="F88" s="2"/>
    </row>
    <row r="89" spans="5:6" ht="12.75">
      <c r="E89" s="13"/>
      <c r="F89" s="2"/>
    </row>
    <row r="90" spans="5:6" ht="12.75">
      <c r="E90" s="13"/>
      <c r="F90" s="2"/>
    </row>
    <row r="91" spans="5:6" ht="12.75">
      <c r="E91" s="13"/>
      <c r="F91" s="2"/>
    </row>
  </sheetData>
  <mergeCells count="1">
    <mergeCell ref="A1:Q1"/>
  </mergeCells>
  <printOptions gridLines="1" horizontalCentered="1"/>
  <pageMargins left="0.25" right="0.25" top="0.25" bottom="0.65" header="0.5" footer="0.5"/>
  <pageSetup fitToWidth="2" horizontalDpi="600" verticalDpi="600" orientation="portrait" scale="56" r:id="rId1"/>
  <headerFooter alignWithMargins="0">
    <oddFooter>&amp;L&amp;"Arial,Regular"'&amp;F' [&amp;A]&amp;C&amp;"Arial,Regular"16-Jan-08&amp;R&amp;"Arial,Regular"&amp;P of &amp;N</oddFooter>
  </headerFooter>
  <colBreaks count="2" manualBreakCount="2">
    <brk id="3" max="80" man="1"/>
    <brk id="7" max="8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="115" zoomScaleNormal="115" workbookViewId="0" topLeftCell="A1">
      <selection activeCell="A1" sqref="A1"/>
    </sheetView>
  </sheetViews>
  <sheetFormatPr defaultColWidth="9.33203125" defaultRowHeight="12.75"/>
  <cols>
    <col min="1" max="1" width="27.5" style="150" customWidth="1"/>
    <col min="2" max="2" width="26.16015625" style="161" customWidth="1"/>
    <col min="3" max="3" width="26.83203125" style="161" customWidth="1"/>
    <col min="4" max="4" width="27.16015625" style="161" customWidth="1"/>
    <col min="5" max="5" width="26.33203125" style="161" customWidth="1"/>
  </cols>
  <sheetData>
    <row r="1" spans="1:5" s="173" customFormat="1" ht="12.75">
      <c r="A1" s="13" t="s">
        <v>372</v>
      </c>
      <c r="B1" s="162"/>
      <c r="C1" s="162"/>
      <c r="D1" s="162"/>
      <c r="E1" s="162"/>
    </row>
    <row r="2" spans="1:5" ht="12.75">
      <c r="A2" s="13" t="s">
        <v>373</v>
      </c>
      <c r="B2" s="151" t="s">
        <v>375</v>
      </c>
      <c r="C2" s="162"/>
      <c r="D2" s="162"/>
      <c r="E2" s="7"/>
    </row>
    <row r="3" spans="1:5" ht="12.75">
      <c r="A3" s="143"/>
      <c r="B3" s="152"/>
      <c r="C3" s="153"/>
      <c r="D3" s="153"/>
      <c r="E3" s="168" t="s">
        <v>382</v>
      </c>
    </row>
    <row r="4" spans="1:5" ht="12.75">
      <c r="A4" s="143"/>
      <c r="B4" s="175" t="s">
        <v>388</v>
      </c>
      <c r="C4" s="175" t="s">
        <v>386</v>
      </c>
      <c r="D4" s="175" t="s">
        <v>387</v>
      </c>
      <c r="E4" s="168" t="s">
        <v>383</v>
      </c>
    </row>
    <row r="5" spans="1:5" ht="13.5" thickBot="1">
      <c r="A5" s="143"/>
      <c r="B5" s="154" t="s">
        <v>376</v>
      </c>
      <c r="C5" s="154" t="s">
        <v>378</v>
      </c>
      <c r="D5" s="154" t="s">
        <v>380</v>
      </c>
      <c r="E5" s="154" t="s">
        <v>384</v>
      </c>
    </row>
    <row r="6" spans="1:5" ht="60">
      <c r="A6" s="144" t="s">
        <v>358</v>
      </c>
      <c r="B6" s="155" t="s">
        <v>377</v>
      </c>
      <c r="C6" s="163" t="s">
        <v>379</v>
      </c>
      <c r="D6" s="163" t="s">
        <v>381</v>
      </c>
      <c r="E6" s="169" t="s">
        <v>385</v>
      </c>
    </row>
    <row r="7" spans="1:5" ht="12.75">
      <c r="A7" s="145"/>
      <c r="B7" s="156"/>
      <c r="C7" s="164"/>
      <c r="D7" s="164"/>
      <c r="E7" s="170"/>
    </row>
    <row r="8" spans="1:5" ht="12.75">
      <c r="A8" s="146" t="s">
        <v>4</v>
      </c>
      <c r="B8" s="157">
        <v>1288320</v>
      </c>
      <c r="C8" s="165">
        <v>0</v>
      </c>
      <c r="D8" s="165">
        <v>0</v>
      </c>
      <c r="E8" s="171">
        <f>SUM(B8:D8)</f>
        <v>1288320</v>
      </c>
    </row>
    <row r="9" spans="1:5" ht="12.75">
      <c r="A9" s="146" t="s">
        <v>5</v>
      </c>
      <c r="B9" s="157">
        <v>822364</v>
      </c>
      <c r="C9" s="165">
        <v>1927962</v>
      </c>
      <c r="D9" s="165">
        <v>806812</v>
      </c>
      <c r="E9" s="171">
        <f aca="true" t="shared" si="0" ref="E9:E58">SUM(B9:D9)</f>
        <v>3557138</v>
      </c>
    </row>
    <row r="10" spans="1:5" ht="12.75">
      <c r="A10" s="146" t="s">
        <v>6</v>
      </c>
      <c r="B10" s="157">
        <v>623047</v>
      </c>
      <c r="C10" s="165">
        <v>0</v>
      </c>
      <c r="D10" s="165">
        <v>0</v>
      </c>
      <c r="E10" s="171">
        <f t="shared" si="0"/>
        <v>623047</v>
      </c>
    </row>
    <row r="11" spans="1:5" ht="12.75">
      <c r="A11" s="146" t="s">
        <v>7</v>
      </c>
      <c r="B11" s="157">
        <v>983049</v>
      </c>
      <c r="C11" s="165">
        <v>0</v>
      </c>
      <c r="D11" s="165">
        <v>0</v>
      </c>
      <c r="E11" s="171">
        <f t="shared" si="0"/>
        <v>983049</v>
      </c>
    </row>
    <row r="12" spans="1:5" ht="12.75">
      <c r="A12" s="146" t="s">
        <v>8</v>
      </c>
      <c r="B12" s="157">
        <v>6911464</v>
      </c>
      <c r="C12" s="165">
        <v>0</v>
      </c>
      <c r="D12" s="165">
        <v>0</v>
      </c>
      <c r="E12" s="171">
        <f t="shared" si="0"/>
        <v>6911464</v>
      </c>
    </row>
    <row r="13" spans="1:5" ht="12.75">
      <c r="A13" s="146" t="s">
        <v>9</v>
      </c>
      <c r="B13" s="157">
        <v>2409812</v>
      </c>
      <c r="C13" s="165">
        <v>5649600</v>
      </c>
      <c r="D13" s="165">
        <v>0</v>
      </c>
      <c r="E13" s="171">
        <f t="shared" si="0"/>
        <v>8059412</v>
      </c>
    </row>
    <row r="14" spans="1:5" ht="12.75">
      <c r="A14" s="146" t="s">
        <v>10</v>
      </c>
      <c r="B14" s="157">
        <v>3143685</v>
      </c>
      <c r="C14" s="165">
        <v>7370103</v>
      </c>
      <c r="D14" s="165">
        <v>3084236</v>
      </c>
      <c r="E14" s="171">
        <f t="shared" si="0"/>
        <v>13598024</v>
      </c>
    </row>
    <row r="15" spans="1:5" ht="12.75">
      <c r="A15" s="146" t="s">
        <v>11</v>
      </c>
      <c r="B15" s="157">
        <v>417264</v>
      </c>
      <c r="C15" s="165">
        <v>0</v>
      </c>
      <c r="D15" s="165">
        <v>409374</v>
      </c>
      <c r="E15" s="171">
        <f t="shared" si="0"/>
        <v>826638</v>
      </c>
    </row>
    <row r="16" spans="1:5" ht="12.75">
      <c r="A16" s="146" t="s">
        <v>12</v>
      </c>
      <c r="B16" s="157">
        <v>488219</v>
      </c>
      <c r="C16" s="165">
        <v>0</v>
      </c>
      <c r="D16" s="165">
        <v>0</v>
      </c>
      <c r="E16" s="171">
        <f t="shared" si="0"/>
        <v>488219</v>
      </c>
    </row>
    <row r="17" spans="1:5" ht="12.75">
      <c r="A17" s="146" t="s">
        <v>13</v>
      </c>
      <c r="B17" s="157">
        <v>2038508</v>
      </c>
      <c r="C17" s="165">
        <v>0</v>
      </c>
      <c r="D17" s="165">
        <v>0</v>
      </c>
      <c r="E17" s="171">
        <f t="shared" si="0"/>
        <v>2038508</v>
      </c>
    </row>
    <row r="18" spans="1:5" ht="12.75">
      <c r="A18" s="146" t="s">
        <v>14</v>
      </c>
      <c r="B18" s="157">
        <v>1611753</v>
      </c>
      <c r="C18" s="165">
        <v>0</v>
      </c>
      <c r="D18" s="165">
        <v>0</v>
      </c>
      <c r="E18" s="171">
        <f t="shared" si="0"/>
        <v>1611753</v>
      </c>
    </row>
    <row r="19" spans="1:5" ht="12.75">
      <c r="A19" s="146" t="s">
        <v>15</v>
      </c>
      <c r="B19" s="157">
        <v>162313</v>
      </c>
      <c r="C19" s="165">
        <v>0</v>
      </c>
      <c r="D19" s="165">
        <v>0</v>
      </c>
      <c r="E19" s="171">
        <f>SUM(B19:D19)</f>
        <v>162313</v>
      </c>
    </row>
    <row r="20" spans="1:5" ht="12.75">
      <c r="A20" s="146" t="s">
        <v>16</v>
      </c>
      <c r="B20" s="157">
        <v>939987</v>
      </c>
      <c r="C20" s="165">
        <v>0</v>
      </c>
      <c r="D20" s="165">
        <v>0</v>
      </c>
      <c r="E20" s="171">
        <f t="shared" si="0"/>
        <v>939987</v>
      </c>
    </row>
    <row r="21" spans="1:5" ht="12.75">
      <c r="A21" s="146" t="s">
        <v>17</v>
      </c>
      <c r="B21" s="157">
        <v>8701177</v>
      </c>
      <c r="C21" s="165">
        <v>20399173</v>
      </c>
      <c r="D21" s="165">
        <v>0</v>
      </c>
      <c r="E21" s="171">
        <f t="shared" si="0"/>
        <v>29100350</v>
      </c>
    </row>
    <row r="22" spans="1:5" ht="12.75">
      <c r="A22" s="146" t="s">
        <v>18</v>
      </c>
      <c r="B22" s="157">
        <v>3939648</v>
      </c>
      <c r="C22" s="165">
        <v>9236172</v>
      </c>
      <c r="D22" s="165">
        <v>0</v>
      </c>
      <c r="E22" s="171">
        <f t="shared" si="0"/>
        <v>13175820</v>
      </c>
    </row>
    <row r="23" spans="1:5" ht="12.75">
      <c r="A23" s="146" t="s">
        <v>19</v>
      </c>
      <c r="B23" s="157">
        <v>2792082</v>
      </c>
      <c r="C23" s="165">
        <v>6545799</v>
      </c>
      <c r="D23" s="165">
        <v>0</v>
      </c>
      <c r="E23" s="171">
        <f t="shared" si="0"/>
        <v>9337881</v>
      </c>
    </row>
    <row r="24" spans="1:5" ht="12.75">
      <c r="A24" s="146" t="s">
        <v>20</v>
      </c>
      <c r="B24" s="157">
        <v>1282249</v>
      </c>
      <c r="C24" s="165">
        <v>3006125</v>
      </c>
      <c r="D24" s="165">
        <v>0</v>
      </c>
      <c r="E24" s="171">
        <f t="shared" si="0"/>
        <v>4288374</v>
      </c>
    </row>
    <row r="25" spans="1:5" ht="12.75">
      <c r="A25" s="146" t="s">
        <v>21</v>
      </c>
      <c r="B25" s="157">
        <v>2050180</v>
      </c>
      <c r="C25" s="165">
        <v>0</v>
      </c>
      <c r="D25" s="165">
        <v>0</v>
      </c>
      <c r="E25" s="171">
        <f t="shared" si="0"/>
        <v>2050180</v>
      </c>
    </row>
    <row r="26" spans="1:5" ht="12.75">
      <c r="A26" s="146" t="s">
        <v>22</v>
      </c>
      <c r="B26" s="157">
        <v>1317110</v>
      </c>
      <c r="C26" s="165">
        <v>0</v>
      </c>
      <c r="D26" s="165">
        <v>0</v>
      </c>
      <c r="E26" s="171">
        <f t="shared" si="0"/>
        <v>1317110</v>
      </c>
    </row>
    <row r="27" spans="1:5" ht="12.75">
      <c r="A27" s="146" t="s">
        <v>23</v>
      </c>
      <c r="B27" s="157">
        <v>2036607</v>
      </c>
      <c r="C27" s="165">
        <v>4774652</v>
      </c>
      <c r="D27" s="165">
        <v>1998093</v>
      </c>
      <c r="E27" s="171">
        <f t="shared" si="0"/>
        <v>8809352</v>
      </c>
    </row>
    <row r="28" spans="1:5" ht="12.75">
      <c r="A28" s="146" t="s">
        <v>24</v>
      </c>
      <c r="B28" s="157">
        <v>2407080</v>
      </c>
      <c r="C28" s="165">
        <v>0</v>
      </c>
      <c r="D28" s="165">
        <v>0</v>
      </c>
      <c r="E28" s="171">
        <f t="shared" si="0"/>
        <v>2407080</v>
      </c>
    </row>
    <row r="29" spans="1:5" ht="12.75">
      <c r="A29" s="146" t="s">
        <v>25</v>
      </c>
      <c r="B29" s="157">
        <v>6288411</v>
      </c>
      <c r="C29" s="165">
        <v>14742647</v>
      </c>
      <c r="D29" s="165">
        <v>6169493</v>
      </c>
      <c r="E29" s="171">
        <f t="shared" si="0"/>
        <v>27200551</v>
      </c>
    </row>
    <row r="30" spans="1:5" ht="12.75">
      <c r="A30" s="146" t="s">
        <v>26</v>
      </c>
      <c r="B30" s="157">
        <v>8261005</v>
      </c>
      <c r="C30" s="165">
        <v>19367226</v>
      </c>
      <c r="D30" s="165">
        <v>0</v>
      </c>
      <c r="E30" s="171">
        <f t="shared" si="0"/>
        <v>27628231</v>
      </c>
    </row>
    <row r="31" spans="1:5" ht="12.75">
      <c r="A31" s="146" t="s">
        <v>27</v>
      </c>
      <c r="B31" s="157">
        <v>5951586</v>
      </c>
      <c r="C31" s="165">
        <v>13952991</v>
      </c>
      <c r="D31" s="165">
        <v>0</v>
      </c>
      <c r="E31" s="171">
        <f t="shared" si="0"/>
        <v>19904577</v>
      </c>
    </row>
    <row r="32" spans="1:5" ht="12.75">
      <c r="A32" s="146" t="s">
        <v>28</v>
      </c>
      <c r="B32" s="157">
        <v>1104535</v>
      </c>
      <c r="C32" s="165">
        <v>0</v>
      </c>
      <c r="D32" s="165">
        <v>0</v>
      </c>
      <c r="E32" s="171">
        <f t="shared" si="0"/>
        <v>1104535</v>
      </c>
    </row>
    <row r="33" spans="1:5" ht="12.75">
      <c r="A33" s="146" t="s">
        <v>29</v>
      </c>
      <c r="B33" s="157">
        <v>3475590</v>
      </c>
      <c r="C33" s="165">
        <v>8148226</v>
      </c>
      <c r="D33" s="165">
        <v>0</v>
      </c>
      <c r="E33" s="171">
        <f t="shared" si="0"/>
        <v>11623816</v>
      </c>
    </row>
    <row r="34" spans="1:5" ht="12.75">
      <c r="A34" s="146" t="s">
        <v>30</v>
      </c>
      <c r="B34" s="157">
        <v>1102545</v>
      </c>
      <c r="C34" s="165">
        <v>2584824</v>
      </c>
      <c r="D34" s="165">
        <v>0</v>
      </c>
      <c r="E34" s="171">
        <f t="shared" si="0"/>
        <v>3687369</v>
      </c>
    </row>
    <row r="35" spans="1:5" ht="12.75">
      <c r="A35" s="146" t="s">
        <v>31</v>
      </c>
      <c r="B35" s="157">
        <v>1380791</v>
      </c>
      <c r="C35" s="165">
        <v>3237149</v>
      </c>
      <c r="D35" s="165">
        <v>0</v>
      </c>
      <c r="E35" s="171">
        <f t="shared" si="0"/>
        <v>4617940</v>
      </c>
    </row>
    <row r="36" spans="1:5" ht="12.75">
      <c r="A36" s="146" t="s">
        <v>32</v>
      </c>
      <c r="B36" s="157">
        <v>292627</v>
      </c>
      <c r="C36" s="165">
        <v>0</v>
      </c>
      <c r="D36" s="165">
        <v>0</v>
      </c>
      <c r="E36" s="171">
        <f t="shared" si="0"/>
        <v>292627</v>
      </c>
    </row>
    <row r="37" spans="1:5" ht="12.75">
      <c r="A37" s="146" t="s">
        <v>33</v>
      </c>
      <c r="B37" s="157">
        <v>1190268</v>
      </c>
      <c r="C37" s="165">
        <v>2790482</v>
      </c>
      <c r="D37" s="165">
        <v>1167759</v>
      </c>
      <c r="E37" s="171">
        <f t="shared" si="0"/>
        <v>5148509</v>
      </c>
    </row>
    <row r="38" spans="1:5" ht="12.75">
      <c r="A38" s="146" t="s">
        <v>34</v>
      </c>
      <c r="B38" s="157">
        <v>5837811</v>
      </c>
      <c r="C38" s="165">
        <v>13686255</v>
      </c>
      <c r="D38" s="165">
        <v>5727415</v>
      </c>
      <c r="E38" s="171">
        <f t="shared" si="0"/>
        <v>25251481</v>
      </c>
    </row>
    <row r="39" spans="1:5" ht="12.75">
      <c r="A39" s="146" t="s">
        <v>35</v>
      </c>
      <c r="B39" s="157">
        <v>780012</v>
      </c>
      <c r="C39" s="165">
        <v>0</v>
      </c>
      <c r="D39" s="165">
        <v>0</v>
      </c>
      <c r="E39" s="171">
        <f t="shared" si="0"/>
        <v>780012</v>
      </c>
    </row>
    <row r="40" spans="1:5" ht="12.75">
      <c r="A40" s="146" t="s">
        <v>36</v>
      </c>
      <c r="B40" s="157">
        <v>19061337</v>
      </c>
      <c r="C40" s="165">
        <v>44687692</v>
      </c>
      <c r="D40" s="165">
        <v>18700877</v>
      </c>
      <c r="E40" s="171">
        <f t="shared" si="0"/>
        <v>82449906</v>
      </c>
    </row>
    <row r="41" spans="1:5" ht="12.75">
      <c r="A41" s="146" t="s">
        <v>37</v>
      </c>
      <c r="B41" s="157">
        <v>2840718</v>
      </c>
      <c r="C41" s="165">
        <v>0</v>
      </c>
      <c r="D41" s="165">
        <v>0</v>
      </c>
      <c r="E41" s="171">
        <f t="shared" si="0"/>
        <v>2840718</v>
      </c>
    </row>
    <row r="42" spans="1:5" ht="12.75">
      <c r="A42" s="146" t="s">
        <v>38</v>
      </c>
      <c r="B42" s="157">
        <v>1197698</v>
      </c>
      <c r="C42" s="165">
        <v>2807901</v>
      </c>
      <c r="D42" s="165">
        <v>0</v>
      </c>
      <c r="E42" s="171">
        <f t="shared" si="0"/>
        <v>4005599</v>
      </c>
    </row>
    <row r="43" spans="1:5" ht="12.75">
      <c r="A43" s="146" t="s">
        <v>39</v>
      </c>
      <c r="B43" s="157">
        <v>7697491</v>
      </c>
      <c r="C43" s="165">
        <v>18046117</v>
      </c>
      <c r="D43" s="165">
        <v>0</v>
      </c>
      <c r="E43" s="171">
        <f t="shared" si="0"/>
        <v>25743608</v>
      </c>
    </row>
    <row r="44" spans="1:5" ht="12.75">
      <c r="A44" s="146" t="s">
        <v>40</v>
      </c>
      <c r="B44" s="157">
        <v>1184231</v>
      </c>
      <c r="C44" s="165">
        <v>0</v>
      </c>
      <c r="D44" s="165">
        <v>0</v>
      </c>
      <c r="E44" s="171">
        <f t="shared" si="0"/>
        <v>1184231</v>
      </c>
    </row>
    <row r="45" spans="1:5" ht="12.75">
      <c r="A45" s="146" t="s">
        <v>41</v>
      </c>
      <c r="B45" s="157">
        <v>1867706</v>
      </c>
      <c r="C45" s="165">
        <v>0</v>
      </c>
      <c r="D45" s="165">
        <v>0</v>
      </c>
      <c r="E45" s="171">
        <f t="shared" si="0"/>
        <v>1867706</v>
      </c>
    </row>
    <row r="46" spans="1:5" ht="12.75">
      <c r="A46" s="146" t="s">
        <v>42</v>
      </c>
      <c r="B46" s="157">
        <v>10238750</v>
      </c>
      <c r="C46" s="165">
        <v>24003883</v>
      </c>
      <c r="D46" s="165">
        <v>10045130</v>
      </c>
      <c r="E46" s="171">
        <f t="shared" si="0"/>
        <v>44287763</v>
      </c>
    </row>
    <row r="47" spans="1:5" ht="12.75">
      <c r="A47" s="146" t="s">
        <v>43</v>
      </c>
      <c r="B47" s="157">
        <v>1035108</v>
      </c>
      <c r="C47" s="165">
        <v>2426724</v>
      </c>
      <c r="D47" s="165">
        <v>1015534</v>
      </c>
      <c r="E47" s="171">
        <f t="shared" si="0"/>
        <v>4477366</v>
      </c>
    </row>
    <row r="48" spans="1:5" ht="12.75">
      <c r="A48" s="146" t="s">
        <v>44</v>
      </c>
      <c r="B48" s="157">
        <v>1023189</v>
      </c>
      <c r="C48" s="165">
        <v>0</v>
      </c>
      <c r="D48" s="165">
        <v>0</v>
      </c>
      <c r="E48" s="171">
        <f t="shared" si="0"/>
        <v>1023189</v>
      </c>
    </row>
    <row r="49" spans="1:5" ht="12.75">
      <c r="A49" s="146" t="s">
        <v>45</v>
      </c>
      <c r="B49" s="157">
        <v>972740</v>
      </c>
      <c r="C49" s="165">
        <v>2280507</v>
      </c>
      <c r="D49" s="165">
        <v>0</v>
      </c>
      <c r="E49" s="171">
        <f t="shared" si="0"/>
        <v>3253247</v>
      </c>
    </row>
    <row r="50" spans="1:5" ht="12.75">
      <c r="A50" s="146" t="s">
        <v>46</v>
      </c>
      <c r="B50" s="157">
        <v>2076788</v>
      </c>
      <c r="C50" s="165">
        <v>0</v>
      </c>
      <c r="D50" s="165">
        <v>0</v>
      </c>
      <c r="E50" s="171">
        <f t="shared" si="0"/>
        <v>2076788</v>
      </c>
    </row>
    <row r="51" spans="1:5" ht="12.75">
      <c r="A51" s="146" t="s">
        <v>47</v>
      </c>
      <c r="B51" s="157">
        <v>3391396</v>
      </c>
      <c r="C51" s="165">
        <v>0</v>
      </c>
      <c r="D51" s="165">
        <v>0</v>
      </c>
      <c r="E51" s="171">
        <f t="shared" si="0"/>
        <v>3391396</v>
      </c>
    </row>
    <row r="52" spans="1:5" ht="12.75">
      <c r="A52" s="146" t="s">
        <v>48</v>
      </c>
      <c r="B52" s="157">
        <v>1119845</v>
      </c>
      <c r="C52" s="165">
        <v>2625383</v>
      </c>
      <c r="D52" s="165">
        <v>0</v>
      </c>
      <c r="E52" s="171">
        <f t="shared" si="0"/>
        <v>3745228</v>
      </c>
    </row>
    <row r="53" spans="1:5" ht="12.75">
      <c r="A53" s="146" t="s">
        <v>49</v>
      </c>
      <c r="B53" s="157">
        <v>892148</v>
      </c>
      <c r="C53" s="165">
        <v>2091566</v>
      </c>
      <c r="D53" s="165">
        <v>875277</v>
      </c>
      <c r="E53" s="171">
        <f t="shared" si="0"/>
        <v>3858991</v>
      </c>
    </row>
    <row r="54" spans="1:5" ht="12.75">
      <c r="A54" s="146" t="s">
        <v>50</v>
      </c>
      <c r="B54" s="157">
        <v>2932092</v>
      </c>
      <c r="C54" s="165">
        <v>0</v>
      </c>
      <c r="D54" s="165">
        <v>0</v>
      </c>
      <c r="E54" s="171">
        <f t="shared" si="0"/>
        <v>2932092</v>
      </c>
    </row>
    <row r="55" spans="1:5" ht="12.75">
      <c r="A55" s="146" t="s">
        <v>51</v>
      </c>
      <c r="B55" s="157">
        <v>3072119</v>
      </c>
      <c r="C55" s="165">
        <v>0</v>
      </c>
      <c r="D55" s="165">
        <v>0</v>
      </c>
      <c r="E55" s="171">
        <f t="shared" si="0"/>
        <v>3072119</v>
      </c>
    </row>
    <row r="56" spans="1:5" ht="12.75">
      <c r="A56" s="146" t="s">
        <v>52</v>
      </c>
      <c r="B56" s="157">
        <v>1356760</v>
      </c>
      <c r="C56" s="165">
        <v>0</v>
      </c>
      <c r="D56" s="165">
        <v>0</v>
      </c>
      <c r="E56" s="171">
        <f t="shared" si="0"/>
        <v>1356760</v>
      </c>
    </row>
    <row r="57" spans="1:5" ht="12.75">
      <c r="A57" s="146" t="s">
        <v>53</v>
      </c>
      <c r="B57" s="157">
        <v>5357282</v>
      </c>
      <c r="C57" s="165">
        <v>12559695</v>
      </c>
      <c r="D57" s="165">
        <v>0</v>
      </c>
      <c r="E57" s="171">
        <f t="shared" si="0"/>
        <v>17916977</v>
      </c>
    </row>
    <row r="58" spans="1:5" ht="13.5" thickBot="1">
      <c r="A58" s="147" t="s">
        <v>54</v>
      </c>
      <c r="B58" s="157">
        <v>448361</v>
      </c>
      <c r="C58" s="165">
        <v>1051146</v>
      </c>
      <c r="D58" s="165">
        <v>0</v>
      </c>
      <c r="E58" s="171">
        <f t="shared" si="0"/>
        <v>1499507</v>
      </c>
    </row>
    <row r="59" spans="1:5" ht="14.25" thickBot="1" thickTop="1">
      <c r="A59" s="148" t="s">
        <v>56</v>
      </c>
      <c r="B59" s="158">
        <f>SUM(B8:B58)</f>
        <v>149796858</v>
      </c>
      <c r="C59" s="158">
        <f>SUM(C8:C58)</f>
        <v>250000000</v>
      </c>
      <c r="D59" s="158">
        <f>SUM(D8:D58)</f>
        <v>50000000</v>
      </c>
      <c r="E59" s="172">
        <f>SUM(E8:E58)</f>
        <v>449796858</v>
      </c>
    </row>
    <row r="60" spans="1:5" ht="12.75">
      <c r="A60" s="149" t="s">
        <v>57</v>
      </c>
      <c r="B60" s="159">
        <v>203142</v>
      </c>
      <c r="C60" s="166">
        <v>0</v>
      </c>
      <c r="D60" s="166">
        <v>0</v>
      </c>
      <c r="E60" s="159">
        <v>203142</v>
      </c>
    </row>
    <row r="61" spans="1:5" ht="12.75">
      <c r="A61" s="149" t="s">
        <v>374</v>
      </c>
      <c r="B61" s="160">
        <f>B59+B60</f>
        <v>150000000</v>
      </c>
      <c r="C61" s="167"/>
      <c r="D61" s="167"/>
      <c r="E61" s="160">
        <f>E59+E60</f>
        <v>450000000</v>
      </c>
    </row>
  </sheetData>
  <printOptions/>
  <pageMargins left="0.75" right="0.75" top="1" bottom="1" header="0.5" footer="0.5"/>
  <pageSetup fitToHeight="1" fitToWidth="1" horizontalDpi="600" verticalDpi="600" orientation="portrait" scale="74" r:id="rId1"/>
  <headerFooter alignWithMargins="0">
    <oddFooter>&amp;L&amp;"Arial,Regular"'&amp;F' [&amp;A]&amp;C&amp;"Arial,Regular"16-Jan-08&amp;R&amp;"Arial,Regular"&amp;P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142"/>
  <sheetViews>
    <sheetView workbookViewId="0" topLeftCell="A1">
      <selection activeCell="A1" sqref="A1:K1"/>
    </sheetView>
  </sheetViews>
  <sheetFormatPr defaultColWidth="9.33203125" defaultRowHeight="12.75"/>
  <cols>
    <col min="1" max="1" width="28.66015625" style="54" bestFit="1" customWidth="1"/>
    <col min="2" max="2" width="12.5" style="54" customWidth="1"/>
    <col min="3" max="3" width="11.83203125" style="54" bestFit="1" customWidth="1"/>
    <col min="4" max="4" width="20" style="54" bestFit="1" customWidth="1"/>
    <col min="5" max="5" width="10.66015625" style="54" bestFit="1" customWidth="1"/>
    <col min="6" max="6" width="19.5" style="54" bestFit="1" customWidth="1"/>
    <col min="7" max="7" width="11.33203125" style="54" bestFit="1" customWidth="1"/>
    <col min="8" max="8" width="8.83203125" style="54" bestFit="1" customWidth="1"/>
    <col min="9" max="9" width="11.66015625" style="54" bestFit="1" customWidth="1"/>
    <col min="10" max="10" width="9.33203125" style="54" bestFit="1" customWidth="1"/>
    <col min="11" max="11" width="11.5" style="54" bestFit="1" customWidth="1"/>
    <col min="12" max="16384" width="10.66015625" style="54" customWidth="1"/>
  </cols>
  <sheetData>
    <row r="1" spans="1:11" s="48" customFormat="1" ht="31.5" customHeight="1" thickBot="1">
      <c r="A1" s="199" t="s">
        <v>92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s="49" customFormat="1" ht="13.5" thickBot="1">
      <c r="A2" s="192" t="s">
        <v>65</v>
      </c>
      <c r="B2" s="194" t="s">
        <v>66</v>
      </c>
      <c r="C2" s="196" t="s">
        <v>67</v>
      </c>
      <c r="D2" s="197"/>
      <c r="E2" s="197"/>
      <c r="F2" s="197"/>
      <c r="G2" s="197"/>
      <c r="H2" s="197"/>
      <c r="I2" s="197"/>
      <c r="J2" s="197"/>
      <c r="K2" s="198"/>
    </row>
    <row r="3" spans="1:11" s="49" customFormat="1" ht="12" thickBot="1">
      <c r="A3" s="193"/>
      <c r="B3" s="195"/>
      <c r="C3" s="50" t="s">
        <v>68</v>
      </c>
      <c r="D3" s="50" t="s">
        <v>69</v>
      </c>
      <c r="E3" s="50" t="s">
        <v>70</v>
      </c>
      <c r="F3" s="50" t="s">
        <v>71</v>
      </c>
      <c r="G3" s="50" t="s">
        <v>72</v>
      </c>
      <c r="H3" s="50" t="s">
        <v>73</v>
      </c>
      <c r="I3" s="50" t="s">
        <v>74</v>
      </c>
      <c r="J3" s="50" t="s">
        <v>75</v>
      </c>
      <c r="K3" s="50" t="s">
        <v>76</v>
      </c>
    </row>
    <row r="4" spans="1:11" s="49" customFormat="1" ht="12.75">
      <c r="A4" s="51"/>
      <c r="B4" s="52"/>
      <c r="C4" s="53"/>
      <c r="D4" s="53"/>
      <c r="E4" s="53"/>
      <c r="F4" s="53"/>
      <c r="G4" s="53"/>
      <c r="H4" s="53"/>
      <c r="I4" s="53"/>
      <c r="J4" s="53"/>
      <c r="K4" s="53"/>
    </row>
    <row r="5" spans="1:11" ht="12.75">
      <c r="A5" s="54" t="s">
        <v>77</v>
      </c>
      <c r="B5" s="55">
        <v>28048665</v>
      </c>
      <c r="C5" s="55">
        <v>13246035</v>
      </c>
      <c r="D5" s="55">
        <v>2099670</v>
      </c>
      <c r="E5" s="55">
        <v>9135825</v>
      </c>
      <c r="F5" s="55">
        <v>2477075</v>
      </c>
      <c r="G5" s="55">
        <v>52030</v>
      </c>
      <c r="H5" s="55">
        <v>550830</v>
      </c>
      <c r="I5" s="55">
        <v>16440</v>
      </c>
      <c r="J5" s="55">
        <v>163315</v>
      </c>
      <c r="K5" s="55">
        <v>307445</v>
      </c>
    </row>
    <row r="6" spans="1:11" ht="12.75">
      <c r="A6" s="54" t="s">
        <v>78</v>
      </c>
      <c r="B6" s="55">
        <v>5648225</v>
      </c>
      <c r="C6" s="55">
        <v>2767115</v>
      </c>
      <c r="D6" s="55">
        <v>209295</v>
      </c>
      <c r="E6" s="55">
        <v>816470</v>
      </c>
      <c r="F6" s="55">
        <v>1671345</v>
      </c>
      <c r="G6" s="55">
        <v>22640</v>
      </c>
      <c r="H6" s="55">
        <v>65305</v>
      </c>
      <c r="I6" s="55">
        <v>1925</v>
      </c>
      <c r="J6" s="55">
        <v>52430</v>
      </c>
      <c r="K6" s="55">
        <v>41700</v>
      </c>
    </row>
    <row r="7" spans="1:11" ht="12.75">
      <c r="A7" s="54" t="s">
        <v>79</v>
      </c>
      <c r="B7" s="55">
        <v>6321115</v>
      </c>
      <c r="C7" s="55">
        <v>4097960</v>
      </c>
      <c r="D7" s="55">
        <v>581885</v>
      </c>
      <c r="E7" s="55">
        <v>1216645</v>
      </c>
      <c r="F7" s="55">
        <v>218660</v>
      </c>
      <c r="G7" s="55">
        <v>4390</v>
      </c>
      <c r="H7" s="55">
        <v>108525</v>
      </c>
      <c r="I7" s="55">
        <v>1420</v>
      </c>
      <c r="J7" s="55">
        <v>56080</v>
      </c>
      <c r="K7" s="55">
        <v>35555</v>
      </c>
    </row>
    <row r="8" spans="1:11" ht="12.75">
      <c r="A8" s="54" t="s">
        <v>80</v>
      </c>
      <c r="B8" s="55">
        <v>10357525</v>
      </c>
      <c r="C8" s="55">
        <v>3343400</v>
      </c>
      <c r="D8" s="55">
        <v>1023215</v>
      </c>
      <c r="E8" s="55">
        <v>5160800</v>
      </c>
      <c r="F8" s="55">
        <v>498305</v>
      </c>
      <c r="G8" s="55">
        <v>20240</v>
      </c>
      <c r="H8" s="55">
        <v>196155</v>
      </c>
      <c r="I8" s="55">
        <v>3640</v>
      </c>
      <c r="J8" s="55">
        <v>26980</v>
      </c>
      <c r="K8" s="55">
        <v>84790</v>
      </c>
    </row>
    <row r="9" spans="1:11" ht="12.75">
      <c r="A9" s="54" t="s">
        <v>81</v>
      </c>
      <c r="B9" s="55">
        <v>5721800</v>
      </c>
      <c r="C9" s="55">
        <v>3037565</v>
      </c>
      <c r="D9" s="55">
        <v>285280</v>
      </c>
      <c r="E9" s="55">
        <v>1941905</v>
      </c>
      <c r="F9" s="55">
        <v>88770</v>
      </c>
      <c r="G9" s="55">
        <v>4760</v>
      </c>
      <c r="H9" s="55">
        <v>180845</v>
      </c>
      <c r="I9" s="55">
        <v>9450</v>
      </c>
      <c r="J9" s="55">
        <v>27825</v>
      </c>
      <c r="K9" s="55">
        <v>145395</v>
      </c>
    </row>
    <row r="10" spans="1:11" ht="12.75">
      <c r="A10" s="54" t="s">
        <v>82</v>
      </c>
      <c r="B10" s="55">
        <v>1453365</v>
      </c>
      <c r="C10" s="55">
        <v>519240</v>
      </c>
      <c r="D10" s="55">
        <v>61555</v>
      </c>
      <c r="E10" s="55">
        <v>239630</v>
      </c>
      <c r="F10" s="55">
        <v>592060</v>
      </c>
      <c r="G10" s="55">
        <v>1185</v>
      </c>
      <c r="H10" s="55">
        <v>23500</v>
      </c>
      <c r="I10" s="55">
        <v>290</v>
      </c>
      <c r="J10" s="55">
        <v>8605</v>
      </c>
      <c r="K10" s="55">
        <v>7295</v>
      </c>
    </row>
    <row r="11" spans="1:11" ht="12.75">
      <c r="A11" s="54" t="s">
        <v>83</v>
      </c>
      <c r="B11" s="55">
        <v>4194865</v>
      </c>
      <c r="C11" s="55">
        <v>2247875</v>
      </c>
      <c r="D11" s="55">
        <v>147740</v>
      </c>
      <c r="E11" s="55">
        <v>576845</v>
      </c>
      <c r="F11" s="55">
        <v>1079285</v>
      </c>
      <c r="G11" s="55">
        <v>21455</v>
      </c>
      <c r="H11" s="55">
        <v>41805</v>
      </c>
      <c r="I11" s="55">
        <v>1635</v>
      </c>
      <c r="J11" s="55">
        <v>43825</v>
      </c>
      <c r="K11" s="55">
        <v>34405</v>
      </c>
    </row>
    <row r="12" spans="1:11" ht="12.75">
      <c r="A12" s="54" t="s">
        <v>84</v>
      </c>
      <c r="B12" s="55">
        <v>4413970</v>
      </c>
      <c r="C12" s="55">
        <v>3032075</v>
      </c>
      <c r="D12" s="55">
        <v>318065</v>
      </c>
      <c r="E12" s="55">
        <v>783975</v>
      </c>
      <c r="F12" s="55">
        <v>152675</v>
      </c>
      <c r="G12" s="55">
        <v>3315</v>
      </c>
      <c r="H12" s="55">
        <v>58900</v>
      </c>
      <c r="I12" s="55">
        <v>1000</v>
      </c>
      <c r="J12" s="55">
        <v>38030</v>
      </c>
      <c r="K12" s="55">
        <v>25925</v>
      </c>
    </row>
    <row r="13" spans="1:11" ht="12.75">
      <c r="A13" s="54" t="s">
        <v>85</v>
      </c>
      <c r="B13" s="55">
        <v>1907145</v>
      </c>
      <c r="C13" s="55">
        <v>1065885</v>
      </c>
      <c r="D13" s="55">
        <v>263820</v>
      </c>
      <c r="E13" s="55">
        <v>432670</v>
      </c>
      <c r="F13" s="55">
        <v>65980</v>
      </c>
      <c r="G13" s="55">
        <v>1075</v>
      </c>
      <c r="H13" s="55">
        <v>49620</v>
      </c>
      <c r="I13" s="55">
        <v>420</v>
      </c>
      <c r="J13" s="55">
        <v>18050</v>
      </c>
      <c r="K13" s="55">
        <v>9630</v>
      </c>
    </row>
    <row r="14" spans="1:11" ht="12.75">
      <c r="A14" s="54" t="s">
        <v>86</v>
      </c>
      <c r="B14" s="55">
        <v>5216235</v>
      </c>
      <c r="C14" s="55">
        <v>1257555</v>
      </c>
      <c r="D14" s="55">
        <v>452135</v>
      </c>
      <c r="E14" s="55">
        <v>2874715</v>
      </c>
      <c r="F14" s="55">
        <v>450150</v>
      </c>
      <c r="G14" s="55">
        <v>9465</v>
      </c>
      <c r="H14" s="55">
        <v>98490</v>
      </c>
      <c r="I14" s="55">
        <v>2080</v>
      </c>
      <c r="J14" s="55">
        <v>15135</v>
      </c>
      <c r="K14" s="55">
        <v>56520</v>
      </c>
    </row>
    <row r="15" spans="1:11" ht="12.75">
      <c r="A15" s="54" t="s">
        <v>87</v>
      </c>
      <c r="B15" s="55">
        <v>1973600</v>
      </c>
      <c r="C15" s="55">
        <v>675390</v>
      </c>
      <c r="D15" s="55">
        <v>273790</v>
      </c>
      <c r="E15" s="55">
        <v>898905</v>
      </c>
      <c r="F15" s="55">
        <v>43880</v>
      </c>
      <c r="G15" s="55">
        <v>10525</v>
      </c>
      <c r="H15" s="55">
        <v>59120</v>
      </c>
      <c r="I15" s="55">
        <v>355</v>
      </c>
      <c r="J15" s="55">
        <v>4370</v>
      </c>
      <c r="K15" s="55">
        <v>7265</v>
      </c>
    </row>
    <row r="16" spans="1:11" ht="12.75">
      <c r="A16" s="54" t="s">
        <v>88</v>
      </c>
      <c r="B16" s="55">
        <v>3167690</v>
      </c>
      <c r="C16" s="55">
        <v>1410455</v>
      </c>
      <c r="D16" s="55">
        <v>297290</v>
      </c>
      <c r="E16" s="55">
        <v>1387185</v>
      </c>
      <c r="F16" s="55">
        <v>4275</v>
      </c>
      <c r="G16" s="55">
        <v>250</v>
      </c>
      <c r="H16" s="55">
        <v>38545</v>
      </c>
      <c r="I16" s="55">
        <v>1210</v>
      </c>
      <c r="J16" s="55">
        <v>7475</v>
      </c>
      <c r="K16" s="55">
        <v>21005</v>
      </c>
    </row>
    <row r="17" spans="1:11" ht="12.75">
      <c r="A17" s="54" t="s">
        <v>89</v>
      </c>
      <c r="B17" s="55">
        <v>1585795</v>
      </c>
      <c r="C17" s="55">
        <v>839475</v>
      </c>
      <c r="D17" s="55">
        <v>130065</v>
      </c>
      <c r="E17" s="55">
        <v>511100</v>
      </c>
      <c r="F17" s="55">
        <v>14930</v>
      </c>
      <c r="G17" s="55">
        <v>3845</v>
      </c>
      <c r="H17" s="55">
        <v>65790</v>
      </c>
      <c r="I17" s="55">
        <v>1305</v>
      </c>
      <c r="J17" s="55">
        <v>10030</v>
      </c>
      <c r="K17" s="55">
        <v>9255</v>
      </c>
    </row>
    <row r="18" spans="1:11" ht="12.75">
      <c r="A18" s="54" t="s">
        <v>90</v>
      </c>
      <c r="B18" s="55">
        <v>4136005</v>
      </c>
      <c r="C18" s="55">
        <v>2198090</v>
      </c>
      <c r="D18" s="55">
        <v>155210</v>
      </c>
      <c r="E18" s="55">
        <v>1430805</v>
      </c>
      <c r="F18" s="55">
        <v>73835</v>
      </c>
      <c r="G18" s="55">
        <v>915</v>
      </c>
      <c r="H18" s="55">
        <v>115060</v>
      </c>
      <c r="I18" s="55">
        <v>8150</v>
      </c>
      <c r="J18" s="55">
        <v>17795</v>
      </c>
      <c r="K18" s="55">
        <v>136140</v>
      </c>
    </row>
    <row r="19" spans="2:11" ht="12.75"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12.75">
      <c r="A20" s="54" t="s">
        <v>4</v>
      </c>
      <c r="B20" s="55">
        <v>551965</v>
      </c>
      <c r="C20" s="55">
        <v>202990</v>
      </c>
      <c r="D20" s="55">
        <v>97295</v>
      </c>
      <c r="E20" s="55">
        <v>236090</v>
      </c>
      <c r="F20" s="55">
        <v>3940</v>
      </c>
      <c r="G20" s="55">
        <v>260</v>
      </c>
      <c r="H20" s="55">
        <v>8620</v>
      </c>
      <c r="I20" s="55">
        <v>65</v>
      </c>
      <c r="J20" s="55">
        <v>815</v>
      </c>
      <c r="K20" s="55">
        <v>1895</v>
      </c>
    </row>
    <row r="21" spans="1:11" ht="12.75">
      <c r="A21" s="54" t="s">
        <v>5</v>
      </c>
      <c r="B21" s="55">
        <v>49270</v>
      </c>
      <c r="C21" s="55">
        <v>16565</v>
      </c>
      <c r="D21" s="55">
        <v>1315</v>
      </c>
      <c r="E21" s="55">
        <v>7580</v>
      </c>
      <c r="F21" s="55">
        <v>18570</v>
      </c>
      <c r="G21" s="55">
        <v>365</v>
      </c>
      <c r="H21" s="55">
        <v>3465</v>
      </c>
      <c r="I21" s="55">
        <v>25</v>
      </c>
      <c r="J21" s="55">
        <v>915</v>
      </c>
      <c r="K21" s="55">
        <v>465</v>
      </c>
    </row>
    <row r="22" spans="1:11" ht="12.75">
      <c r="A22" s="54" t="s">
        <v>6</v>
      </c>
      <c r="B22" s="55">
        <v>439345</v>
      </c>
      <c r="C22" s="55">
        <v>162545</v>
      </c>
      <c r="D22" s="55">
        <v>31550</v>
      </c>
      <c r="E22" s="55">
        <v>218400</v>
      </c>
      <c r="F22" s="55">
        <v>605</v>
      </c>
      <c r="G22" s="55">
        <v>660</v>
      </c>
      <c r="H22" s="55">
        <v>19550</v>
      </c>
      <c r="I22" s="55">
        <v>370</v>
      </c>
      <c r="J22" s="55">
        <v>795</v>
      </c>
      <c r="K22" s="55">
        <v>4870</v>
      </c>
    </row>
    <row r="23" spans="1:11" ht="12.75">
      <c r="A23" s="54" t="s">
        <v>7</v>
      </c>
      <c r="B23" s="55">
        <v>275395</v>
      </c>
      <c r="C23" s="55">
        <v>126790</v>
      </c>
      <c r="D23" s="55">
        <v>44565</v>
      </c>
      <c r="E23" s="55">
        <v>87490</v>
      </c>
      <c r="F23" s="55">
        <v>430</v>
      </c>
      <c r="G23" s="55">
        <v>20</v>
      </c>
      <c r="H23" s="55">
        <v>14520</v>
      </c>
      <c r="I23" s="55">
        <v>120</v>
      </c>
      <c r="J23" s="55">
        <v>710</v>
      </c>
      <c r="K23" s="55">
        <v>760</v>
      </c>
    </row>
    <row r="24" spans="1:11" ht="12.75">
      <c r="A24" s="54" t="s">
        <v>8</v>
      </c>
      <c r="B24" s="55">
        <v>3084760</v>
      </c>
      <c r="C24" s="55">
        <v>1988975</v>
      </c>
      <c r="D24" s="55">
        <v>127755</v>
      </c>
      <c r="E24" s="55">
        <v>793615</v>
      </c>
      <c r="F24" s="55">
        <v>10940</v>
      </c>
      <c r="G24" s="55">
        <v>315</v>
      </c>
      <c r="H24" s="55">
        <v>55120</v>
      </c>
      <c r="I24" s="55">
        <v>6810</v>
      </c>
      <c r="J24" s="55">
        <v>9755</v>
      </c>
      <c r="K24" s="55">
        <v>91475</v>
      </c>
    </row>
    <row r="25" spans="1:11" ht="12.75">
      <c r="A25" s="54" t="s">
        <v>9</v>
      </c>
      <c r="B25" s="55">
        <v>392125</v>
      </c>
      <c r="C25" s="55">
        <v>264430</v>
      </c>
      <c r="D25" s="55">
        <v>27465</v>
      </c>
      <c r="E25" s="55">
        <v>84850</v>
      </c>
      <c r="F25" s="55">
        <v>715</v>
      </c>
      <c r="G25" s="55">
        <v>725</v>
      </c>
      <c r="H25" s="55">
        <v>7105</v>
      </c>
      <c r="I25" s="55">
        <v>350</v>
      </c>
      <c r="J25" s="55">
        <v>4590</v>
      </c>
      <c r="K25" s="55">
        <v>1900</v>
      </c>
    </row>
    <row r="26" spans="1:11" ht="12.75">
      <c r="A26" s="54" t="s">
        <v>10</v>
      </c>
      <c r="B26" s="55">
        <v>364175</v>
      </c>
      <c r="C26" s="55">
        <v>122775</v>
      </c>
      <c r="D26" s="55">
        <v>11270</v>
      </c>
      <c r="E26" s="55">
        <v>71840</v>
      </c>
      <c r="F26" s="55">
        <v>152410</v>
      </c>
      <c r="G26" s="55">
        <v>260</v>
      </c>
      <c r="H26" s="55">
        <v>2245</v>
      </c>
      <c r="I26" s="55">
        <v>75</v>
      </c>
      <c r="J26" s="55">
        <v>1890</v>
      </c>
      <c r="K26" s="55">
        <v>1410</v>
      </c>
    </row>
    <row r="27" spans="1:11" ht="12.75">
      <c r="A27" s="54" t="s">
        <v>11</v>
      </c>
      <c r="B27" s="55">
        <v>78935</v>
      </c>
      <c r="C27" s="55">
        <v>24465</v>
      </c>
      <c r="D27" s="55">
        <v>8525</v>
      </c>
      <c r="E27" s="55">
        <v>22490</v>
      </c>
      <c r="F27" s="55">
        <v>22190</v>
      </c>
      <c r="G27" s="55">
        <v>105</v>
      </c>
      <c r="H27" s="55">
        <v>600</v>
      </c>
      <c r="I27" s="55">
        <v>30</v>
      </c>
      <c r="J27" s="55">
        <v>340</v>
      </c>
      <c r="K27" s="55">
        <v>190</v>
      </c>
    </row>
    <row r="28" spans="1:11" ht="12.75">
      <c r="A28" s="54" t="s">
        <v>12</v>
      </c>
      <c r="B28" s="55">
        <v>74520</v>
      </c>
      <c r="C28" s="55">
        <v>45120</v>
      </c>
      <c r="D28" s="55">
        <v>1735</v>
      </c>
      <c r="E28" s="55">
        <v>21100</v>
      </c>
      <c r="F28" s="55">
        <v>4500</v>
      </c>
      <c r="G28" s="55">
        <v>25</v>
      </c>
      <c r="H28" s="55">
        <v>45</v>
      </c>
      <c r="I28" s="55">
        <v>35</v>
      </c>
      <c r="J28" s="55">
        <v>620</v>
      </c>
      <c r="K28" s="55">
        <v>1340</v>
      </c>
    </row>
    <row r="29" spans="1:11" ht="12.75">
      <c r="A29" s="54" t="s">
        <v>13</v>
      </c>
      <c r="B29" s="55">
        <v>1603440</v>
      </c>
      <c r="C29" s="55">
        <v>103615</v>
      </c>
      <c r="D29" s="55">
        <v>89595</v>
      </c>
      <c r="E29" s="55">
        <v>1339160</v>
      </c>
      <c r="F29" s="55">
        <v>22765</v>
      </c>
      <c r="G29" s="55">
        <v>105</v>
      </c>
      <c r="H29" s="55">
        <v>5550</v>
      </c>
      <c r="I29" s="55">
        <v>720</v>
      </c>
      <c r="J29" s="55">
        <v>1870</v>
      </c>
      <c r="K29" s="55">
        <v>40055</v>
      </c>
    </row>
    <row r="30" spans="1:11" ht="12.75">
      <c r="A30" s="54" t="s">
        <v>14</v>
      </c>
      <c r="B30" s="55">
        <v>786340</v>
      </c>
      <c r="C30" s="55">
        <v>320440</v>
      </c>
      <c r="D30" s="55">
        <v>118870</v>
      </c>
      <c r="E30" s="55">
        <v>321860</v>
      </c>
      <c r="F30" s="55">
        <v>8705</v>
      </c>
      <c r="G30" s="55">
        <v>80</v>
      </c>
      <c r="H30" s="55">
        <v>10980</v>
      </c>
      <c r="I30" s="55">
        <v>370</v>
      </c>
      <c r="J30" s="55">
        <v>1100</v>
      </c>
      <c r="K30" s="55">
        <v>3935</v>
      </c>
    </row>
    <row r="31" spans="1:11" ht="12.75">
      <c r="A31" s="54" t="s">
        <v>15</v>
      </c>
      <c r="B31" s="55">
        <v>100410</v>
      </c>
      <c r="C31" s="55">
        <v>4080</v>
      </c>
      <c r="D31" s="55">
        <v>3595</v>
      </c>
      <c r="E31" s="55">
        <v>49850</v>
      </c>
      <c r="F31" s="55">
        <v>165</v>
      </c>
      <c r="G31" s="55">
        <v>10</v>
      </c>
      <c r="H31" s="55">
        <v>480</v>
      </c>
      <c r="I31" s="55">
        <v>1115</v>
      </c>
      <c r="J31" s="55">
        <v>100</v>
      </c>
      <c r="K31" s="55">
        <v>41020</v>
      </c>
    </row>
    <row r="32" spans="1:11" ht="12.75">
      <c r="A32" s="54" t="s">
        <v>16</v>
      </c>
      <c r="B32" s="55">
        <v>112855</v>
      </c>
      <c r="C32" s="55">
        <v>38305</v>
      </c>
      <c r="D32" s="55">
        <v>6795</v>
      </c>
      <c r="E32" s="55">
        <v>49630</v>
      </c>
      <c r="F32" s="55">
        <v>6620</v>
      </c>
      <c r="G32" s="55">
        <v>455</v>
      </c>
      <c r="H32" s="55">
        <v>9795</v>
      </c>
      <c r="I32" s="55">
        <v>25</v>
      </c>
      <c r="J32" s="55">
        <v>820</v>
      </c>
      <c r="K32" s="55">
        <v>415</v>
      </c>
    </row>
    <row r="33" spans="1:11" ht="12.75">
      <c r="A33" s="54" t="s">
        <v>17</v>
      </c>
      <c r="B33" s="55">
        <v>1172320</v>
      </c>
      <c r="C33" s="55">
        <v>879370</v>
      </c>
      <c r="D33" s="55">
        <v>60885</v>
      </c>
      <c r="E33" s="55">
        <v>197910</v>
      </c>
      <c r="F33" s="55">
        <v>8215</v>
      </c>
      <c r="G33" s="55">
        <v>400</v>
      </c>
      <c r="H33" s="55">
        <v>4995</v>
      </c>
      <c r="I33" s="55">
        <v>310</v>
      </c>
      <c r="J33" s="55">
        <v>9755</v>
      </c>
      <c r="K33" s="55">
        <v>10475</v>
      </c>
    </row>
    <row r="34" spans="1:11" ht="12.75">
      <c r="A34" s="54" t="s">
        <v>18</v>
      </c>
      <c r="B34" s="55">
        <v>573840</v>
      </c>
      <c r="C34" s="55">
        <v>354285</v>
      </c>
      <c r="D34" s="55">
        <v>44070</v>
      </c>
      <c r="E34" s="55">
        <v>144180</v>
      </c>
      <c r="F34" s="55">
        <v>16270</v>
      </c>
      <c r="G34" s="55">
        <v>910</v>
      </c>
      <c r="H34" s="55">
        <v>8725</v>
      </c>
      <c r="I34" s="55">
        <v>75</v>
      </c>
      <c r="J34" s="55">
        <v>3130</v>
      </c>
      <c r="K34" s="55">
        <v>2195</v>
      </c>
    </row>
    <row r="35" spans="1:11" ht="12.75">
      <c r="A35" s="54" t="s">
        <v>19</v>
      </c>
      <c r="B35" s="55">
        <v>277130</v>
      </c>
      <c r="C35" s="55">
        <v>170895</v>
      </c>
      <c r="D35" s="55">
        <v>39560</v>
      </c>
      <c r="E35" s="55">
        <v>51995</v>
      </c>
      <c r="F35" s="55">
        <v>6865</v>
      </c>
      <c r="G35" s="55">
        <v>20</v>
      </c>
      <c r="H35" s="55">
        <v>3430</v>
      </c>
      <c r="I35" s="55">
        <v>60</v>
      </c>
      <c r="J35" s="55">
        <v>2750</v>
      </c>
      <c r="K35" s="55">
        <v>1550</v>
      </c>
    </row>
    <row r="36" spans="1:11" ht="12.75">
      <c r="A36" s="54" t="s">
        <v>20</v>
      </c>
      <c r="B36" s="55">
        <v>262115</v>
      </c>
      <c r="C36" s="55">
        <v>179465</v>
      </c>
      <c r="D36" s="55">
        <v>22635</v>
      </c>
      <c r="E36" s="55">
        <v>54550</v>
      </c>
      <c r="F36" s="55">
        <v>420</v>
      </c>
      <c r="G36" s="55">
        <v>15</v>
      </c>
      <c r="H36" s="55">
        <v>3505</v>
      </c>
      <c r="I36" s="55">
        <v>30</v>
      </c>
      <c r="J36" s="55">
        <v>1010</v>
      </c>
      <c r="K36" s="55">
        <v>485</v>
      </c>
    </row>
    <row r="37" spans="1:11" ht="12.75">
      <c r="A37" s="54" t="s">
        <v>21</v>
      </c>
      <c r="B37" s="55">
        <v>472560</v>
      </c>
      <c r="C37" s="55">
        <v>171880</v>
      </c>
      <c r="D37" s="55">
        <v>49195</v>
      </c>
      <c r="E37" s="55">
        <v>198465</v>
      </c>
      <c r="F37" s="55">
        <v>19455</v>
      </c>
      <c r="G37" s="55">
        <v>8595</v>
      </c>
      <c r="H37" s="55">
        <v>21455</v>
      </c>
      <c r="I37" s="55">
        <v>75</v>
      </c>
      <c r="J37" s="55">
        <v>1835</v>
      </c>
      <c r="K37" s="55">
        <v>1615</v>
      </c>
    </row>
    <row r="38" spans="1:11" ht="12.75">
      <c r="A38" s="54" t="s">
        <v>22</v>
      </c>
      <c r="B38" s="55">
        <v>539620</v>
      </c>
      <c r="C38" s="55">
        <v>254135</v>
      </c>
      <c r="D38" s="55">
        <v>35370</v>
      </c>
      <c r="E38" s="55">
        <v>240050</v>
      </c>
      <c r="F38" s="55">
        <v>1215</v>
      </c>
      <c r="G38" s="55">
        <v>40</v>
      </c>
      <c r="H38" s="55">
        <v>4620</v>
      </c>
      <c r="I38" s="55">
        <v>170</v>
      </c>
      <c r="J38" s="55">
        <v>1070</v>
      </c>
      <c r="K38" s="55">
        <v>2935</v>
      </c>
    </row>
    <row r="39" spans="1:11" ht="12.75">
      <c r="A39" s="54" t="s">
        <v>23</v>
      </c>
      <c r="B39" s="55">
        <v>128775</v>
      </c>
      <c r="C39" s="55">
        <v>5260</v>
      </c>
      <c r="D39" s="55">
        <v>6375</v>
      </c>
      <c r="E39" s="55">
        <v>11180</v>
      </c>
      <c r="F39" s="55">
        <v>96805</v>
      </c>
      <c r="G39" s="55">
        <v>185</v>
      </c>
      <c r="H39" s="55">
        <v>8065</v>
      </c>
      <c r="I39" s="55">
        <v>45</v>
      </c>
      <c r="J39" s="55">
        <v>515</v>
      </c>
      <c r="K39" s="55">
        <v>345</v>
      </c>
    </row>
    <row r="40" spans="1:11" ht="12.75">
      <c r="A40" s="54" t="s">
        <v>24</v>
      </c>
      <c r="B40" s="55">
        <v>492800</v>
      </c>
      <c r="C40" s="55">
        <v>231095</v>
      </c>
      <c r="D40" s="55">
        <v>17820</v>
      </c>
      <c r="E40" s="55">
        <v>148445</v>
      </c>
      <c r="F40" s="55">
        <v>83295</v>
      </c>
      <c r="G40" s="55">
        <v>990</v>
      </c>
      <c r="H40" s="55">
        <v>5010</v>
      </c>
      <c r="I40" s="55">
        <v>175</v>
      </c>
      <c r="J40" s="55">
        <v>3300</v>
      </c>
      <c r="K40" s="55">
        <v>2660</v>
      </c>
    </row>
    <row r="41" spans="1:11" ht="12.75">
      <c r="A41" s="54" t="s">
        <v>25</v>
      </c>
      <c r="B41" s="55">
        <v>669015</v>
      </c>
      <c r="C41" s="55">
        <v>298065</v>
      </c>
      <c r="D41" s="55">
        <v>22030</v>
      </c>
      <c r="E41" s="55">
        <v>124235</v>
      </c>
      <c r="F41" s="55">
        <v>211520</v>
      </c>
      <c r="G41" s="55">
        <v>455</v>
      </c>
      <c r="H41" s="55">
        <v>3650</v>
      </c>
      <c r="I41" s="55">
        <v>105</v>
      </c>
      <c r="J41" s="55">
        <v>4520</v>
      </c>
      <c r="K41" s="55">
        <v>4440</v>
      </c>
    </row>
    <row r="42" spans="1:11" ht="12.75">
      <c r="A42" s="54" t="s">
        <v>26</v>
      </c>
      <c r="B42" s="55">
        <v>973060</v>
      </c>
      <c r="C42" s="55">
        <v>720640</v>
      </c>
      <c r="D42" s="55">
        <v>90315</v>
      </c>
      <c r="E42" s="55">
        <v>96680</v>
      </c>
      <c r="F42" s="55">
        <v>35360</v>
      </c>
      <c r="G42" s="55">
        <v>325</v>
      </c>
      <c r="H42" s="55">
        <v>15950</v>
      </c>
      <c r="I42" s="55">
        <v>220</v>
      </c>
      <c r="J42" s="55">
        <v>8240</v>
      </c>
      <c r="K42" s="55">
        <v>5325</v>
      </c>
    </row>
    <row r="43" spans="1:11" ht="12.75">
      <c r="A43" s="54" t="s">
        <v>27</v>
      </c>
      <c r="B43" s="55">
        <v>454100</v>
      </c>
      <c r="C43" s="55">
        <v>253940</v>
      </c>
      <c r="D43" s="55">
        <v>54100</v>
      </c>
      <c r="E43" s="55">
        <v>83030</v>
      </c>
      <c r="F43" s="55">
        <v>39220</v>
      </c>
      <c r="G43" s="55">
        <v>205</v>
      </c>
      <c r="H43" s="55">
        <v>11030</v>
      </c>
      <c r="I43" s="55">
        <v>90</v>
      </c>
      <c r="J43" s="55">
        <v>8260</v>
      </c>
      <c r="K43" s="55">
        <v>4220</v>
      </c>
    </row>
    <row r="44" spans="1:11" ht="12.75">
      <c r="A44" s="54" t="s">
        <v>28</v>
      </c>
      <c r="B44" s="55">
        <v>330980</v>
      </c>
      <c r="C44" s="55">
        <v>119795</v>
      </c>
      <c r="D44" s="55">
        <v>79730</v>
      </c>
      <c r="E44" s="55">
        <v>121630</v>
      </c>
      <c r="F44" s="55">
        <v>875</v>
      </c>
      <c r="G44" s="55">
        <v>40</v>
      </c>
      <c r="H44" s="55">
        <v>6665</v>
      </c>
      <c r="I44" s="55">
        <v>95</v>
      </c>
      <c r="J44" s="55">
        <v>620</v>
      </c>
      <c r="K44" s="55">
        <v>1525</v>
      </c>
    </row>
    <row r="45" spans="1:11" ht="12.75">
      <c r="A45" s="54" t="s">
        <v>29</v>
      </c>
      <c r="B45" s="55">
        <v>603425</v>
      </c>
      <c r="C45" s="55">
        <v>306070</v>
      </c>
      <c r="D45" s="55">
        <v>96585</v>
      </c>
      <c r="E45" s="55">
        <v>165175</v>
      </c>
      <c r="F45" s="55">
        <v>4220</v>
      </c>
      <c r="G45" s="55">
        <v>55</v>
      </c>
      <c r="H45" s="55">
        <v>27420</v>
      </c>
      <c r="I45" s="55">
        <v>140</v>
      </c>
      <c r="J45" s="55">
        <v>2120</v>
      </c>
      <c r="K45" s="55">
        <v>1640</v>
      </c>
    </row>
    <row r="46" spans="1:11" ht="12.75">
      <c r="A46" s="54" t="s">
        <v>30</v>
      </c>
      <c r="B46" s="55">
        <v>92570</v>
      </c>
      <c r="C46" s="55">
        <v>47915</v>
      </c>
      <c r="D46" s="55">
        <v>12055</v>
      </c>
      <c r="E46" s="55">
        <v>20255</v>
      </c>
      <c r="F46" s="55">
        <v>3200</v>
      </c>
      <c r="G46" s="55">
        <v>370</v>
      </c>
      <c r="H46" s="55">
        <v>7145</v>
      </c>
      <c r="I46" s="55">
        <v>50</v>
      </c>
      <c r="J46" s="55">
        <v>1255</v>
      </c>
      <c r="K46" s="55">
        <v>330</v>
      </c>
    </row>
    <row r="47" spans="1:11" ht="12.75">
      <c r="A47" s="54" t="s">
        <v>31</v>
      </c>
      <c r="B47" s="55">
        <v>170485</v>
      </c>
      <c r="C47" s="55">
        <v>106725</v>
      </c>
      <c r="D47" s="55">
        <v>20545</v>
      </c>
      <c r="E47" s="55">
        <v>36305</v>
      </c>
      <c r="F47" s="55">
        <v>2610</v>
      </c>
      <c r="G47" s="55">
        <v>30</v>
      </c>
      <c r="H47" s="55">
        <v>2360</v>
      </c>
      <c r="I47" s="55">
        <v>45</v>
      </c>
      <c r="J47" s="55">
        <v>1385</v>
      </c>
      <c r="K47" s="55">
        <v>470</v>
      </c>
    </row>
    <row r="48" spans="1:11" ht="12.75">
      <c r="A48" s="54" t="s">
        <v>32</v>
      </c>
      <c r="B48" s="55">
        <v>168855</v>
      </c>
      <c r="C48" s="55">
        <v>72430</v>
      </c>
      <c r="D48" s="55">
        <v>9145</v>
      </c>
      <c r="E48" s="55">
        <v>81720</v>
      </c>
      <c r="F48" s="55">
        <v>2015</v>
      </c>
      <c r="G48" s="55">
        <v>45</v>
      </c>
      <c r="H48" s="55">
        <v>1950</v>
      </c>
      <c r="I48" s="55">
        <v>130</v>
      </c>
      <c r="J48" s="55">
        <v>735</v>
      </c>
      <c r="K48" s="55">
        <v>685</v>
      </c>
    </row>
    <row r="49" spans="1:11" ht="12.75">
      <c r="A49" s="54" t="s">
        <v>33</v>
      </c>
      <c r="B49" s="55">
        <v>104115</v>
      </c>
      <c r="C49" s="55">
        <v>19630</v>
      </c>
      <c r="D49" s="55">
        <v>9590</v>
      </c>
      <c r="E49" s="55">
        <v>12805</v>
      </c>
      <c r="F49" s="55">
        <v>56495</v>
      </c>
      <c r="G49" s="55">
        <v>105</v>
      </c>
      <c r="H49" s="55">
        <v>4220</v>
      </c>
      <c r="I49" s="55">
        <v>25</v>
      </c>
      <c r="J49" s="55">
        <v>860</v>
      </c>
      <c r="K49" s="55">
        <v>380</v>
      </c>
    </row>
    <row r="50" spans="1:11" ht="12.75">
      <c r="A50" s="54" t="s">
        <v>34</v>
      </c>
      <c r="B50" s="55">
        <v>793000</v>
      </c>
      <c r="C50" s="55">
        <v>479615</v>
      </c>
      <c r="D50" s="55">
        <v>25425</v>
      </c>
      <c r="E50" s="55">
        <v>119280</v>
      </c>
      <c r="F50" s="55">
        <v>155130</v>
      </c>
      <c r="G50" s="55">
        <v>325</v>
      </c>
      <c r="H50" s="55">
        <v>1405</v>
      </c>
      <c r="I50" s="55">
        <v>195</v>
      </c>
      <c r="J50" s="55">
        <v>6165</v>
      </c>
      <c r="K50" s="55">
        <v>5455</v>
      </c>
    </row>
    <row r="51" spans="1:11" ht="12.75">
      <c r="A51" s="54" t="s">
        <v>35</v>
      </c>
      <c r="B51" s="55">
        <v>181180</v>
      </c>
      <c r="C51" s="55">
        <v>109505</v>
      </c>
      <c r="D51" s="55">
        <v>31230</v>
      </c>
      <c r="E51" s="55">
        <v>22765</v>
      </c>
      <c r="F51" s="55">
        <v>340</v>
      </c>
      <c r="G51" s="55">
        <v>355</v>
      </c>
      <c r="H51" s="55">
        <v>15520</v>
      </c>
      <c r="I51" s="55">
        <v>295</v>
      </c>
      <c r="J51" s="55">
        <v>605</v>
      </c>
      <c r="K51" s="55">
        <v>570</v>
      </c>
    </row>
    <row r="52" spans="1:11" ht="12.75">
      <c r="A52" s="54" t="s">
        <v>36</v>
      </c>
      <c r="B52" s="55">
        <v>2054625</v>
      </c>
      <c r="C52" s="55">
        <v>1051045</v>
      </c>
      <c r="D52" s="55">
        <v>80135</v>
      </c>
      <c r="E52" s="55">
        <v>243210</v>
      </c>
      <c r="F52" s="55">
        <v>602940</v>
      </c>
      <c r="G52" s="55">
        <v>2425</v>
      </c>
      <c r="H52" s="55">
        <v>20370</v>
      </c>
      <c r="I52" s="55">
        <v>1210</v>
      </c>
      <c r="J52" s="55">
        <v>29535</v>
      </c>
      <c r="K52" s="55">
        <v>23755</v>
      </c>
    </row>
    <row r="53" spans="1:11" ht="12.75">
      <c r="A53" s="54" t="s">
        <v>37</v>
      </c>
      <c r="B53" s="55">
        <v>852555</v>
      </c>
      <c r="C53" s="55">
        <v>158935</v>
      </c>
      <c r="D53" s="55">
        <v>115240</v>
      </c>
      <c r="E53" s="55">
        <v>411325</v>
      </c>
      <c r="F53" s="55">
        <v>136520</v>
      </c>
      <c r="G53" s="55">
        <v>180</v>
      </c>
      <c r="H53" s="55">
        <v>24360</v>
      </c>
      <c r="I53" s="55">
        <v>340</v>
      </c>
      <c r="J53" s="55">
        <v>2565</v>
      </c>
      <c r="K53" s="55">
        <v>3095</v>
      </c>
    </row>
    <row r="54" spans="1:11" ht="12.75">
      <c r="A54" s="54" t="s">
        <v>38</v>
      </c>
      <c r="B54" s="55">
        <v>65825</v>
      </c>
      <c r="C54" s="55">
        <v>22430</v>
      </c>
      <c r="D54" s="55">
        <v>11180</v>
      </c>
      <c r="E54" s="55">
        <v>22155</v>
      </c>
      <c r="F54" s="55">
        <v>6805</v>
      </c>
      <c r="G54" s="55">
        <v>625</v>
      </c>
      <c r="H54" s="55">
        <v>370</v>
      </c>
      <c r="I54" s="55">
        <v>20</v>
      </c>
      <c r="J54" s="55">
        <v>1515</v>
      </c>
      <c r="K54" s="55">
        <v>730</v>
      </c>
    </row>
    <row r="55" spans="1:11" ht="12.75">
      <c r="A55" s="54" t="s">
        <v>39</v>
      </c>
      <c r="B55" s="55">
        <v>1195015</v>
      </c>
      <c r="C55" s="55">
        <v>783180</v>
      </c>
      <c r="D55" s="55">
        <v>69105</v>
      </c>
      <c r="E55" s="55">
        <v>256095</v>
      </c>
      <c r="F55" s="55">
        <v>53255</v>
      </c>
      <c r="G55" s="55">
        <v>1530</v>
      </c>
      <c r="H55" s="55">
        <v>14225</v>
      </c>
      <c r="I55" s="55">
        <v>295</v>
      </c>
      <c r="J55" s="55">
        <v>11790</v>
      </c>
      <c r="K55" s="55">
        <v>5540</v>
      </c>
    </row>
    <row r="56" spans="1:11" ht="12.75">
      <c r="A56" s="54" t="s">
        <v>40</v>
      </c>
      <c r="B56" s="55">
        <v>369600</v>
      </c>
      <c r="C56" s="55">
        <v>207605</v>
      </c>
      <c r="D56" s="55">
        <v>47465</v>
      </c>
      <c r="E56" s="55">
        <v>103000</v>
      </c>
      <c r="F56" s="55">
        <v>445</v>
      </c>
      <c r="G56" s="55">
        <v>10</v>
      </c>
      <c r="H56" s="55">
        <v>8525</v>
      </c>
      <c r="I56" s="55">
        <v>75</v>
      </c>
      <c r="J56" s="55">
        <v>1420</v>
      </c>
      <c r="K56" s="55">
        <v>1055</v>
      </c>
    </row>
    <row r="57" spans="1:11" ht="12.75">
      <c r="A57" s="54" t="s">
        <v>41</v>
      </c>
      <c r="B57" s="55">
        <v>350335</v>
      </c>
      <c r="C57" s="55">
        <v>78435</v>
      </c>
      <c r="D57" s="55">
        <v>8040</v>
      </c>
      <c r="E57" s="55">
        <v>213545</v>
      </c>
      <c r="F57" s="55">
        <v>19180</v>
      </c>
      <c r="G57" s="55">
        <v>45</v>
      </c>
      <c r="H57" s="55">
        <v>27015</v>
      </c>
      <c r="I57" s="55">
        <v>110</v>
      </c>
      <c r="J57" s="55">
        <v>2800</v>
      </c>
      <c r="K57" s="55">
        <v>1165</v>
      </c>
    </row>
    <row r="58" spans="1:11" ht="12.75">
      <c r="A58" s="54" t="s">
        <v>42</v>
      </c>
      <c r="B58" s="55">
        <v>1347235</v>
      </c>
      <c r="C58" s="55">
        <v>717210</v>
      </c>
      <c r="D58" s="55">
        <v>42175</v>
      </c>
      <c r="E58" s="55">
        <v>214355</v>
      </c>
      <c r="F58" s="55">
        <v>321215</v>
      </c>
      <c r="G58" s="55">
        <v>18705</v>
      </c>
      <c r="H58" s="55">
        <v>20030</v>
      </c>
      <c r="I58" s="55">
        <v>230</v>
      </c>
      <c r="J58" s="55">
        <v>8125</v>
      </c>
      <c r="K58" s="55">
        <v>5195</v>
      </c>
    </row>
    <row r="59" spans="1:11" ht="12.75">
      <c r="A59" s="54" t="s">
        <v>43</v>
      </c>
      <c r="B59" s="55">
        <v>130110</v>
      </c>
      <c r="C59" s="55">
        <v>67415</v>
      </c>
      <c r="D59" s="55">
        <v>4225</v>
      </c>
      <c r="E59" s="55">
        <v>14520</v>
      </c>
      <c r="F59" s="55">
        <v>42210</v>
      </c>
      <c r="G59" s="55">
        <v>80</v>
      </c>
      <c r="H59" s="55">
        <v>525</v>
      </c>
      <c r="I59" s="55">
        <v>25</v>
      </c>
      <c r="J59" s="55">
        <v>585</v>
      </c>
      <c r="K59" s="55">
        <v>525</v>
      </c>
    </row>
    <row r="60" spans="1:11" ht="12.75">
      <c r="A60" s="54" t="s">
        <v>44</v>
      </c>
      <c r="B60" s="55">
        <v>438445</v>
      </c>
      <c r="C60" s="55">
        <v>104515</v>
      </c>
      <c r="D60" s="55">
        <v>49100</v>
      </c>
      <c r="E60" s="55">
        <v>237860</v>
      </c>
      <c r="F60" s="55">
        <v>35875</v>
      </c>
      <c r="G60" s="55">
        <v>75</v>
      </c>
      <c r="H60" s="55">
        <v>8045</v>
      </c>
      <c r="I60" s="55">
        <v>175</v>
      </c>
      <c r="J60" s="55">
        <v>935</v>
      </c>
      <c r="K60" s="55">
        <v>1865</v>
      </c>
    </row>
    <row r="61" spans="1:11" ht="12.75">
      <c r="A61" s="54" t="s">
        <v>45</v>
      </c>
      <c r="B61" s="55">
        <v>74065</v>
      </c>
      <c r="C61" s="55">
        <v>26350</v>
      </c>
      <c r="D61" s="55">
        <v>19215</v>
      </c>
      <c r="E61" s="55">
        <v>19460</v>
      </c>
      <c r="F61" s="55">
        <v>5840</v>
      </c>
      <c r="G61" s="55">
        <v>125</v>
      </c>
      <c r="H61" s="55">
        <v>1505</v>
      </c>
      <c r="I61" s="55">
        <v>30</v>
      </c>
      <c r="J61" s="55">
        <v>1010</v>
      </c>
      <c r="K61" s="55">
        <v>535</v>
      </c>
    </row>
    <row r="62" spans="1:11" ht="12.75">
      <c r="A62" s="54" t="s">
        <v>46</v>
      </c>
      <c r="B62" s="55">
        <v>618095</v>
      </c>
      <c r="C62" s="55">
        <v>180725</v>
      </c>
      <c r="D62" s="55">
        <v>47570</v>
      </c>
      <c r="E62" s="55">
        <v>342720</v>
      </c>
      <c r="F62" s="55">
        <v>19610</v>
      </c>
      <c r="G62" s="55">
        <v>1635</v>
      </c>
      <c r="H62" s="55">
        <v>22380</v>
      </c>
      <c r="I62" s="55">
        <v>120</v>
      </c>
      <c r="J62" s="55">
        <v>1100</v>
      </c>
      <c r="K62" s="55">
        <v>2235</v>
      </c>
    </row>
    <row r="63" spans="1:11" ht="12.75">
      <c r="A63" s="54" t="s">
        <v>47</v>
      </c>
      <c r="B63" s="55">
        <v>1983080</v>
      </c>
      <c r="C63" s="55">
        <v>821925</v>
      </c>
      <c r="D63" s="55">
        <v>169885</v>
      </c>
      <c r="E63" s="55">
        <v>956640</v>
      </c>
      <c r="F63" s="55">
        <v>2185</v>
      </c>
      <c r="G63" s="55">
        <v>180</v>
      </c>
      <c r="H63" s="55">
        <v>10880</v>
      </c>
      <c r="I63" s="55">
        <v>845</v>
      </c>
      <c r="J63" s="55">
        <v>4280</v>
      </c>
      <c r="K63" s="55">
        <v>16260</v>
      </c>
    </row>
    <row r="64" spans="1:11" ht="12.75">
      <c r="A64" s="54" t="s">
        <v>48</v>
      </c>
      <c r="B64" s="55">
        <v>150515</v>
      </c>
      <c r="C64" s="55">
        <v>114910</v>
      </c>
      <c r="D64" s="55">
        <v>6490</v>
      </c>
      <c r="E64" s="55">
        <v>22895</v>
      </c>
      <c r="F64" s="55">
        <v>1310</v>
      </c>
      <c r="G64" s="55">
        <v>900</v>
      </c>
      <c r="H64" s="55">
        <v>2870</v>
      </c>
      <c r="I64" s="55">
        <v>70</v>
      </c>
      <c r="J64" s="55">
        <v>745</v>
      </c>
      <c r="K64" s="55">
        <v>325</v>
      </c>
    </row>
    <row r="65" spans="1:11" ht="12.75">
      <c r="A65" s="54" t="s">
        <v>49</v>
      </c>
      <c r="B65" s="55">
        <v>57175</v>
      </c>
      <c r="C65" s="55">
        <v>6095</v>
      </c>
      <c r="D65" s="55">
        <v>8065</v>
      </c>
      <c r="E65" s="55">
        <v>5050</v>
      </c>
      <c r="F65" s="55">
        <v>32620</v>
      </c>
      <c r="G65" s="55">
        <v>95</v>
      </c>
      <c r="H65" s="55">
        <v>4795</v>
      </c>
      <c r="I65" s="55">
        <v>20</v>
      </c>
      <c r="J65" s="55">
        <v>235</v>
      </c>
      <c r="K65" s="55">
        <v>195</v>
      </c>
    </row>
    <row r="66" spans="1:11" ht="12.75">
      <c r="A66" s="54" t="s">
        <v>50</v>
      </c>
      <c r="B66" s="55">
        <v>656520</v>
      </c>
      <c r="C66" s="55">
        <v>167365</v>
      </c>
      <c r="D66" s="55">
        <v>37375</v>
      </c>
      <c r="E66" s="55">
        <v>295515</v>
      </c>
      <c r="F66" s="55">
        <v>118735</v>
      </c>
      <c r="G66" s="55">
        <v>3420</v>
      </c>
      <c r="H66" s="55">
        <v>28145</v>
      </c>
      <c r="I66" s="55">
        <v>220</v>
      </c>
      <c r="J66" s="55">
        <v>2895</v>
      </c>
      <c r="K66" s="55">
        <v>2850</v>
      </c>
    </row>
    <row r="67" spans="1:11" ht="12.75">
      <c r="A67" s="54" t="s">
        <v>51</v>
      </c>
      <c r="B67" s="55">
        <v>551230</v>
      </c>
      <c r="C67" s="55">
        <v>110035</v>
      </c>
      <c r="D67" s="55">
        <v>14505</v>
      </c>
      <c r="E67" s="55">
        <v>366220</v>
      </c>
      <c r="F67" s="55">
        <v>24980</v>
      </c>
      <c r="G67" s="55">
        <v>185</v>
      </c>
      <c r="H67" s="55">
        <v>28975</v>
      </c>
      <c r="I67" s="55">
        <v>85</v>
      </c>
      <c r="J67" s="55">
        <v>4230</v>
      </c>
      <c r="K67" s="55">
        <v>2015</v>
      </c>
    </row>
    <row r="68" spans="1:11" ht="12.75">
      <c r="A68" s="54" t="s">
        <v>52</v>
      </c>
      <c r="B68" s="55">
        <v>232685</v>
      </c>
      <c r="C68" s="55">
        <v>102000</v>
      </c>
      <c r="D68" s="55">
        <v>13870</v>
      </c>
      <c r="E68" s="55">
        <v>76960</v>
      </c>
      <c r="F68" s="55">
        <v>17565</v>
      </c>
      <c r="G68" s="55">
        <v>4480</v>
      </c>
      <c r="H68" s="55">
        <v>15755</v>
      </c>
      <c r="I68" s="55">
        <v>20</v>
      </c>
      <c r="J68" s="55">
        <v>1510</v>
      </c>
      <c r="K68" s="55">
        <v>535</v>
      </c>
    </row>
    <row r="69" spans="1:11" ht="12.75">
      <c r="A69" s="54" t="s">
        <v>53</v>
      </c>
      <c r="B69" s="55">
        <v>499735</v>
      </c>
      <c r="C69" s="55">
        <v>294600</v>
      </c>
      <c r="D69" s="55">
        <v>53690</v>
      </c>
      <c r="E69" s="55">
        <v>89100</v>
      </c>
      <c r="F69" s="55">
        <v>39580</v>
      </c>
      <c r="G69" s="55">
        <v>155</v>
      </c>
      <c r="H69" s="55">
        <v>15005</v>
      </c>
      <c r="I69" s="55">
        <v>100</v>
      </c>
      <c r="J69" s="55">
        <v>5115</v>
      </c>
      <c r="K69" s="55">
        <v>2390</v>
      </c>
    </row>
    <row r="70" spans="1:11" ht="12.75">
      <c r="A70" s="54" t="s">
        <v>54</v>
      </c>
      <c r="B70" s="55">
        <v>48345</v>
      </c>
      <c r="C70" s="55">
        <v>29430</v>
      </c>
      <c r="D70" s="55">
        <v>5345</v>
      </c>
      <c r="E70" s="55">
        <v>10580</v>
      </c>
      <c r="F70" s="55">
        <v>130</v>
      </c>
      <c r="G70" s="55">
        <v>340</v>
      </c>
      <c r="H70" s="55">
        <v>1855</v>
      </c>
      <c r="I70" s="55">
        <v>15</v>
      </c>
      <c r="J70" s="55">
        <v>485</v>
      </c>
      <c r="K70" s="55">
        <v>165</v>
      </c>
    </row>
    <row r="71" spans="2:11" ht="12.75"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2:11" ht="12.75"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3.5" thickBot="1">
      <c r="A73" s="54" t="s">
        <v>91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3.5" thickBot="1">
      <c r="A74" s="192" t="s">
        <v>65</v>
      </c>
      <c r="B74" s="194" t="s">
        <v>66</v>
      </c>
      <c r="C74" s="196" t="s">
        <v>67</v>
      </c>
      <c r="D74" s="197"/>
      <c r="E74" s="197"/>
      <c r="F74" s="197"/>
      <c r="G74" s="197"/>
      <c r="H74" s="197"/>
      <c r="I74" s="197"/>
      <c r="J74" s="197"/>
      <c r="K74" s="198"/>
    </row>
    <row r="75" spans="1:11" ht="13.5" thickBot="1">
      <c r="A75" s="193"/>
      <c r="B75" s="195"/>
      <c r="C75" s="50" t="s">
        <v>68</v>
      </c>
      <c r="D75" s="50" t="s">
        <v>69</v>
      </c>
      <c r="E75" s="50" t="s">
        <v>70</v>
      </c>
      <c r="F75" s="50" t="s">
        <v>71</v>
      </c>
      <c r="G75" s="50" t="s">
        <v>72</v>
      </c>
      <c r="H75" s="50" t="s">
        <v>73</v>
      </c>
      <c r="I75" s="50" t="s">
        <v>74</v>
      </c>
      <c r="J75" s="50" t="s">
        <v>75</v>
      </c>
      <c r="K75" s="50" t="s">
        <v>76</v>
      </c>
    </row>
    <row r="76" spans="1:11" ht="12.75">
      <c r="A76" s="51"/>
      <c r="B76" s="52"/>
      <c r="C76" s="53"/>
      <c r="D76" s="53"/>
      <c r="E76" s="53"/>
      <c r="F76" s="53"/>
      <c r="G76" s="53"/>
      <c r="H76" s="53"/>
      <c r="I76" s="53"/>
      <c r="J76" s="53"/>
      <c r="K76" s="53"/>
    </row>
    <row r="77" spans="1:11" ht="12.75">
      <c r="A77" s="54" t="s">
        <v>77</v>
      </c>
      <c r="B77" s="56">
        <f aca="true" t="shared" si="0" ref="B77:K77">B5/$B5</f>
        <v>1</v>
      </c>
      <c r="C77" s="56">
        <f t="shared" si="0"/>
        <v>0.4722518879240777</v>
      </c>
      <c r="D77" s="56">
        <f t="shared" si="0"/>
        <v>0.07485810822012384</v>
      </c>
      <c r="E77" s="56">
        <f t="shared" si="0"/>
        <v>0.3257133628284983</v>
      </c>
      <c r="F77" s="56">
        <f t="shared" si="0"/>
        <v>0.08831347231677515</v>
      </c>
      <c r="G77" s="56">
        <f t="shared" si="0"/>
        <v>0.0018549902464163625</v>
      </c>
      <c r="H77" s="56">
        <f t="shared" si="0"/>
        <v>0.019638367815366615</v>
      </c>
      <c r="I77" s="56">
        <f t="shared" si="0"/>
        <v>0.0005861241524329233</v>
      </c>
      <c r="J77" s="56">
        <f t="shared" si="0"/>
        <v>0.0058225587563614884</v>
      </c>
      <c r="K77" s="56">
        <f t="shared" si="0"/>
        <v>0.010961127739947694</v>
      </c>
    </row>
    <row r="78" spans="1:11" ht="12.75">
      <c r="A78" s="54" t="s">
        <v>78</v>
      </c>
      <c r="B78" s="56">
        <f aca="true" t="shared" si="1" ref="B78:K78">B6/$B6</f>
        <v>1</v>
      </c>
      <c r="C78" s="56">
        <f t="shared" si="1"/>
        <v>0.4899087766510718</v>
      </c>
      <c r="D78" s="56">
        <f t="shared" si="1"/>
        <v>0.0370550040056832</v>
      </c>
      <c r="E78" s="56">
        <f t="shared" si="1"/>
        <v>0.1445533773884716</v>
      </c>
      <c r="F78" s="56">
        <f t="shared" si="1"/>
        <v>0.2959062360299032</v>
      </c>
      <c r="G78" s="56">
        <f t="shared" si="1"/>
        <v>0.004008338902929682</v>
      </c>
      <c r="H78" s="56">
        <f t="shared" si="1"/>
        <v>0.011562039401758959</v>
      </c>
      <c r="I78" s="56">
        <f t="shared" si="1"/>
        <v>0.0003408150348118214</v>
      </c>
      <c r="J78" s="56">
        <f t="shared" si="1"/>
        <v>0.0092825622208747</v>
      </c>
      <c r="K78" s="56">
        <f t="shared" si="1"/>
        <v>0.007382850364495041</v>
      </c>
    </row>
    <row r="79" spans="1:11" ht="12.75">
      <c r="A79" s="54" t="s">
        <v>79</v>
      </c>
      <c r="B79" s="56">
        <f aca="true" t="shared" si="2" ref="B79:K79">B7/$B7</f>
        <v>1</v>
      </c>
      <c r="C79" s="56">
        <f t="shared" si="2"/>
        <v>0.6482970172192722</v>
      </c>
      <c r="D79" s="56">
        <f t="shared" si="2"/>
        <v>0.09205417082271086</v>
      </c>
      <c r="E79" s="56">
        <f t="shared" si="2"/>
        <v>0.1924731633580468</v>
      </c>
      <c r="F79" s="56">
        <f t="shared" si="2"/>
        <v>0.034591998405344625</v>
      </c>
      <c r="G79" s="56">
        <f t="shared" si="2"/>
        <v>0.0006944977270623932</v>
      </c>
      <c r="H79" s="56">
        <f t="shared" si="2"/>
        <v>0.017168648252721238</v>
      </c>
      <c r="I79" s="56">
        <f t="shared" si="2"/>
        <v>0.0002246439117149427</v>
      </c>
      <c r="J79" s="56">
        <f t="shared" si="2"/>
        <v>0.008871852513361962</v>
      </c>
      <c r="K79" s="56">
        <f t="shared" si="2"/>
        <v>0.005624798789454075</v>
      </c>
    </row>
    <row r="80" spans="1:11" ht="12.75">
      <c r="A80" s="54" t="s">
        <v>80</v>
      </c>
      <c r="B80" s="56">
        <f aca="true" t="shared" si="3" ref="B80:K80">B8/$B8</f>
        <v>1</v>
      </c>
      <c r="C80" s="56">
        <f t="shared" si="3"/>
        <v>0.3227991243081721</v>
      </c>
      <c r="D80" s="56">
        <f t="shared" si="3"/>
        <v>0.09878952742088482</v>
      </c>
      <c r="E80" s="56">
        <f t="shared" si="3"/>
        <v>0.49826575364288284</v>
      </c>
      <c r="F80" s="56">
        <f t="shared" si="3"/>
        <v>0.048110431787516804</v>
      </c>
      <c r="G80" s="56">
        <f t="shared" si="3"/>
        <v>0.001954134795716158</v>
      </c>
      <c r="H80" s="56">
        <f t="shared" si="3"/>
        <v>0.018938404686447776</v>
      </c>
      <c r="I80" s="56">
        <f t="shared" si="3"/>
        <v>0.00035143530911100864</v>
      </c>
      <c r="J80" s="56">
        <f t="shared" si="3"/>
        <v>0.002604869406542586</v>
      </c>
      <c r="K80" s="56">
        <f t="shared" si="3"/>
        <v>0.008186318642725942</v>
      </c>
    </row>
    <row r="81" spans="1:11" ht="12.75">
      <c r="A81" s="54" t="s">
        <v>81</v>
      </c>
      <c r="B81" s="56">
        <f aca="true" t="shared" si="4" ref="B81:K81">B9/$B9</f>
        <v>1</v>
      </c>
      <c r="C81" s="56">
        <f t="shared" si="4"/>
        <v>0.5308757733580342</v>
      </c>
      <c r="D81" s="56">
        <f t="shared" si="4"/>
        <v>0.049858436156454265</v>
      </c>
      <c r="E81" s="56">
        <f t="shared" si="4"/>
        <v>0.3393870809885001</v>
      </c>
      <c r="F81" s="56">
        <f t="shared" si="4"/>
        <v>0.015514348631549513</v>
      </c>
      <c r="G81" s="56">
        <f t="shared" si="4"/>
        <v>0.0008319060435527281</v>
      </c>
      <c r="H81" s="56">
        <f t="shared" si="4"/>
        <v>0.03160631269880108</v>
      </c>
      <c r="I81" s="56">
        <f t="shared" si="4"/>
        <v>0.0016515781747002691</v>
      </c>
      <c r="J81" s="56">
        <f t="shared" si="4"/>
        <v>0.004862980181061904</v>
      </c>
      <c r="K81" s="56">
        <f t="shared" si="4"/>
        <v>0.025410709916459856</v>
      </c>
    </row>
    <row r="82" spans="1:11" ht="12.75">
      <c r="A82" s="54" t="s">
        <v>82</v>
      </c>
      <c r="B82" s="56">
        <f aca="true" t="shared" si="5" ref="B82:K82">B10/$B10</f>
        <v>1</v>
      </c>
      <c r="C82" s="56">
        <f t="shared" si="5"/>
        <v>0.35726744486071976</v>
      </c>
      <c r="D82" s="56">
        <f t="shared" si="5"/>
        <v>0.042353434959559365</v>
      </c>
      <c r="E82" s="56">
        <f t="shared" si="5"/>
        <v>0.16487943496643995</v>
      </c>
      <c r="F82" s="56">
        <f t="shared" si="5"/>
        <v>0.40737185772328355</v>
      </c>
      <c r="G82" s="56">
        <f t="shared" si="5"/>
        <v>0.0008153492068406767</v>
      </c>
      <c r="H82" s="56">
        <f t="shared" si="5"/>
        <v>0.016169372456334093</v>
      </c>
      <c r="I82" s="56">
        <f t="shared" si="5"/>
        <v>0.0001995369366951867</v>
      </c>
      <c r="J82" s="56">
        <f t="shared" si="5"/>
        <v>0.005920742552627867</v>
      </c>
      <c r="K82" s="56">
        <f t="shared" si="5"/>
        <v>0.005019386045487541</v>
      </c>
    </row>
    <row r="83" spans="1:11" ht="12.75">
      <c r="A83" s="54" t="s">
        <v>83</v>
      </c>
      <c r="B83" s="56">
        <f aca="true" t="shared" si="6" ref="B83:K83">B11/$B11</f>
        <v>1</v>
      </c>
      <c r="C83" s="56">
        <f t="shared" si="6"/>
        <v>0.5358634902434286</v>
      </c>
      <c r="D83" s="56">
        <f t="shared" si="6"/>
        <v>0.03521925020233071</v>
      </c>
      <c r="E83" s="56">
        <f t="shared" si="6"/>
        <v>0.137512172620573</v>
      </c>
      <c r="F83" s="56">
        <f t="shared" si="6"/>
        <v>0.25728718325857924</v>
      </c>
      <c r="G83" s="56">
        <f t="shared" si="6"/>
        <v>0.005114586524238563</v>
      </c>
      <c r="H83" s="56">
        <f t="shared" si="6"/>
        <v>0.009965755751376981</v>
      </c>
      <c r="I83" s="56">
        <f t="shared" si="6"/>
        <v>0.0003897622450305314</v>
      </c>
      <c r="J83" s="56">
        <f t="shared" si="6"/>
        <v>0.0104472968736777</v>
      </c>
      <c r="K83" s="56">
        <f t="shared" si="6"/>
        <v>0.008201694214235737</v>
      </c>
    </row>
    <row r="84" spans="1:11" ht="12.75">
      <c r="A84" s="54" t="s">
        <v>84</v>
      </c>
      <c r="B84" s="56">
        <f aca="true" t="shared" si="7" ref="B84:K84">B12/$B12</f>
        <v>1</v>
      </c>
      <c r="C84" s="56">
        <f t="shared" si="7"/>
        <v>0.6869269614428735</v>
      </c>
      <c r="D84" s="56">
        <f t="shared" si="7"/>
        <v>0.07205871358436963</v>
      </c>
      <c r="E84" s="56">
        <f t="shared" si="7"/>
        <v>0.1776122175728426</v>
      </c>
      <c r="F84" s="56">
        <f t="shared" si="7"/>
        <v>0.034589043423494045</v>
      </c>
      <c r="G84" s="56">
        <f t="shared" si="7"/>
        <v>0.0007510245878426904</v>
      </c>
      <c r="H84" s="56">
        <f t="shared" si="7"/>
        <v>0.013343996447642371</v>
      </c>
      <c r="I84" s="56">
        <f t="shared" si="7"/>
        <v>0.0002265534201637075</v>
      </c>
      <c r="J84" s="56">
        <f t="shared" si="7"/>
        <v>0.008615826568825796</v>
      </c>
      <c r="K84" s="56">
        <f t="shared" si="7"/>
        <v>0.005873397417744117</v>
      </c>
    </row>
    <row r="85" spans="1:11" ht="12.75">
      <c r="A85" s="54" t="s">
        <v>85</v>
      </c>
      <c r="B85" s="56">
        <f aca="true" t="shared" si="8" ref="B85:K85">B13/$B13</f>
        <v>1</v>
      </c>
      <c r="C85" s="56">
        <f t="shared" si="8"/>
        <v>0.5588903832692322</v>
      </c>
      <c r="D85" s="56">
        <f t="shared" si="8"/>
        <v>0.1383324288399676</v>
      </c>
      <c r="E85" s="56">
        <f t="shared" si="8"/>
        <v>0.22686790988624359</v>
      </c>
      <c r="F85" s="56">
        <f t="shared" si="8"/>
        <v>0.034596215809495345</v>
      </c>
      <c r="G85" s="56">
        <f t="shared" si="8"/>
        <v>0.0005636697786481888</v>
      </c>
      <c r="H85" s="56">
        <f t="shared" si="8"/>
        <v>0.026017948294440117</v>
      </c>
      <c r="I85" s="56">
        <f t="shared" si="8"/>
        <v>0.00022022447165789702</v>
      </c>
      <c r="J85" s="56">
        <f t="shared" si="8"/>
        <v>0.009464408841488194</v>
      </c>
      <c r="K85" s="56">
        <f t="shared" si="8"/>
        <v>0.005049432528727496</v>
      </c>
    </row>
    <row r="86" spans="1:11" ht="12.75">
      <c r="A86" s="54" t="s">
        <v>86</v>
      </c>
      <c r="B86" s="56">
        <f aca="true" t="shared" si="9" ref="B86:K86">B14/$B14</f>
        <v>1</v>
      </c>
      <c r="C86" s="56">
        <f t="shared" si="9"/>
        <v>0.2410848054200012</v>
      </c>
      <c r="D86" s="56">
        <f t="shared" si="9"/>
        <v>0.08667841843781962</v>
      </c>
      <c r="E86" s="56">
        <f t="shared" si="9"/>
        <v>0.5511091812389588</v>
      </c>
      <c r="F86" s="56">
        <f t="shared" si="9"/>
        <v>0.0862978757667168</v>
      </c>
      <c r="G86" s="56">
        <f t="shared" si="9"/>
        <v>0.0018145271445784172</v>
      </c>
      <c r="H86" s="56">
        <f t="shared" si="9"/>
        <v>0.01888143459794277</v>
      </c>
      <c r="I86" s="56">
        <f t="shared" si="9"/>
        <v>0.00039875504075257345</v>
      </c>
      <c r="J86" s="56">
        <f t="shared" si="9"/>
        <v>0.002901518048937596</v>
      </c>
      <c r="K86" s="56">
        <f t="shared" si="9"/>
        <v>0.010835401395834351</v>
      </c>
    </row>
    <row r="87" spans="1:11" ht="12.75">
      <c r="A87" s="54" t="s">
        <v>87</v>
      </c>
      <c r="B87" s="56">
        <f aca="true" t="shared" si="10" ref="B87:K87">B15/$B15</f>
        <v>1</v>
      </c>
      <c r="C87" s="56">
        <f t="shared" si="10"/>
        <v>0.34221220105391165</v>
      </c>
      <c r="D87" s="56">
        <f t="shared" si="10"/>
        <v>0.13872618565058775</v>
      </c>
      <c r="E87" s="56">
        <f t="shared" si="10"/>
        <v>0.4554646331576814</v>
      </c>
      <c r="F87" s="56">
        <f t="shared" si="10"/>
        <v>0.02223348196189704</v>
      </c>
      <c r="G87" s="56">
        <f t="shared" si="10"/>
        <v>0.005332894203486016</v>
      </c>
      <c r="H87" s="56">
        <f t="shared" si="10"/>
        <v>0.02995541143088772</v>
      </c>
      <c r="I87" s="56">
        <f t="shared" si="10"/>
        <v>0.000179874341305229</v>
      </c>
      <c r="J87" s="56">
        <f t="shared" si="10"/>
        <v>0.002214227807053101</v>
      </c>
      <c r="K87" s="56">
        <f t="shared" si="10"/>
        <v>0.0036810903931901095</v>
      </c>
    </row>
    <row r="88" spans="1:11" ht="12.75">
      <c r="A88" s="54" t="s">
        <v>88</v>
      </c>
      <c r="B88" s="56">
        <f aca="true" t="shared" si="11" ref="B88:K88">B16/$B16</f>
        <v>1</v>
      </c>
      <c r="C88" s="56">
        <f t="shared" si="11"/>
        <v>0.44526295186713344</v>
      </c>
      <c r="D88" s="56">
        <f t="shared" si="11"/>
        <v>0.09385072402918215</v>
      </c>
      <c r="E88" s="56">
        <f t="shared" si="11"/>
        <v>0.4379169047476237</v>
      </c>
      <c r="F88" s="56">
        <f t="shared" si="11"/>
        <v>0.0013495638777784441</v>
      </c>
      <c r="G88" s="56">
        <f t="shared" si="11"/>
        <v>7.892186419756984E-05</v>
      </c>
      <c r="H88" s="56">
        <f t="shared" si="11"/>
        <v>0.012168173021981317</v>
      </c>
      <c r="I88" s="56">
        <f t="shared" si="11"/>
        <v>0.000381981822716238</v>
      </c>
      <c r="J88" s="56">
        <f t="shared" si="11"/>
        <v>0.002359763739507338</v>
      </c>
      <c r="K88" s="56">
        <f t="shared" si="11"/>
        <v>0.006631015029879818</v>
      </c>
    </row>
    <row r="89" spans="1:11" ht="12.75">
      <c r="A89" s="54" t="s">
        <v>89</v>
      </c>
      <c r="B89" s="56">
        <f aca="true" t="shared" si="12" ref="B89:K89">B17/$B17</f>
        <v>1</v>
      </c>
      <c r="C89" s="56">
        <f t="shared" si="12"/>
        <v>0.5293717031520467</v>
      </c>
      <c r="D89" s="56">
        <f t="shared" si="12"/>
        <v>0.08201879814225672</v>
      </c>
      <c r="E89" s="56">
        <f t="shared" si="12"/>
        <v>0.3222989100104364</v>
      </c>
      <c r="F89" s="56">
        <f t="shared" si="12"/>
        <v>0.009414836091676414</v>
      </c>
      <c r="G89" s="56">
        <f t="shared" si="12"/>
        <v>0.0024246513578362904</v>
      </c>
      <c r="H89" s="56">
        <f t="shared" si="12"/>
        <v>0.041487077459570754</v>
      </c>
      <c r="I89" s="56">
        <f t="shared" si="12"/>
        <v>0.0008229310850393651</v>
      </c>
      <c r="J89" s="56">
        <f t="shared" si="12"/>
        <v>0.006324903281950063</v>
      </c>
      <c r="K89" s="56">
        <f t="shared" si="12"/>
        <v>0.005836189419187222</v>
      </c>
    </row>
    <row r="90" spans="1:11" ht="12.75">
      <c r="A90" s="54" t="s">
        <v>90</v>
      </c>
      <c r="B90" s="56">
        <f aca="true" t="shared" si="13" ref="B90:K90">B18/$B18</f>
        <v>1</v>
      </c>
      <c r="C90" s="56">
        <f t="shared" si="13"/>
        <v>0.5314524523060297</v>
      </c>
      <c r="D90" s="56">
        <f t="shared" si="13"/>
        <v>0.03752655037892846</v>
      </c>
      <c r="E90" s="56">
        <f t="shared" si="13"/>
        <v>0.3459388951415678</v>
      </c>
      <c r="F90" s="56">
        <f t="shared" si="13"/>
        <v>0.01785176758732158</v>
      </c>
      <c r="G90" s="56">
        <f t="shared" si="13"/>
        <v>0.00022122797240332158</v>
      </c>
      <c r="H90" s="56">
        <f t="shared" si="13"/>
        <v>0.02781911530571167</v>
      </c>
      <c r="I90" s="56">
        <f t="shared" si="13"/>
        <v>0.001970500519220842</v>
      </c>
      <c r="J90" s="56">
        <f t="shared" si="13"/>
        <v>0.004302460949636182</v>
      </c>
      <c r="K90" s="56">
        <f t="shared" si="13"/>
        <v>0.0329158209431565</v>
      </c>
    </row>
    <row r="91" spans="2:11" ht="12.75"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>
      <c r="A92" s="54" t="s">
        <v>4</v>
      </c>
      <c r="B92" s="56">
        <f aca="true" t="shared" si="14" ref="B92:K92">B20/$B20</f>
        <v>1</v>
      </c>
      <c r="C92" s="56">
        <f t="shared" si="14"/>
        <v>0.36775882528783527</v>
      </c>
      <c r="D92" s="56">
        <f t="shared" si="14"/>
        <v>0.17627023452573987</v>
      </c>
      <c r="E92" s="56">
        <f t="shared" si="14"/>
        <v>0.42772639569537924</v>
      </c>
      <c r="F92" s="56">
        <f t="shared" si="14"/>
        <v>0.007138133758481063</v>
      </c>
      <c r="G92" s="56">
        <f t="shared" si="14"/>
        <v>0.0004710443596967199</v>
      </c>
      <c r="H92" s="56">
        <f t="shared" si="14"/>
        <v>0.015616932233022022</v>
      </c>
      <c r="I92" s="56">
        <f t="shared" si="14"/>
        <v>0.00011776108992417997</v>
      </c>
      <c r="J92" s="56">
        <f t="shared" si="14"/>
        <v>0.0014765428967416412</v>
      </c>
      <c r="K92" s="56">
        <f t="shared" si="14"/>
        <v>0.0034331886985587852</v>
      </c>
    </row>
    <row r="93" spans="1:11" ht="12.75">
      <c r="A93" s="54" t="s">
        <v>5</v>
      </c>
      <c r="B93" s="56">
        <f aca="true" t="shared" si="15" ref="B93:K93">B21/$B21</f>
        <v>1</v>
      </c>
      <c r="C93" s="56">
        <f t="shared" si="15"/>
        <v>0.33620864623503144</v>
      </c>
      <c r="D93" s="56">
        <f t="shared" si="15"/>
        <v>0.02668966916988025</v>
      </c>
      <c r="E93" s="56">
        <f t="shared" si="15"/>
        <v>0.15384615384615385</v>
      </c>
      <c r="F93" s="56">
        <f t="shared" si="15"/>
        <v>0.376902780596712</v>
      </c>
      <c r="G93" s="56">
        <f t="shared" si="15"/>
        <v>0.007408159123198701</v>
      </c>
      <c r="H93" s="56">
        <f t="shared" si="15"/>
        <v>0.07032677085447533</v>
      </c>
      <c r="I93" s="56">
        <f t="shared" si="15"/>
        <v>0.0005074081591231987</v>
      </c>
      <c r="J93" s="56">
        <f t="shared" si="15"/>
        <v>0.01857113862390907</v>
      </c>
      <c r="K93" s="56">
        <f t="shared" si="15"/>
        <v>0.009437791759691496</v>
      </c>
    </row>
    <row r="94" spans="1:11" ht="12.75">
      <c r="A94" s="54" t="s">
        <v>6</v>
      </c>
      <c r="B94" s="56">
        <f aca="true" t="shared" si="16" ref="B94:K94">B22/$B22</f>
        <v>1</v>
      </c>
      <c r="C94" s="56">
        <f t="shared" si="16"/>
        <v>0.36997120713789844</v>
      </c>
      <c r="D94" s="56">
        <f t="shared" si="16"/>
        <v>0.0718114465852576</v>
      </c>
      <c r="E94" s="56">
        <f t="shared" si="16"/>
        <v>0.49710364292298764</v>
      </c>
      <c r="F94" s="56">
        <f t="shared" si="16"/>
        <v>0.0013770499265952725</v>
      </c>
      <c r="G94" s="56">
        <f t="shared" si="16"/>
        <v>0.001502236283558479</v>
      </c>
      <c r="H94" s="56">
        <f t="shared" si="16"/>
        <v>0.04449805961146707</v>
      </c>
      <c r="I94" s="56">
        <f t="shared" si="16"/>
        <v>0.0008421627650252079</v>
      </c>
      <c r="J94" s="56">
        <f t="shared" si="16"/>
        <v>0.0018095118870136225</v>
      </c>
      <c r="K94" s="56">
        <f t="shared" si="16"/>
        <v>0.011084682880196657</v>
      </c>
    </row>
    <row r="95" spans="1:11" ht="12.75">
      <c r="A95" s="54" t="s">
        <v>7</v>
      </c>
      <c r="B95" s="56">
        <f aca="true" t="shared" si="17" ref="B95:K95">B23/$B23</f>
        <v>1</v>
      </c>
      <c r="C95" s="56">
        <f t="shared" si="17"/>
        <v>0.46039325332703934</v>
      </c>
      <c r="D95" s="56">
        <f t="shared" si="17"/>
        <v>0.1618221100600955</v>
      </c>
      <c r="E95" s="56">
        <f t="shared" si="17"/>
        <v>0.3176891374207956</v>
      </c>
      <c r="F95" s="56">
        <f t="shared" si="17"/>
        <v>0.001561393634597578</v>
      </c>
      <c r="G95" s="56">
        <f t="shared" si="17"/>
        <v>7.262295974872456E-05</v>
      </c>
      <c r="H95" s="56">
        <f t="shared" si="17"/>
        <v>0.05272426877757403</v>
      </c>
      <c r="I95" s="56">
        <f t="shared" si="17"/>
        <v>0.00043573775849234733</v>
      </c>
      <c r="J95" s="56">
        <f t="shared" si="17"/>
        <v>0.0025781150710797217</v>
      </c>
      <c r="K95" s="56">
        <f t="shared" si="17"/>
        <v>0.002759672470451533</v>
      </c>
    </row>
    <row r="96" spans="1:11" ht="12.75">
      <c r="A96" s="54" t="s">
        <v>8</v>
      </c>
      <c r="B96" s="56">
        <f aca="true" t="shared" si="18" ref="B96:K96">B24/$B24</f>
        <v>1</v>
      </c>
      <c r="C96" s="56">
        <f t="shared" si="18"/>
        <v>0.6447746340071837</v>
      </c>
      <c r="D96" s="56">
        <f t="shared" si="18"/>
        <v>0.04141489127193039</v>
      </c>
      <c r="E96" s="56">
        <f t="shared" si="18"/>
        <v>0.2572696093050999</v>
      </c>
      <c r="F96" s="56">
        <f t="shared" si="18"/>
        <v>0.0035464671481736016</v>
      </c>
      <c r="G96" s="56">
        <f t="shared" si="18"/>
        <v>0.0001021149133157847</v>
      </c>
      <c r="H96" s="56">
        <f t="shared" si="18"/>
        <v>0.017868488958622388</v>
      </c>
      <c r="I96" s="56">
        <f t="shared" si="18"/>
        <v>0.002207627173588869</v>
      </c>
      <c r="J96" s="56">
        <f t="shared" si="18"/>
        <v>0.0031623205695094593</v>
      </c>
      <c r="K96" s="56">
        <f t="shared" si="18"/>
        <v>0.02965384665257589</v>
      </c>
    </row>
    <row r="97" spans="1:11" ht="12.75">
      <c r="A97" s="54" t="s">
        <v>9</v>
      </c>
      <c r="B97" s="56">
        <f aca="true" t="shared" si="19" ref="B97:K97">B25/$B25</f>
        <v>1</v>
      </c>
      <c r="C97" s="56">
        <f t="shared" si="19"/>
        <v>0.6743512910423972</v>
      </c>
      <c r="D97" s="56">
        <f t="shared" si="19"/>
        <v>0.07004144086707045</v>
      </c>
      <c r="E97" s="56">
        <f t="shared" si="19"/>
        <v>0.21638508128785464</v>
      </c>
      <c r="F97" s="56">
        <f t="shared" si="19"/>
        <v>0.001823398151099777</v>
      </c>
      <c r="G97" s="56">
        <f t="shared" si="19"/>
        <v>0.0018489002231431304</v>
      </c>
      <c r="H97" s="56">
        <f t="shared" si="19"/>
        <v>0.01811922218680268</v>
      </c>
      <c r="I97" s="56">
        <f t="shared" si="19"/>
        <v>0.0008925725215173732</v>
      </c>
      <c r="J97" s="56">
        <f t="shared" si="19"/>
        <v>0.011705451067899266</v>
      </c>
      <c r="K97" s="56">
        <f t="shared" si="19"/>
        <v>0.0048453936882371694</v>
      </c>
    </row>
    <row r="98" spans="1:11" ht="12.75">
      <c r="A98" s="54" t="s">
        <v>10</v>
      </c>
      <c r="B98" s="56">
        <f aca="true" t="shared" si="20" ref="B98:K98">B26/$B26</f>
        <v>1</v>
      </c>
      <c r="C98" s="56">
        <f t="shared" si="20"/>
        <v>0.3371318734125077</v>
      </c>
      <c r="D98" s="56">
        <f t="shared" si="20"/>
        <v>0.03094666025949063</v>
      </c>
      <c r="E98" s="56">
        <f t="shared" si="20"/>
        <v>0.19726779707558179</v>
      </c>
      <c r="F98" s="56">
        <f t="shared" si="20"/>
        <v>0.41850758563877255</v>
      </c>
      <c r="G98" s="56">
        <f t="shared" si="20"/>
        <v>0.0007139424727122949</v>
      </c>
      <c r="H98" s="56">
        <f t="shared" si="20"/>
        <v>0.006164618658611931</v>
      </c>
      <c r="I98" s="56">
        <f t="shared" si="20"/>
        <v>0.00020594494405162353</v>
      </c>
      <c r="J98" s="56">
        <f t="shared" si="20"/>
        <v>0.005189812590100913</v>
      </c>
      <c r="K98" s="56">
        <f t="shared" si="20"/>
        <v>0.0038717649481705223</v>
      </c>
    </row>
    <row r="99" spans="1:11" ht="12.75">
      <c r="A99" s="54" t="s">
        <v>11</v>
      </c>
      <c r="B99" s="56">
        <f aca="true" t="shared" si="21" ref="B99:K99">B27/$B27</f>
        <v>1</v>
      </c>
      <c r="C99" s="56">
        <f t="shared" si="21"/>
        <v>0.309938557040603</v>
      </c>
      <c r="D99" s="56">
        <f t="shared" si="21"/>
        <v>0.10800025337302845</v>
      </c>
      <c r="E99" s="56">
        <f t="shared" si="21"/>
        <v>0.2849179704820422</v>
      </c>
      <c r="F99" s="56">
        <f t="shared" si="21"/>
        <v>0.28111737505542533</v>
      </c>
      <c r="G99" s="56">
        <f t="shared" si="21"/>
        <v>0.001330208399315893</v>
      </c>
      <c r="H99" s="56">
        <f t="shared" si="21"/>
        <v>0.007601190853233674</v>
      </c>
      <c r="I99" s="56">
        <f t="shared" si="21"/>
        <v>0.0003800595426616837</v>
      </c>
      <c r="J99" s="56">
        <f t="shared" si="21"/>
        <v>0.004307341483499081</v>
      </c>
      <c r="K99" s="56">
        <f t="shared" si="21"/>
        <v>0.002407043770190663</v>
      </c>
    </row>
    <row r="100" spans="1:11" ht="12.75">
      <c r="A100" s="54" t="s">
        <v>12</v>
      </c>
      <c r="B100" s="56">
        <f aca="true" t="shared" si="22" ref="B100:K100">B28/$B28</f>
        <v>1</v>
      </c>
      <c r="C100" s="56">
        <f t="shared" si="22"/>
        <v>0.605475040257649</v>
      </c>
      <c r="D100" s="56">
        <f t="shared" si="22"/>
        <v>0.023282340311325818</v>
      </c>
      <c r="E100" s="56">
        <f t="shared" si="22"/>
        <v>0.2831454643048846</v>
      </c>
      <c r="F100" s="56">
        <f t="shared" si="22"/>
        <v>0.06038647342995169</v>
      </c>
      <c r="G100" s="56">
        <f t="shared" si="22"/>
        <v>0.0003354804079441761</v>
      </c>
      <c r="H100" s="56">
        <f t="shared" si="22"/>
        <v>0.0006038647342995169</v>
      </c>
      <c r="I100" s="56">
        <f t="shared" si="22"/>
        <v>0.0004696725711218465</v>
      </c>
      <c r="J100" s="56">
        <f t="shared" si="22"/>
        <v>0.008319914117015567</v>
      </c>
      <c r="K100" s="56">
        <f t="shared" si="22"/>
        <v>0.017981749865807837</v>
      </c>
    </row>
    <row r="101" spans="1:11" ht="12.75">
      <c r="A101" s="54" t="s">
        <v>13</v>
      </c>
      <c r="B101" s="56">
        <f aca="true" t="shared" si="23" ref="B101:K101">B29/$B29</f>
        <v>1</v>
      </c>
      <c r="C101" s="56">
        <f t="shared" si="23"/>
        <v>0.06462044105173877</v>
      </c>
      <c r="D101" s="56">
        <f t="shared" si="23"/>
        <v>0.05587674000898069</v>
      </c>
      <c r="E101" s="56">
        <f t="shared" si="23"/>
        <v>0.8351793643666118</v>
      </c>
      <c r="F101" s="56">
        <f t="shared" si="23"/>
        <v>0.014197600159656739</v>
      </c>
      <c r="G101" s="56">
        <f t="shared" si="23"/>
        <v>6.548420895075588E-05</v>
      </c>
      <c r="H101" s="56">
        <f t="shared" si="23"/>
        <v>0.0034613081873970963</v>
      </c>
      <c r="I101" s="56">
        <f t="shared" si="23"/>
        <v>0.000449034575662326</v>
      </c>
      <c r="J101" s="56">
        <f t="shared" si="23"/>
        <v>0.001166242578456319</v>
      </c>
      <c r="K101" s="56">
        <f t="shared" si="23"/>
        <v>0.024980666566881204</v>
      </c>
    </row>
    <row r="102" spans="1:11" ht="12.75">
      <c r="A102" s="54" t="s">
        <v>14</v>
      </c>
      <c r="B102" s="56">
        <f aca="true" t="shared" si="24" ref="B102:K102">B30/$B30</f>
        <v>1</v>
      </c>
      <c r="C102" s="56">
        <f t="shared" si="24"/>
        <v>0.40750820255868964</v>
      </c>
      <c r="D102" s="56">
        <f t="shared" si="24"/>
        <v>0.15116870564895593</v>
      </c>
      <c r="E102" s="56">
        <f t="shared" si="24"/>
        <v>0.4093140371849327</v>
      </c>
      <c r="F102" s="56">
        <f t="shared" si="24"/>
        <v>0.011070274944680419</v>
      </c>
      <c r="G102" s="56">
        <f t="shared" si="24"/>
        <v>0.00010173716204186484</v>
      </c>
      <c r="H102" s="56">
        <f t="shared" si="24"/>
        <v>0.01396342549024595</v>
      </c>
      <c r="I102" s="56">
        <f t="shared" si="24"/>
        <v>0.0004705343744436249</v>
      </c>
      <c r="J102" s="56">
        <f t="shared" si="24"/>
        <v>0.0013988859780756416</v>
      </c>
      <c r="K102" s="56">
        <f t="shared" si="24"/>
        <v>0.005004196657934227</v>
      </c>
    </row>
    <row r="103" spans="1:11" ht="12.75">
      <c r="A103" s="54" t="s">
        <v>15</v>
      </c>
      <c r="B103" s="56">
        <f aca="true" t="shared" si="25" ref="B103:K103">B31/$B31</f>
        <v>1</v>
      </c>
      <c r="C103" s="56">
        <f t="shared" si="25"/>
        <v>0.04063340304750523</v>
      </c>
      <c r="D103" s="56">
        <f t="shared" si="25"/>
        <v>0.03580320685190718</v>
      </c>
      <c r="E103" s="56">
        <f t="shared" si="25"/>
        <v>0.4964644955681705</v>
      </c>
      <c r="F103" s="56">
        <f t="shared" si="25"/>
        <v>0.0016432626232446967</v>
      </c>
      <c r="G103" s="56">
        <f t="shared" si="25"/>
        <v>9.959167413604223E-05</v>
      </c>
      <c r="H103" s="56">
        <f t="shared" si="25"/>
        <v>0.004780400358530027</v>
      </c>
      <c r="I103" s="56">
        <f t="shared" si="25"/>
        <v>0.011104471666168708</v>
      </c>
      <c r="J103" s="56">
        <f t="shared" si="25"/>
        <v>0.0009959167413604222</v>
      </c>
      <c r="K103" s="56">
        <f t="shared" si="25"/>
        <v>0.4085250473060452</v>
      </c>
    </row>
    <row r="104" spans="1:11" ht="12.75">
      <c r="A104" s="54" t="s">
        <v>16</v>
      </c>
      <c r="B104" s="56">
        <f aca="true" t="shared" si="26" ref="B104:K104">B32/$B32</f>
        <v>1</v>
      </c>
      <c r="C104" s="56">
        <f t="shared" si="26"/>
        <v>0.33941783704753886</v>
      </c>
      <c r="D104" s="56">
        <f t="shared" si="26"/>
        <v>0.06021000398741748</v>
      </c>
      <c r="E104" s="56">
        <f t="shared" si="26"/>
        <v>0.4397678436932347</v>
      </c>
      <c r="F104" s="56">
        <f t="shared" si="26"/>
        <v>0.05865934163306898</v>
      </c>
      <c r="G104" s="56">
        <f t="shared" si="26"/>
        <v>0.0040317221213061</v>
      </c>
      <c r="H104" s="56">
        <f t="shared" si="26"/>
        <v>0.08679278720482035</v>
      </c>
      <c r="I104" s="56">
        <f t="shared" si="26"/>
        <v>0.0002215231934783572</v>
      </c>
      <c r="J104" s="56">
        <f t="shared" si="26"/>
        <v>0.007265960746090116</v>
      </c>
      <c r="K104" s="56">
        <f t="shared" si="26"/>
        <v>0.0036772850117407292</v>
      </c>
    </row>
    <row r="105" spans="1:11" ht="12.75">
      <c r="A105" s="54" t="s">
        <v>17</v>
      </c>
      <c r="B105" s="56">
        <f aca="true" t="shared" si="27" ref="B105:K105">B33/$B33</f>
        <v>1</v>
      </c>
      <c r="C105" s="56">
        <f t="shared" si="27"/>
        <v>0.7501108912242391</v>
      </c>
      <c r="D105" s="56">
        <f t="shared" si="27"/>
        <v>0.05193547836768118</v>
      </c>
      <c r="E105" s="56">
        <f t="shared" si="27"/>
        <v>0.16881909376279514</v>
      </c>
      <c r="F105" s="56">
        <f t="shared" si="27"/>
        <v>0.007007472362494882</v>
      </c>
      <c r="G105" s="56">
        <f t="shared" si="27"/>
        <v>0.00034120376688958644</v>
      </c>
      <c r="H105" s="56">
        <f t="shared" si="27"/>
        <v>0.004260782039033711</v>
      </c>
      <c r="I105" s="56">
        <f t="shared" si="27"/>
        <v>0.0002644329193394295</v>
      </c>
      <c r="J105" s="56">
        <f t="shared" si="27"/>
        <v>0.00832110686501979</v>
      </c>
      <c r="K105" s="56">
        <f t="shared" si="27"/>
        <v>0.008935273645421045</v>
      </c>
    </row>
    <row r="106" spans="1:11" ht="12.75">
      <c r="A106" s="54" t="s">
        <v>18</v>
      </c>
      <c r="B106" s="56">
        <f aca="true" t="shared" si="28" ref="B106:K106">B34/$B34</f>
        <v>1</v>
      </c>
      <c r="C106" s="56">
        <f t="shared" si="28"/>
        <v>0.6173933500627352</v>
      </c>
      <c r="D106" s="56">
        <f t="shared" si="28"/>
        <v>0.07679841070681723</v>
      </c>
      <c r="E106" s="56">
        <f t="shared" si="28"/>
        <v>0.2512547051442911</v>
      </c>
      <c r="F106" s="56">
        <f t="shared" si="28"/>
        <v>0.028352850968911193</v>
      </c>
      <c r="G106" s="56">
        <f t="shared" si="28"/>
        <v>0.0015858078907012407</v>
      </c>
      <c r="H106" s="56">
        <f t="shared" si="28"/>
        <v>0.015204586644360798</v>
      </c>
      <c r="I106" s="56">
        <f t="shared" si="28"/>
        <v>0.00013069845253032205</v>
      </c>
      <c r="J106" s="56">
        <f t="shared" si="28"/>
        <v>0.005454482085598773</v>
      </c>
      <c r="K106" s="56">
        <f t="shared" si="28"/>
        <v>0.0038251080440540918</v>
      </c>
    </row>
    <row r="107" spans="1:11" ht="12.75">
      <c r="A107" s="54" t="s">
        <v>19</v>
      </c>
      <c r="B107" s="56">
        <f aca="true" t="shared" si="29" ref="B107:K107">B35/$B35</f>
        <v>1</v>
      </c>
      <c r="C107" s="56">
        <f t="shared" si="29"/>
        <v>0.6166600512394905</v>
      </c>
      <c r="D107" s="56">
        <f t="shared" si="29"/>
        <v>0.14274889041244182</v>
      </c>
      <c r="E107" s="56">
        <f t="shared" si="29"/>
        <v>0.18761952874102406</v>
      </c>
      <c r="F107" s="56">
        <f t="shared" si="29"/>
        <v>0.02477176776242197</v>
      </c>
      <c r="G107" s="56">
        <f t="shared" si="29"/>
        <v>7.21682964673619E-05</v>
      </c>
      <c r="H107" s="56">
        <f t="shared" si="29"/>
        <v>0.012376862844152564</v>
      </c>
      <c r="I107" s="56">
        <f t="shared" si="29"/>
        <v>0.00021650488940208566</v>
      </c>
      <c r="J107" s="56">
        <f t="shared" si="29"/>
        <v>0.00992314076426226</v>
      </c>
      <c r="K107" s="56">
        <f t="shared" si="29"/>
        <v>0.005593042976220547</v>
      </c>
    </row>
    <row r="108" spans="1:11" ht="12.75">
      <c r="A108" s="54" t="s">
        <v>20</v>
      </c>
      <c r="B108" s="56">
        <f aca="true" t="shared" si="30" ref="B108:K108">B36/$B36</f>
        <v>1</v>
      </c>
      <c r="C108" s="56">
        <f t="shared" si="30"/>
        <v>0.6846803883791466</v>
      </c>
      <c r="D108" s="56">
        <f t="shared" si="30"/>
        <v>0.08635522575968563</v>
      </c>
      <c r="E108" s="56">
        <f t="shared" si="30"/>
        <v>0.20811475878908112</v>
      </c>
      <c r="F108" s="56">
        <f t="shared" si="30"/>
        <v>0.0016023501134997996</v>
      </c>
      <c r="G108" s="56">
        <f t="shared" si="30"/>
        <v>5.722678976784999E-05</v>
      </c>
      <c r="H108" s="56">
        <f t="shared" si="30"/>
        <v>0.013371993209087614</v>
      </c>
      <c r="I108" s="56">
        <f t="shared" si="30"/>
        <v>0.00011445357953569998</v>
      </c>
      <c r="J108" s="56">
        <f t="shared" si="30"/>
        <v>0.0038532705110352326</v>
      </c>
      <c r="K108" s="56">
        <f t="shared" si="30"/>
        <v>0.001850332869160483</v>
      </c>
    </row>
    <row r="109" spans="1:11" ht="12.75">
      <c r="A109" s="54" t="s">
        <v>21</v>
      </c>
      <c r="B109" s="56">
        <f aca="true" t="shared" si="31" ref="B109:K109">B37/$B37</f>
        <v>1</v>
      </c>
      <c r="C109" s="56">
        <f t="shared" si="31"/>
        <v>0.3637210089724056</v>
      </c>
      <c r="D109" s="56">
        <f t="shared" si="31"/>
        <v>0.10410318266463518</v>
      </c>
      <c r="E109" s="56">
        <f t="shared" si="31"/>
        <v>0.4199784154393093</v>
      </c>
      <c r="F109" s="56">
        <f t="shared" si="31"/>
        <v>0.04116937531742001</v>
      </c>
      <c r="G109" s="56">
        <f t="shared" si="31"/>
        <v>0.01818816658202133</v>
      </c>
      <c r="H109" s="56">
        <f t="shared" si="31"/>
        <v>0.04540164211951921</v>
      </c>
      <c r="I109" s="56">
        <f t="shared" si="31"/>
        <v>0.00015871000507872016</v>
      </c>
      <c r="J109" s="56">
        <f t="shared" si="31"/>
        <v>0.00388310479092602</v>
      </c>
      <c r="K109" s="56">
        <f t="shared" si="31"/>
        <v>0.0034175554426951076</v>
      </c>
    </row>
    <row r="110" spans="1:11" ht="12.75">
      <c r="A110" s="54" t="s">
        <v>22</v>
      </c>
      <c r="B110" s="56">
        <f aca="true" t="shared" si="32" ref="B110:K110">B38/$B38</f>
        <v>1</v>
      </c>
      <c r="C110" s="56">
        <f t="shared" si="32"/>
        <v>0.4709517808828435</v>
      </c>
      <c r="D110" s="56">
        <f t="shared" si="32"/>
        <v>0.06554612505096179</v>
      </c>
      <c r="E110" s="56">
        <f t="shared" si="32"/>
        <v>0.4448500796857048</v>
      </c>
      <c r="F110" s="56">
        <f t="shared" si="32"/>
        <v>0.002251584448315481</v>
      </c>
      <c r="G110" s="56">
        <f t="shared" si="32"/>
        <v>7.412623698157963E-05</v>
      </c>
      <c r="H110" s="56">
        <f t="shared" si="32"/>
        <v>0.008561580371372448</v>
      </c>
      <c r="I110" s="56">
        <f t="shared" si="32"/>
        <v>0.0003150365071717134</v>
      </c>
      <c r="J110" s="56">
        <f t="shared" si="32"/>
        <v>0.001982876839257255</v>
      </c>
      <c r="K110" s="56">
        <f t="shared" si="32"/>
        <v>0.005439012638523405</v>
      </c>
    </row>
    <row r="111" spans="1:11" ht="12.75">
      <c r="A111" s="54" t="s">
        <v>23</v>
      </c>
      <c r="B111" s="56">
        <f aca="true" t="shared" si="33" ref="B111:K111">B39/$B39</f>
        <v>1</v>
      </c>
      <c r="C111" s="56">
        <f t="shared" si="33"/>
        <v>0.04084643758493496</v>
      </c>
      <c r="D111" s="56">
        <f t="shared" si="33"/>
        <v>0.04950495049504951</v>
      </c>
      <c r="E111" s="56">
        <f t="shared" si="33"/>
        <v>0.08681809357406328</v>
      </c>
      <c r="F111" s="56">
        <f t="shared" si="33"/>
        <v>0.7517375266938459</v>
      </c>
      <c r="G111" s="56">
        <f t="shared" si="33"/>
        <v>0.0014366142496602603</v>
      </c>
      <c r="H111" s="56">
        <f t="shared" si="33"/>
        <v>0.06262861580275675</v>
      </c>
      <c r="I111" s="56">
        <f t="shared" si="33"/>
        <v>0.00034944670937682004</v>
      </c>
      <c r="J111" s="56">
        <f t="shared" si="33"/>
        <v>0.0039992234517569406</v>
      </c>
      <c r="K111" s="56">
        <f t="shared" si="33"/>
        <v>0.0026790914385556204</v>
      </c>
    </row>
    <row r="112" spans="1:11" ht="12.75">
      <c r="A112" s="54" t="s">
        <v>24</v>
      </c>
      <c r="B112" s="56">
        <f aca="true" t="shared" si="34" ref="B112:K112">B40/$B40</f>
        <v>1</v>
      </c>
      <c r="C112" s="56">
        <f t="shared" si="34"/>
        <v>0.46894277597402595</v>
      </c>
      <c r="D112" s="56">
        <f t="shared" si="34"/>
        <v>0.03616071428571429</v>
      </c>
      <c r="E112" s="56">
        <f t="shared" si="34"/>
        <v>0.30122767857142857</v>
      </c>
      <c r="F112" s="56">
        <f t="shared" si="34"/>
        <v>0.1690239448051948</v>
      </c>
      <c r="G112" s="56">
        <f t="shared" si="34"/>
        <v>0.0020089285714285712</v>
      </c>
      <c r="H112" s="56">
        <f t="shared" si="34"/>
        <v>0.010166396103896105</v>
      </c>
      <c r="I112" s="56">
        <f t="shared" si="34"/>
        <v>0.0003551136363636364</v>
      </c>
      <c r="J112" s="56">
        <f t="shared" si="34"/>
        <v>0.006696428571428571</v>
      </c>
      <c r="K112" s="56">
        <f t="shared" si="34"/>
        <v>0.005397727272727273</v>
      </c>
    </row>
    <row r="113" spans="1:11" ht="12.75">
      <c r="A113" s="54" t="s">
        <v>25</v>
      </c>
      <c r="B113" s="56">
        <f aca="true" t="shared" si="35" ref="B113:K113">B41/$B41</f>
        <v>1</v>
      </c>
      <c r="C113" s="56">
        <f t="shared" si="35"/>
        <v>0.4455281271720365</v>
      </c>
      <c r="D113" s="56">
        <f t="shared" si="35"/>
        <v>0.032929007570831746</v>
      </c>
      <c r="E113" s="56">
        <f t="shared" si="35"/>
        <v>0.1856983774653782</v>
      </c>
      <c r="F113" s="56">
        <f t="shared" si="35"/>
        <v>0.31616630419347846</v>
      </c>
      <c r="G113" s="56">
        <f t="shared" si="35"/>
        <v>0.0006801043324888081</v>
      </c>
      <c r="H113" s="56">
        <f t="shared" si="35"/>
        <v>0.005455782007877252</v>
      </c>
      <c r="I113" s="56">
        <f t="shared" si="35"/>
        <v>0.00015694715365126342</v>
      </c>
      <c r="J113" s="56">
        <f t="shared" si="35"/>
        <v>0.006756201280987721</v>
      </c>
      <c r="K113" s="56">
        <f t="shared" si="35"/>
        <v>0.006636622497253425</v>
      </c>
    </row>
    <row r="114" spans="1:11" ht="12.75">
      <c r="A114" s="54" t="s">
        <v>26</v>
      </c>
      <c r="B114" s="56">
        <f aca="true" t="shared" si="36" ref="B114:K114">B42/$B42</f>
        <v>1</v>
      </c>
      <c r="C114" s="56">
        <f t="shared" si="36"/>
        <v>0.7405915359792818</v>
      </c>
      <c r="D114" s="56">
        <f t="shared" si="36"/>
        <v>0.09281544817380223</v>
      </c>
      <c r="E114" s="56">
        <f t="shared" si="36"/>
        <v>0.09935666865352599</v>
      </c>
      <c r="F114" s="56">
        <f t="shared" si="36"/>
        <v>0.03633897190306867</v>
      </c>
      <c r="G114" s="56">
        <f t="shared" si="36"/>
        <v>0.00033399790352085177</v>
      </c>
      <c r="H114" s="56">
        <f t="shared" si="36"/>
        <v>0.016391589418946417</v>
      </c>
      <c r="I114" s="56">
        <f t="shared" si="36"/>
        <v>0.00022609088853719196</v>
      </c>
      <c r="J114" s="56">
        <f t="shared" si="36"/>
        <v>0.008468131461574826</v>
      </c>
      <c r="K114" s="56">
        <f t="shared" si="36"/>
        <v>0.005472427188457032</v>
      </c>
    </row>
    <row r="115" spans="1:11" ht="12.75">
      <c r="A115" s="54" t="s">
        <v>27</v>
      </c>
      <c r="B115" s="56">
        <f aca="true" t="shared" si="37" ref="B115:K115">B43/$B43</f>
        <v>1</v>
      </c>
      <c r="C115" s="56">
        <f t="shared" si="37"/>
        <v>0.5592160317110768</v>
      </c>
      <c r="D115" s="56">
        <f t="shared" si="37"/>
        <v>0.11913675401893856</v>
      </c>
      <c r="E115" s="56">
        <f t="shared" si="37"/>
        <v>0.18284518828451882</v>
      </c>
      <c r="F115" s="56">
        <f t="shared" si="37"/>
        <v>0.08636864126844307</v>
      </c>
      <c r="G115" s="56">
        <f t="shared" si="37"/>
        <v>0.00045144241356529397</v>
      </c>
      <c r="H115" s="56">
        <f t="shared" si="37"/>
        <v>0.024289804007927768</v>
      </c>
      <c r="I115" s="56">
        <f t="shared" si="37"/>
        <v>0.00019819423034573883</v>
      </c>
      <c r="J115" s="56">
        <f t="shared" si="37"/>
        <v>0.01818982602950892</v>
      </c>
      <c r="K115" s="56">
        <f t="shared" si="37"/>
        <v>0.009293107245100199</v>
      </c>
    </row>
    <row r="116" spans="1:11" ht="12.75">
      <c r="A116" s="54" t="s">
        <v>28</v>
      </c>
      <c r="B116" s="56">
        <f aca="true" t="shared" si="38" ref="B116:K116">B44/$B44</f>
        <v>1</v>
      </c>
      <c r="C116" s="56">
        <f t="shared" si="38"/>
        <v>0.3619402985074627</v>
      </c>
      <c r="D116" s="56">
        <f t="shared" si="38"/>
        <v>0.2408906882591093</v>
      </c>
      <c r="E116" s="56">
        <f t="shared" si="38"/>
        <v>0.3674844401474409</v>
      </c>
      <c r="F116" s="56">
        <f t="shared" si="38"/>
        <v>0.0026436642697443952</v>
      </c>
      <c r="G116" s="56">
        <f t="shared" si="38"/>
        <v>0.0001208532237597438</v>
      </c>
      <c r="H116" s="56">
        <f t="shared" si="38"/>
        <v>0.02013716840896731</v>
      </c>
      <c r="I116" s="56">
        <f t="shared" si="38"/>
        <v>0.0002870264064293915</v>
      </c>
      <c r="J116" s="56">
        <f t="shared" si="38"/>
        <v>0.0018732249682760287</v>
      </c>
      <c r="K116" s="56">
        <f t="shared" si="38"/>
        <v>0.004607529155840232</v>
      </c>
    </row>
    <row r="117" spans="1:11" ht="12.75">
      <c r="A117" s="54" t="s">
        <v>29</v>
      </c>
      <c r="B117" s="56">
        <f aca="true" t="shared" si="39" ref="B117:K117">B45/$B45</f>
        <v>1</v>
      </c>
      <c r="C117" s="56">
        <f t="shared" si="39"/>
        <v>0.5072212785350292</v>
      </c>
      <c r="D117" s="56">
        <f t="shared" si="39"/>
        <v>0.1600613166507851</v>
      </c>
      <c r="E117" s="56">
        <f t="shared" si="39"/>
        <v>0.27372912955213985</v>
      </c>
      <c r="F117" s="56">
        <f t="shared" si="39"/>
        <v>0.006993412603057547</v>
      </c>
      <c r="G117" s="56">
        <f t="shared" si="39"/>
        <v>9.114637278866471E-05</v>
      </c>
      <c r="H117" s="56">
        <f t="shared" si="39"/>
        <v>0.0454406098520943</v>
      </c>
      <c r="I117" s="56">
        <f t="shared" si="39"/>
        <v>0.00023200894891660108</v>
      </c>
      <c r="J117" s="56">
        <f t="shared" si="39"/>
        <v>0.0035132783693085303</v>
      </c>
      <c r="K117" s="56">
        <f t="shared" si="39"/>
        <v>0.002717819115880184</v>
      </c>
    </row>
    <row r="118" spans="1:11" ht="12.75">
      <c r="A118" s="54" t="s">
        <v>30</v>
      </c>
      <c r="B118" s="56">
        <f aca="true" t="shared" si="40" ref="B118:K118">B46/$B46</f>
        <v>1</v>
      </c>
      <c r="C118" s="56">
        <f t="shared" si="40"/>
        <v>0.5176082964243275</v>
      </c>
      <c r="D118" s="56">
        <f t="shared" si="40"/>
        <v>0.13022577508912175</v>
      </c>
      <c r="E118" s="56">
        <f t="shared" si="40"/>
        <v>0.2188073890029167</v>
      </c>
      <c r="F118" s="56">
        <f t="shared" si="40"/>
        <v>0.03456843469806633</v>
      </c>
      <c r="G118" s="56">
        <f t="shared" si="40"/>
        <v>0.003996975261963919</v>
      </c>
      <c r="H118" s="56">
        <f t="shared" si="40"/>
        <v>0.07718483309927622</v>
      </c>
      <c r="I118" s="56">
        <f t="shared" si="40"/>
        <v>0.0005401317921572864</v>
      </c>
      <c r="J118" s="56">
        <f t="shared" si="40"/>
        <v>0.013557307983147889</v>
      </c>
      <c r="K118" s="56">
        <f t="shared" si="40"/>
        <v>0.00356486982823809</v>
      </c>
    </row>
    <row r="119" spans="1:11" ht="12.75">
      <c r="A119" s="54" t="s">
        <v>31</v>
      </c>
      <c r="B119" s="56">
        <f aca="true" t="shared" si="41" ref="B119:K119">B47/$B47</f>
        <v>1</v>
      </c>
      <c r="C119" s="56">
        <f t="shared" si="41"/>
        <v>0.6260081532099598</v>
      </c>
      <c r="D119" s="56">
        <f t="shared" si="41"/>
        <v>0.12050913570108807</v>
      </c>
      <c r="E119" s="56">
        <f t="shared" si="41"/>
        <v>0.21295128603689475</v>
      </c>
      <c r="F119" s="56">
        <f t="shared" si="41"/>
        <v>0.015309264744698948</v>
      </c>
      <c r="G119" s="56">
        <f t="shared" si="41"/>
        <v>0.00017596856028389595</v>
      </c>
      <c r="H119" s="56">
        <f t="shared" si="41"/>
        <v>0.01384286007566648</v>
      </c>
      <c r="I119" s="56">
        <f t="shared" si="41"/>
        <v>0.0002639528404258439</v>
      </c>
      <c r="J119" s="56">
        <f t="shared" si="41"/>
        <v>0.008123881866439862</v>
      </c>
      <c r="K119" s="56">
        <f t="shared" si="41"/>
        <v>0.0027568407777810366</v>
      </c>
    </row>
    <row r="120" spans="1:11" ht="12.75">
      <c r="A120" s="54" t="s">
        <v>32</v>
      </c>
      <c r="B120" s="56">
        <f aca="true" t="shared" si="42" ref="B120:K120">B48/$B48</f>
        <v>1</v>
      </c>
      <c r="C120" s="56">
        <f t="shared" si="42"/>
        <v>0.4289479138906162</v>
      </c>
      <c r="D120" s="56">
        <f t="shared" si="42"/>
        <v>0.05415889372538569</v>
      </c>
      <c r="E120" s="56">
        <f t="shared" si="42"/>
        <v>0.4839655325575198</v>
      </c>
      <c r="F120" s="56">
        <f t="shared" si="42"/>
        <v>0.011933315566610406</v>
      </c>
      <c r="G120" s="56">
        <f t="shared" si="42"/>
        <v>0.00026650084391933906</v>
      </c>
      <c r="H120" s="56">
        <f t="shared" si="42"/>
        <v>0.01154836990317136</v>
      </c>
      <c r="I120" s="56">
        <f t="shared" si="42"/>
        <v>0.0007698913268780907</v>
      </c>
      <c r="J120" s="56">
        <f t="shared" si="42"/>
        <v>0.004352847117349205</v>
      </c>
      <c r="K120" s="56">
        <f t="shared" si="42"/>
        <v>0.00405673506854994</v>
      </c>
    </row>
    <row r="121" spans="1:11" ht="12.75">
      <c r="A121" s="54" t="s">
        <v>33</v>
      </c>
      <c r="B121" s="56">
        <f aca="true" t="shared" si="43" ref="B121:K121">B49/$B49</f>
        <v>1</v>
      </c>
      <c r="C121" s="56">
        <f t="shared" si="43"/>
        <v>0.18854151659222976</v>
      </c>
      <c r="D121" s="56">
        <f t="shared" si="43"/>
        <v>0.09210968640445662</v>
      </c>
      <c r="E121" s="56">
        <f t="shared" si="43"/>
        <v>0.12298900254526245</v>
      </c>
      <c r="F121" s="56">
        <f t="shared" si="43"/>
        <v>0.5426211400854823</v>
      </c>
      <c r="G121" s="56">
        <f t="shared" si="43"/>
        <v>0.001008500216107189</v>
      </c>
      <c r="H121" s="56">
        <f t="shared" si="43"/>
        <v>0.04053210392354608</v>
      </c>
      <c r="I121" s="56">
        <f t="shared" si="43"/>
        <v>0.00024011909907314027</v>
      </c>
      <c r="J121" s="56">
        <f t="shared" si="43"/>
        <v>0.008260097008116026</v>
      </c>
      <c r="K121" s="56">
        <f t="shared" si="43"/>
        <v>0.003649810305911732</v>
      </c>
    </row>
    <row r="122" spans="1:11" ht="12.75">
      <c r="A122" s="54" t="s">
        <v>34</v>
      </c>
      <c r="B122" s="56">
        <f aca="true" t="shared" si="44" ref="B122:K122">B50/$B50</f>
        <v>1</v>
      </c>
      <c r="C122" s="56">
        <f t="shared" si="44"/>
        <v>0.6048108448928121</v>
      </c>
      <c r="D122" s="56">
        <f t="shared" si="44"/>
        <v>0.03206179066834804</v>
      </c>
      <c r="E122" s="56">
        <f t="shared" si="44"/>
        <v>0.15041614123581337</v>
      </c>
      <c r="F122" s="56">
        <f t="shared" si="44"/>
        <v>0.19562421185372006</v>
      </c>
      <c r="G122" s="56">
        <f t="shared" si="44"/>
        <v>0.0004098360655737705</v>
      </c>
      <c r="H122" s="56">
        <f t="shared" si="44"/>
        <v>0.001771752837326608</v>
      </c>
      <c r="I122" s="56">
        <f t="shared" si="44"/>
        <v>0.0002459016393442623</v>
      </c>
      <c r="J122" s="56">
        <f t="shared" si="44"/>
        <v>0.0077742749054224465</v>
      </c>
      <c r="K122" s="56">
        <f t="shared" si="44"/>
        <v>0.006878940731399748</v>
      </c>
    </row>
    <row r="123" spans="1:11" ht="12.75">
      <c r="A123" s="54" t="s">
        <v>35</v>
      </c>
      <c r="B123" s="56">
        <f aca="true" t="shared" si="45" ref="B123:K123">B51/$B51</f>
        <v>1</v>
      </c>
      <c r="C123" s="56">
        <f t="shared" si="45"/>
        <v>0.6043989402803841</v>
      </c>
      <c r="D123" s="56">
        <f t="shared" si="45"/>
        <v>0.1723700187658682</v>
      </c>
      <c r="E123" s="56">
        <f t="shared" si="45"/>
        <v>0.1256485263274092</v>
      </c>
      <c r="F123" s="56">
        <f t="shared" si="45"/>
        <v>0.0018765868197372778</v>
      </c>
      <c r="G123" s="56">
        <f t="shared" si="45"/>
        <v>0.001959377414725687</v>
      </c>
      <c r="H123" s="56">
        <f t="shared" si="45"/>
        <v>0.0856606689480075</v>
      </c>
      <c r="I123" s="56">
        <f t="shared" si="45"/>
        <v>0.00162821503477205</v>
      </c>
      <c r="J123" s="56">
        <f t="shared" si="45"/>
        <v>0.0033392206645325093</v>
      </c>
      <c r="K123" s="56">
        <f t="shared" si="45"/>
        <v>0.0031460426095595542</v>
      </c>
    </row>
    <row r="124" spans="1:11" ht="12.75">
      <c r="A124" s="54" t="s">
        <v>36</v>
      </c>
      <c r="B124" s="56">
        <f aca="true" t="shared" si="46" ref="B124:K124">B52/$B52</f>
        <v>1</v>
      </c>
      <c r="C124" s="56">
        <f t="shared" si="46"/>
        <v>0.5115507696051591</v>
      </c>
      <c r="D124" s="56">
        <f t="shared" si="46"/>
        <v>0.0390022510190424</v>
      </c>
      <c r="E124" s="56">
        <f t="shared" si="46"/>
        <v>0.11837196568716919</v>
      </c>
      <c r="F124" s="56">
        <f t="shared" si="46"/>
        <v>0.29345501003832813</v>
      </c>
      <c r="G124" s="56">
        <f t="shared" si="46"/>
        <v>0.0011802640384498387</v>
      </c>
      <c r="H124" s="56">
        <f t="shared" si="46"/>
        <v>0.009914217922978646</v>
      </c>
      <c r="I124" s="56">
        <f t="shared" si="46"/>
        <v>0.0005889152521749711</v>
      </c>
      <c r="J124" s="56">
        <f t="shared" si="46"/>
        <v>0.014374885928089068</v>
      </c>
      <c r="K124" s="56">
        <f t="shared" si="46"/>
        <v>0.011561720508608627</v>
      </c>
    </row>
    <row r="125" spans="1:11" ht="12.75">
      <c r="A125" s="54" t="s">
        <v>37</v>
      </c>
      <c r="B125" s="56">
        <f aca="true" t="shared" si="47" ref="B125:K125">B53/$B53</f>
        <v>1</v>
      </c>
      <c r="C125" s="56">
        <f t="shared" si="47"/>
        <v>0.18642199037012275</v>
      </c>
      <c r="D125" s="56">
        <f t="shared" si="47"/>
        <v>0.13517016497469372</v>
      </c>
      <c r="E125" s="56">
        <f t="shared" si="47"/>
        <v>0.48246154207059955</v>
      </c>
      <c r="F125" s="56">
        <f t="shared" si="47"/>
        <v>0.16013043146776454</v>
      </c>
      <c r="G125" s="56">
        <f t="shared" si="47"/>
        <v>0.0002111300737195841</v>
      </c>
      <c r="H125" s="56">
        <f t="shared" si="47"/>
        <v>0.02857293664338371</v>
      </c>
      <c r="I125" s="56">
        <f t="shared" si="47"/>
        <v>0.0003988012503592144</v>
      </c>
      <c r="J125" s="56">
        <f t="shared" si="47"/>
        <v>0.003008603550504073</v>
      </c>
      <c r="K125" s="56">
        <f t="shared" si="47"/>
        <v>0.0036302643231228486</v>
      </c>
    </row>
    <row r="126" spans="1:11" ht="12.75">
      <c r="A126" s="54" t="s">
        <v>38</v>
      </c>
      <c r="B126" s="56">
        <f aca="true" t="shared" si="48" ref="B126:K126">B54/$B54</f>
        <v>1</v>
      </c>
      <c r="C126" s="56">
        <f t="shared" si="48"/>
        <v>0.3407519939232814</v>
      </c>
      <c r="D126" s="56">
        <f t="shared" si="48"/>
        <v>0.16984428408659324</v>
      </c>
      <c r="E126" s="56">
        <f t="shared" si="48"/>
        <v>0.33657424990505125</v>
      </c>
      <c r="F126" s="56">
        <f t="shared" si="48"/>
        <v>0.10338017470565894</v>
      </c>
      <c r="G126" s="56">
        <f t="shared" si="48"/>
        <v>0.0094948727687049</v>
      </c>
      <c r="H126" s="56">
        <f t="shared" si="48"/>
        <v>0.0056209646790733</v>
      </c>
      <c r="I126" s="56">
        <f t="shared" si="48"/>
        <v>0.0003038359285985568</v>
      </c>
      <c r="J126" s="56">
        <f t="shared" si="48"/>
        <v>0.023015571591340676</v>
      </c>
      <c r="K126" s="56">
        <f t="shared" si="48"/>
        <v>0.011090011393847323</v>
      </c>
    </row>
    <row r="127" spans="1:11" ht="12.75">
      <c r="A127" s="54" t="s">
        <v>39</v>
      </c>
      <c r="B127" s="56">
        <f aca="true" t="shared" si="49" ref="B127:K127">B55/$B55</f>
        <v>1</v>
      </c>
      <c r="C127" s="56">
        <f t="shared" si="49"/>
        <v>0.6553725267046857</v>
      </c>
      <c r="D127" s="56">
        <f t="shared" si="49"/>
        <v>0.057827726011807384</v>
      </c>
      <c r="E127" s="56">
        <f t="shared" si="49"/>
        <v>0.2143027493378744</v>
      </c>
      <c r="F127" s="56">
        <f t="shared" si="49"/>
        <v>0.04456429417203968</v>
      </c>
      <c r="G127" s="56">
        <f t="shared" si="49"/>
        <v>0.0012803186570879864</v>
      </c>
      <c r="H127" s="56">
        <f t="shared" si="49"/>
        <v>0.011903616272599088</v>
      </c>
      <c r="I127" s="56">
        <f t="shared" si="49"/>
        <v>0.0002468588260398405</v>
      </c>
      <c r="J127" s="56">
        <f t="shared" si="49"/>
        <v>0.00986598494579566</v>
      </c>
      <c r="K127" s="56">
        <f t="shared" si="49"/>
        <v>0.004635925072070225</v>
      </c>
    </row>
    <row r="128" spans="1:11" ht="12.75">
      <c r="A128" s="54" t="s">
        <v>40</v>
      </c>
      <c r="B128" s="56">
        <f aca="true" t="shared" si="50" ref="B128:K128">B56/$B56</f>
        <v>1</v>
      </c>
      <c r="C128" s="56">
        <f t="shared" si="50"/>
        <v>0.5617018398268399</v>
      </c>
      <c r="D128" s="56">
        <f t="shared" si="50"/>
        <v>0.12842261904761904</v>
      </c>
      <c r="E128" s="56">
        <f t="shared" si="50"/>
        <v>0.2786796536796537</v>
      </c>
      <c r="F128" s="56">
        <f t="shared" si="50"/>
        <v>0.001204004329004329</v>
      </c>
      <c r="G128" s="56">
        <f t="shared" si="50"/>
        <v>2.7056277056277056E-05</v>
      </c>
      <c r="H128" s="56">
        <f t="shared" si="50"/>
        <v>0.023065476190476192</v>
      </c>
      <c r="I128" s="56">
        <f t="shared" si="50"/>
        <v>0.00020292207792207794</v>
      </c>
      <c r="J128" s="56">
        <f t="shared" si="50"/>
        <v>0.003841991341991342</v>
      </c>
      <c r="K128" s="56">
        <f t="shared" si="50"/>
        <v>0.0028544372294372292</v>
      </c>
    </row>
    <row r="129" spans="1:11" ht="12.75">
      <c r="A129" s="54" t="s">
        <v>41</v>
      </c>
      <c r="B129" s="56">
        <f aca="true" t="shared" si="51" ref="B129:K129">B57/$B57</f>
        <v>1</v>
      </c>
      <c r="C129" s="56">
        <f t="shared" si="51"/>
        <v>0.22388570939243865</v>
      </c>
      <c r="D129" s="56">
        <f t="shared" si="51"/>
        <v>0.022949462657170995</v>
      </c>
      <c r="E129" s="56">
        <f t="shared" si="51"/>
        <v>0.6095451496424851</v>
      </c>
      <c r="F129" s="56">
        <f t="shared" si="51"/>
        <v>0.05474759872693279</v>
      </c>
      <c r="G129" s="56">
        <f t="shared" si="51"/>
        <v>0.00012844848502147944</v>
      </c>
      <c r="H129" s="56">
        <f t="shared" si="51"/>
        <v>0.0771119071745615</v>
      </c>
      <c r="I129" s="56">
        <f t="shared" si="51"/>
        <v>0.00031398518560806085</v>
      </c>
      <c r="J129" s="56">
        <f t="shared" si="51"/>
        <v>0.007992350179114276</v>
      </c>
      <c r="K129" s="56">
        <f t="shared" si="51"/>
        <v>0.00332538855666719</v>
      </c>
    </row>
    <row r="130" spans="1:11" ht="12.75">
      <c r="A130" s="54" t="s">
        <v>42</v>
      </c>
      <c r="B130" s="56">
        <f aca="true" t="shared" si="52" ref="B130:K130">B58/$B58</f>
        <v>1</v>
      </c>
      <c r="C130" s="56">
        <f t="shared" si="52"/>
        <v>0.5323570126963745</v>
      </c>
      <c r="D130" s="56">
        <f t="shared" si="52"/>
        <v>0.03130485772712259</v>
      </c>
      <c r="E130" s="56">
        <f t="shared" si="52"/>
        <v>0.15910735691991376</v>
      </c>
      <c r="F130" s="56">
        <f t="shared" si="52"/>
        <v>0.23842536751197824</v>
      </c>
      <c r="G130" s="56">
        <f t="shared" si="52"/>
        <v>0.013883992028116847</v>
      </c>
      <c r="H130" s="56">
        <f t="shared" si="52"/>
        <v>0.014867487854754367</v>
      </c>
      <c r="I130" s="56">
        <f t="shared" si="52"/>
        <v>0.00017072003028424884</v>
      </c>
      <c r="J130" s="56">
        <f t="shared" si="52"/>
        <v>0.0060308706350413995</v>
      </c>
      <c r="K130" s="56">
        <f t="shared" si="52"/>
        <v>0.003856045901420316</v>
      </c>
    </row>
    <row r="131" spans="1:11" ht="12.75">
      <c r="A131" s="54" t="s">
        <v>43</v>
      </c>
      <c r="B131" s="56">
        <f aca="true" t="shared" si="53" ref="B131:K131">B59/$B59</f>
        <v>1</v>
      </c>
      <c r="C131" s="56">
        <f t="shared" si="53"/>
        <v>0.518138498193836</v>
      </c>
      <c r="D131" s="56">
        <f t="shared" si="53"/>
        <v>0.032472523249558065</v>
      </c>
      <c r="E131" s="56">
        <f t="shared" si="53"/>
        <v>0.11159787871800785</v>
      </c>
      <c r="F131" s="56">
        <f t="shared" si="53"/>
        <v>0.32441780032280376</v>
      </c>
      <c r="G131" s="56">
        <f t="shared" si="53"/>
        <v>0.0006148643455537622</v>
      </c>
      <c r="H131" s="56">
        <f t="shared" si="53"/>
        <v>0.0040350472676965645</v>
      </c>
      <c r="I131" s="56">
        <f t="shared" si="53"/>
        <v>0.0001921451079855507</v>
      </c>
      <c r="J131" s="56">
        <f t="shared" si="53"/>
        <v>0.004496195526861886</v>
      </c>
      <c r="K131" s="56">
        <f t="shared" si="53"/>
        <v>0.0040350472676965645</v>
      </c>
    </row>
    <row r="132" spans="1:11" ht="12.75">
      <c r="A132" s="54" t="s">
        <v>44</v>
      </c>
      <c r="B132" s="56">
        <f aca="true" t="shared" si="54" ref="B132:K132">B60/$B60</f>
        <v>1</v>
      </c>
      <c r="C132" s="56">
        <f t="shared" si="54"/>
        <v>0.23837653525527716</v>
      </c>
      <c r="D132" s="56">
        <f t="shared" si="54"/>
        <v>0.11198668019934085</v>
      </c>
      <c r="E132" s="56">
        <f t="shared" si="54"/>
        <v>0.5425081823261755</v>
      </c>
      <c r="F132" s="56">
        <f t="shared" si="54"/>
        <v>0.08182326175461004</v>
      </c>
      <c r="G132" s="56">
        <f t="shared" si="54"/>
        <v>0.00017105908380754713</v>
      </c>
      <c r="H132" s="56">
        <f t="shared" si="54"/>
        <v>0.018348937723089556</v>
      </c>
      <c r="I132" s="56">
        <f t="shared" si="54"/>
        <v>0.00039913786221760996</v>
      </c>
      <c r="J132" s="56">
        <f t="shared" si="54"/>
        <v>0.0021325365781340875</v>
      </c>
      <c r="K132" s="56">
        <f t="shared" si="54"/>
        <v>0.004253669217347672</v>
      </c>
    </row>
    <row r="133" spans="1:11" ht="12.75">
      <c r="A133" s="54" t="s">
        <v>45</v>
      </c>
      <c r="B133" s="56">
        <f aca="true" t="shared" si="55" ref="B133:K133">B61/$B61</f>
        <v>1</v>
      </c>
      <c r="C133" s="56">
        <f t="shared" si="55"/>
        <v>0.3557685816512523</v>
      </c>
      <c r="D133" s="56">
        <f t="shared" si="55"/>
        <v>0.2594342806993857</v>
      </c>
      <c r="E133" s="56">
        <f t="shared" si="55"/>
        <v>0.26274218591777493</v>
      </c>
      <c r="F133" s="56">
        <f t="shared" si="55"/>
        <v>0.0788496590832377</v>
      </c>
      <c r="G133" s="56">
        <f t="shared" si="55"/>
        <v>0.0016877067440761494</v>
      </c>
      <c r="H133" s="56">
        <f t="shared" si="55"/>
        <v>0.02031998919867684</v>
      </c>
      <c r="I133" s="56">
        <f t="shared" si="55"/>
        <v>0.00040504961857827583</v>
      </c>
      <c r="J133" s="56">
        <f t="shared" si="55"/>
        <v>0.013636670492135287</v>
      </c>
      <c r="K133" s="56">
        <f t="shared" si="55"/>
        <v>0.007223384864645919</v>
      </c>
    </row>
    <row r="134" spans="1:11" ht="12.75">
      <c r="A134" s="54" t="s">
        <v>46</v>
      </c>
      <c r="B134" s="56">
        <f aca="true" t="shared" si="56" ref="B134:K134">B62/$B62</f>
        <v>1</v>
      </c>
      <c r="C134" s="56">
        <f t="shared" si="56"/>
        <v>0.2923903283475841</v>
      </c>
      <c r="D134" s="56">
        <f t="shared" si="56"/>
        <v>0.0769622792612786</v>
      </c>
      <c r="E134" s="56">
        <f t="shared" si="56"/>
        <v>0.5544778715246038</v>
      </c>
      <c r="F134" s="56">
        <f t="shared" si="56"/>
        <v>0.03172651453255568</v>
      </c>
      <c r="G134" s="56">
        <f t="shared" si="56"/>
        <v>0.002645224439608798</v>
      </c>
      <c r="H134" s="56">
        <f t="shared" si="56"/>
        <v>0.03620802627427822</v>
      </c>
      <c r="I134" s="56">
        <f t="shared" si="56"/>
        <v>0.00019414491299881087</v>
      </c>
      <c r="J134" s="56">
        <f t="shared" si="56"/>
        <v>0.0017796617024890995</v>
      </c>
      <c r="K134" s="56">
        <f t="shared" si="56"/>
        <v>0.003615949004602852</v>
      </c>
    </row>
    <row r="135" spans="1:11" ht="12.75">
      <c r="A135" s="54" t="s">
        <v>47</v>
      </c>
      <c r="B135" s="56">
        <f aca="true" t="shared" si="57" ref="B135:K135">B63/$B63</f>
        <v>1</v>
      </c>
      <c r="C135" s="56">
        <f t="shared" si="57"/>
        <v>0.41446890695282085</v>
      </c>
      <c r="D135" s="56">
        <f t="shared" si="57"/>
        <v>0.0856672448917845</v>
      </c>
      <c r="E135" s="56">
        <f t="shared" si="57"/>
        <v>0.48240111341952924</v>
      </c>
      <c r="F135" s="56">
        <f t="shared" si="57"/>
        <v>0.0011018214091211651</v>
      </c>
      <c r="G135" s="56">
        <f t="shared" si="57"/>
        <v>9.076789640357423E-05</v>
      </c>
      <c r="H135" s="56">
        <f t="shared" si="57"/>
        <v>0.005486415071504932</v>
      </c>
      <c r="I135" s="56">
        <f t="shared" si="57"/>
        <v>0.0004261048470056679</v>
      </c>
      <c r="J135" s="56">
        <f t="shared" si="57"/>
        <v>0.002158258870040543</v>
      </c>
      <c r="K135" s="56">
        <f t="shared" si="57"/>
        <v>0.00819936664178954</v>
      </c>
    </row>
    <row r="136" spans="1:11" ht="12.75">
      <c r="A136" s="54" t="s">
        <v>48</v>
      </c>
      <c r="B136" s="56">
        <f aca="true" t="shared" si="58" ref="B136:K136">B64/$B64</f>
        <v>1</v>
      </c>
      <c r="C136" s="56">
        <f t="shared" si="58"/>
        <v>0.7634455037703883</v>
      </c>
      <c r="D136" s="56">
        <f t="shared" si="58"/>
        <v>0.043118626050559744</v>
      </c>
      <c r="E136" s="56">
        <f t="shared" si="58"/>
        <v>0.15211108527389297</v>
      </c>
      <c r="F136" s="56">
        <f t="shared" si="58"/>
        <v>0.008703451483240874</v>
      </c>
      <c r="G136" s="56">
        <f t="shared" si="58"/>
        <v>0.005979470484669302</v>
      </c>
      <c r="H136" s="56">
        <f t="shared" si="58"/>
        <v>0.019067866990000997</v>
      </c>
      <c r="I136" s="56">
        <f t="shared" si="58"/>
        <v>0.00046506992658539015</v>
      </c>
      <c r="J136" s="56">
        <f t="shared" si="58"/>
        <v>0.004949672790087367</v>
      </c>
      <c r="K136" s="56">
        <f t="shared" si="58"/>
        <v>0.002159253230575026</v>
      </c>
    </row>
    <row r="137" spans="1:11" ht="12.75">
      <c r="A137" s="54" t="s">
        <v>49</v>
      </c>
      <c r="B137" s="56">
        <f aca="true" t="shared" si="59" ref="B137:K137">B65/$B65</f>
        <v>1</v>
      </c>
      <c r="C137" s="56">
        <f t="shared" si="59"/>
        <v>0.10660253607345868</v>
      </c>
      <c r="D137" s="56">
        <f t="shared" si="59"/>
        <v>0.1410581547879318</v>
      </c>
      <c r="E137" s="56">
        <f t="shared" si="59"/>
        <v>0.08832531700918234</v>
      </c>
      <c r="F137" s="56">
        <f t="shared" si="59"/>
        <v>0.5705290773939659</v>
      </c>
      <c r="G137" s="56">
        <f t="shared" si="59"/>
        <v>0.0016615653694796676</v>
      </c>
      <c r="H137" s="56">
        <f t="shared" si="59"/>
        <v>0.08386532575426323</v>
      </c>
      <c r="I137" s="56">
        <f t="shared" si="59"/>
        <v>0.00034980323567993004</v>
      </c>
      <c r="J137" s="56">
        <f t="shared" si="59"/>
        <v>0.004110188019239178</v>
      </c>
      <c r="K137" s="56">
        <f t="shared" si="59"/>
        <v>0.003410581547879318</v>
      </c>
    </row>
    <row r="138" spans="1:11" ht="12.75">
      <c r="A138" s="54" t="s">
        <v>50</v>
      </c>
      <c r="B138" s="56">
        <f aca="true" t="shared" si="60" ref="B138:K138">B66/$B66</f>
        <v>1</v>
      </c>
      <c r="C138" s="56">
        <f t="shared" si="60"/>
        <v>0.25492749649667945</v>
      </c>
      <c r="D138" s="56">
        <f t="shared" si="60"/>
        <v>0.05692895875220862</v>
      </c>
      <c r="E138" s="56">
        <f t="shared" si="60"/>
        <v>0.45012337781027234</v>
      </c>
      <c r="F138" s="56">
        <f t="shared" si="60"/>
        <v>0.18085511484798636</v>
      </c>
      <c r="G138" s="56">
        <f t="shared" si="60"/>
        <v>0.005209285322610126</v>
      </c>
      <c r="H138" s="56">
        <f t="shared" si="60"/>
        <v>0.04286998111253275</v>
      </c>
      <c r="I138" s="56">
        <f t="shared" si="60"/>
        <v>0.00033510022543106077</v>
      </c>
      <c r="J138" s="56">
        <f t="shared" si="60"/>
        <v>0.004409614330104185</v>
      </c>
      <c r="K138" s="56">
        <f t="shared" si="60"/>
        <v>0.004341071102175105</v>
      </c>
    </row>
    <row r="139" spans="1:11" ht="12.75">
      <c r="A139" s="54" t="s">
        <v>51</v>
      </c>
      <c r="B139" s="56">
        <f aca="true" t="shared" si="61" ref="B139:K139">B67/$B67</f>
        <v>1</v>
      </c>
      <c r="C139" s="56">
        <f t="shared" si="61"/>
        <v>0.19961721967236906</v>
      </c>
      <c r="D139" s="56">
        <f t="shared" si="61"/>
        <v>0.026313879868657367</v>
      </c>
      <c r="E139" s="56">
        <f t="shared" si="61"/>
        <v>0.6643687752843641</v>
      </c>
      <c r="F139" s="56">
        <f t="shared" si="61"/>
        <v>0.04531683689204143</v>
      </c>
      <c r="G139" s="56">
        <f t="shared" si="61"/>
        <v>0.0003356130834678809</v>
      </c>
      <c r="H139" s="56">
        <f t="shared" si="61"/>
        <v>0.05256426537017216</v>
      </c>
      <c r="I139" s="56">
        <f t="shared" si="61"/>
        <v>0.000154200605917675</v>
      </c>
      <c r="J139" s="56">
        <f t="shared" si="61"/>
        <v>0.00767374780037371</v>
      </c>
      <c r="K139" s="56">
        <f t="shared" si="61"/>
        <v>0.003655461422636649</v>
      </c>
    </row>
    <row r="140" spans="1:11" ht="12.75">
      <c r="A140" s="54" t="s">
        <v>52</v>
      </c>
      <c r="B140" s="56">
        <f aca="true" t="shared" si="62" ref="B140:K140">B68/$B68</f>
        <v>1</v>
      </c>
      <c r="C140" s="56">
        <f t="shared" si="62"/>
        <v>0.4383608741431549</v>
      </c>
      <c r="D140" s="56">
        <f t="shared" si="62"/>
        <v>0.05960848357221136</v>
      </c>
      <c r="E140" s="56">
        <f t="shared" si="62"/>
        <v>0.3307475771966392</v>
      </c>
      <c r="F140" s="56">
        <f t="shared" si="62"/>
        <v>0.0754883211208286</v>
      </c>
      <c r="G140" s="56">
        <f t="shared" si="62"/>
        <v>0.01925349721726798</v>
      </c>
      <c r="H140" s="56">
        <f t="shared" si="62"/>
        <v>0.06770956443260201</v>
      </c>
      <c r="I140" s="56">
        <f t="shared" si="62"/>
        <v>8.595311257708919E-05</v>
      </c>
      <c r="J140" s="56">
        <f t="shared" si="62"/>
        <v>0.006489459999570234</v>
      </c>
      <c r="K140" s="56">
        <f t="shared" si="62"/>
        <v>0.002299245761437136</v>
      </c>
    </row>
    <row r="141" spans="1:11" ht="12.75">
      <c r="A141" s="54" t="s">
        <v>53</v>
      </c>
      <c r="B141" s="56">
        <f aca="true" t="shared" si="63" ref="B141:K141">B69/$B69</f>
        <v>1</v>
      </c>
      <c r="C141" s="56">
        <f t="shared" si="63"/>
        <v>0.5895124415940448</v>
      </c>
      <c r="D141" s="56">
        <f t="shared" si="63"/>
        <v>0.1074369415790369</v>
      </c>
      <c r="E141" s="56">
        <f t="shared" si="63"/>
        <v>0.17829449608292394</v>
      </c>
      <c r="F141" s="56">
        <f t="shared" si="63"/>
        <v>0.07920197704783535</v>
      </c>
      <c r="G141" s="56">
        <f t="shared" si="63"/>
        <v>0.00031016438712517635</v>
      </c>
      <c r="H141" s="56">
        <f t="shared" si="63"/>
        <v>0.030025913734279167</v>
      </c>
      <c r="I141" s="56">
        <f t="shared" si="63"/>
        <v>0.0002001060562097912</v>
      </c>
      <c r="J141" s="56">
        <f t="shared" si="63"/>
        <v>0.010235424775130819</v>
      </c>
      <c r="K141" s="56">
        <f t="shared" si="63"/>
        <v>0.00478253474341401</v>
      </c>
    </row>
    <row r="142" spans="1:11" ht="12.75">
      <c r="A142" s="54" t="s">
        <v>54</v>
      </c>
      <c r="B142" s="56">
        <f aca="true" t="shared" si="64" ref="B142:K142">B70/$B70</f>
        <v>1</v>
      </c>
      <c r="C142" s="56">
        <f t="shared" si="64"/>
        <v>0.6087496121625815</v>
      </c>
      <c r="D142" s="56">
        <f t="shared" si="64"/>
        <v>0.11055952011583411</v>
      </c>
      <c r="E142" s="56">
        <f t="shared" si="64"/>
        <v>0.21884372737615057</v>
      </c>
      <c r="F142" s="56">
        <f t="shared" si="64"/>
        <v>0.0026890061019753855</v>
      </c>
      <c r="G142" s="56">
        <f t="shared" si="64"/>
        <v>0.007032785189781777</v>
      </c>
      <c r="H142" s="56">
        <f t="shared" si="64"/>
        <v>0.03837004860895646</v>
      </c>
      <c r="I142" s="56">
        <f t="shared" si="64"/>
        <v>0.00031026993484331366</v>
      </c>
      <c r="J142" s="56">
        <f t="shared" si="64"/>
        <v>0.010032061226600476</v>
      </c>
      <c r="K142" s="56">
        <f t="shared" si="64"/>
        <v>0.0034129692832764505</v>
      </c>
    </row>
  </sheetData>
  <mergeCells count="7">
    <mergeCell ref="A74:A75"/>
    <mergeCell ref="B74:B75"/>
    <mergeCell ref="C74:K74"/>
    <mergeCell ref="A1:K1"/>
    <mergeCell ref="B2:B3"/>
    <mergeCell ref="A2:A3"/>
    <mergeCell ref="C2:K2"/>
  </mergeCells>
  <printOptions horizontalCentered="1"/>
  <pageMargins left="0.25" right="0.25" top="0.25" bottom="0.25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1">
      <selection activeCell="A1" sqref="A1"/>
    </sheetView>
  </sheetViews>
  <sheetFormatPr defaultColWidth="9.33203125" defaultRowHeight="12.75"/>
  <cols>
    <col min="1" max="1" width="26.66015625" style="92" customWidth="1"/>
    <col min="2" max="2" width="15.83203125" style="90" customWidth="1"/>
    <col min="3" max="3" width="14.66015625" style="90" bestFit="1" customWidth="1"/>
    <col min="4" max="4" width="17.5" style="90" bestFit="1" customWidth="1"/>
    <col min="5" max="5" width="15.83203125" style="90" customWidth="1"/>
    <col min="6" max="6" width="14.66015625" style="90" bestFit="1" customWidth="1"/>
    <col min="7" max="7" width="17.5" style="90" bestFit="1" customWidth="1"/>
    <col min="8" max="8" width="16.33203125" style="90" bestFit="1" customWidth="1"/>
    <col min="9" max="9" width="14.66015625" style="90" bestFit="1" customWidth="1"/>
    <col min="10" max="10" width="17.5" style="90" bestFit="1" customWidth="1"/>
    <col min="11" max="11" width="16.33203125" style="90" bestFit="1" customWidth="1"/>
    <col min="12" max="12" width="14.66015625" style="90" bestFit="1" customWidth="1"/>
    <col min="13" max="13" width="17.5" style="90" bestFit="1" customWidth="1"/>
    <col min="14" max="19" width="17.5" style="90" customWidth="1"/>
    <col min="20" max="21" width="23.16015625" style="90" customWidth="1"/>
    <col min="22" max="22" width="18.83203125" style="90" customWidth="1"/>
    <col min="23" max="23" width="14.66015625" style="90" bestFit="1" customWidth="1"/>
    <col min="24" max="24" width="17.5" style="90" bestFit="1" customWidth="1"/>
    <col min="25" max="25" width="6.16015625" style="90" bestFit="1" customWidth="1"/>
    <col min="26" max="26" width="6.83203125" style="90" customWidth="1"/>
    <col min="27" max="16384" width="26" style="90" customWidth="1"/>
  </cols>
  <sheetData>
    <row r="1" spans="1:23" s="63" customFormat="1" ht="12.75">
      <c r="A1" s="62" t="s">
        <v>96</v>
      </c>
      <c r="V1" s="64" t="s">
        <v>97</v>
      </c>
      <c r="W1" s="65">
        <v>39022</v>
      </c>
    </row>
    <row r="2" spans="1:24" s="63" customFormat="1" ht="12.75">
      <c r="A2" s="62" t="s">
        <v>98</v>
      </c>
      <c r="B2" s="66" t="s">
        <v>99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4" t="s">
        <v>100</v>
      </c>
      <c r="W2" s="65">
        <v>39172</v>
      </c>
      <c r="X2" s="67"/>
    </row>
    <row r="3" spans="1:23" s="63" customFormat="1" ht="25.5">
      <c r="A3" s="6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4" t="s">
        <v>101</v>
      </c>
      <c r="W3" s="69">
        <f>W2-W1+1</f>
        <v>151</v>
      </c>
    </row>
    <row r="4" spans="1:24" s="63" customFormat="1" ht="12.75">
      <c r="A4" s="70"/>
      <c r="B4" s="203">
        <v>39022</v>
      </c>
      <c r="C4" s="202"/>
      <c r="D4" s="204"/>
      <c r="E4" s="203">
        <v>39052</v>
      </c>
      <c r="F4" s="202"/>
      <c r="G4" s="204"/>
      <c r="H4" s="205" t="s">
        <v>102</v>
      </c>
      <c r="I4" s="202"/>
      <c r="J4" s="204"/>
      <c r="K4" s="205" t="s">
        <v>103</v>
      </c>
      <c r="L4" s="202"/>
      <c r="M4" s="204"/>
      <c r="N4" s="205" t="s">
        <v>104</v>
      </c>
      <c r="O4" s="202"/>
      <c r="P4" s="204"/>
      <c r="Q4" s="71"/>
      <c r="R4" s="206" t="s">
        <v>105</v>
      </c>
      <c r="S4" s="202"/>
      <c r="T4" s="202"/>
      <c r="U4" s="71"/>
      <c r="V4" s="72"/>
      <c r="W4" s="73"/>
      <c r="X4" s="73"/>
    </row>
    <row r="5" spans="1:24" s="63" customFormat="1" ht="12.75">
      <c r="A5" s="70"/>
      <c r="B5" s="68"/>
      <c r="C5" s="68"/>
      <c r="D5" s="74"/>
      <c r="E5" s="68"/>
      <c r="F5" s="68"/>
      <c r="G5" s="74"/>
      <c r="H5" s="68"/>
      <c r="I5" s="68"/>
      <c r="J5" s="74"/>
      <c r="K5" s="68"/>
      <c r="L5" s="68"/>
      <c r="M5" s="74"/>
      <c r="N5" s="68"/>
      <c r="O5" s="68"/>
      <c r="P5" s="74"/>
      <c r="Q5" s="68"/>
      <c r="R5" s="201" t="s">
        <v>106</v>
      </c>
      <c r="S5" s="202"/>
      <c r="T5" s="202"/>
      <c r="U5" s="71"/>
      <c r="W5" s="73"/>
      <c r="X5" s="73"/>
    </row>
    <row r="6" spans="1:22" s="70" customFormat="1" ht="38.25">
      <c r="A6" s="75" t="s">
        <v>107</v>
      </c>
      <c r="B6" s="76" t="s">
        <v>108</v>
      </c>
      <c r="C6" s="76" t="s">
        <v>109</v>
      </c>
      <c r="D6" s="77" t="s">
        <v>110</v>
      </c>
      <c r="E6" s="76" t="s">
        <v>108</v>
      </c>
      <c r="F6" s="76" t="s">
        <v>109</v>
      </c>
      <c r="G6" s="77" t="s">
        <v>110</v>
      </c>
      <c r="H6" s="76" t="s">
        <v>108</v>
      </c>
      <c r="I6" s="76" t="s">
        <v>109</v>
      </c>
      <c r="J6" s="77" t="s">
        <v>110</v>
      </c>
      <c r="K6" s="76" t="s">
        <v>108</v>
      </c>
      <c r="L6" s="76" t="s">
        <v>109</v>
      </c>
      <c r="M6" s="77" t="s">
        <v>110</v>
      </c>
      <c r="N6" s="76" t="s">
        <v>108</v>
      </c>
      <c r="O6" s="76" t="s">
        <v>109</v>
      </c>
      <c r="P6" s="77" t="s">
        <v>110</v>
      </c>
      <c r="Q6" s="76"/>
      <c r="R6" s="78" t="s">
        <v>108</v>
      </c>
      <c r="S6" s="76" t="s">
        <v>109</v>
      </c>
      <c r="T6" s="76" t="s">
        <v>110</v>
      </c>
      <c r="U6" s="64"/>
      <c r="V6" s="76" t="s">
        <v>111</v>
      </c>
    </row>
    <row r="7" spans="1:22" s="63" customFormat="1" ht="12.75">
      <c r="A7" s="70" t="s">
        <v>112</v>
      </c>
      <c r="B7" s="79">
        <v>368</v>
      </c>
      <c r="C7" s="79">
        <v>10</v>
      </c>
      <c r="D7" s="80">
        <f aca="true" t="shared" si="0" ref="D7:D17">C7/(B7-C7)</f>
        <v>0.027932960893854747</v>
      </c>
      <c r="E7" s="79">
        <v>488</v>
      </c>
      <c r="F7" s="79">
        <v>-103</v>
      </c>
      <c r="G7" s="80">
        <f aca="true" t="shared" si="1" ref="G7:G17">F7/(E7-F7)</f>
        <v>-0.17428087986463622</v>
      </c>
      <c r="H7" s="79">
        <v>572</v>
      </c>
      <c r="I7" s="79">
        <v>-108</v>
      </c>
      <c r="J7" s="80">
        <f aca="true" t="shared" si="2" ref="J7:J17">I7/(H7-I7)</f>
        <v>-0.1588235294117647</v>
      </c>
      <c r="K7" s="79">
        <v>577</v>
      </c>
      <c r="L7" s="79">
        <v>74</v>
      </c>
      <c r="M7" s="80">
        <f aca="true" t="shared" si="3" ref="M7:M17">L7/(K7-L7)</f>
        <v>0.147117296222664</v>
      </c>
      <c r="N7" s="79">
        <v>221</v>
      </c>
      <c r="O7" s="79">
        <v>-125</v>
      </c>
      <c r="P7" s="80">
        <f aca="true" t="shared" si="4" ref="P7:P17">O7/(N7-O7)</f>
        <v>-0.36127167630057805</v>
      </c>
      <c r="Q7" s="81"/>
      <c r="R7" s="82">
        <f aca="true" t="shared" si="5" ref="R7:S26">SUMIF($B$6:$Q$6,R$6,$B7:$Q7)</f>
        <v>2226</v>
      </c>
      <c r="S7" s="79">
        <f t="shared" si="5"/>
        <v>-252</v>
      </c>
      <c r="T7" s="81">
        <f aca="true" t="shared" si="6" ref="T7:T17">S7/(R7-S7)</f>
        <v>-0.1016949152542373</v>
      </c>
      <c r="U7" s="81"/>
      <c r="V7" s="83">
        <f aca="true" t="shared" si="7" ref="V7:V38">65-(R7/$W$3)</f>
        <v>50.258278145695364</v>
      </c>
    </row>
    <row r="8" spans="1:22" s="63" customFormat="1" ht="12.75">
      <c r="A8" s="70" t="s">
        <v>113</v>
      </c>
      <c r="B8" s="79">
        <v>1649</v>
      </c>
      <c r="C8" s="79">
        <v>285</v>
      </c>
      <c r="D8" s="80">
        <f t="shared" si="0"/>
        <v>0.2089442815249267</v>
      </c>
      <c r="E8" s="79">
        <v>1461</v>
      </c>
      <c r="F8" s="79">
        <v>-112</v>
      </c>
      <c r="G8" s="80">
        <f t="shared" si="1"/>
        <v>-0.0712015257469803</v>
      </c>
      <c r="H8" s="79">
        <v>1593</v>
      </c>
      <c r="I8" s="79">
        <v>-50</v>
      </c>
      <c r="J8" s="80">
        <f t="shared" si="2"/>
        <v>-0.030432136335970784</v>
      </c>
      <c r="K8" s="79">
        <v>1413</v>
      </c>
      <c r="L8" s="79">
        <v>15</v>
      </c>
      <c r="M8" s="80">
        <f t="shared" si="3"/>
        <v>0.01072961373390558</v>
      </c>
      <c r="N8" s="79">
        <v>1656</v>
      </c>
      <c r="O8" s="79">
        <v>349</v>
      </c>
      <c r="P8" s="80">
        <f t="shared" si="4"/>
        <v>0.26702371843917366</v>
      </c>
      <c r="Q8" s="81"/>
      <c r="R8" s="82">
        <f t="shared" si="5"/>
        <v>7772</v>
      </c>
      <c r="S8" s="79">
        <f t="shared" si="5"/>
        <v>487</v>
      </c>
      <c r="T8" s="81">
        <f t="shared" si="6"/>
        <v>0.0668496911461908</v>
      </c>
      <c r="U8" s="81"/>
      <c r="V8" s="83">
        <f t="shared" si="7"/>
        <v>13.52980132450331</v>
      </c>
    </row>
    <row r="9" spans="1:22" s="63" customFormat="1" ht="12.75">
      <c r="A9" s="70" t="s">
        <v>114</v>
      </c>
      <c r="B9" s="79">
        <v>183</v>
      </c>
      <c r="C9" s="79">
        <v>-107</v>
      </c>
      <c r="D9" s="80">
        <f t="shared" si="0"/>
        <v>-0.3689655172413793</v>
      </c>
      <c r="E9" s="79">
        <v>538</v>
      </c>
      <c r="F9" s="79">
        <v>48</v>
      </c>
      <c r="G9" s="80">
        <f t="shared" si="1"/>
        <v>0.09795918367346938</v>
      </c>
      <c r="H9" s="79">
        <v>589</v>
      </c>
      <c r="I9" s="79">
        <v>97</v>
      </c>
      <c r="J9" s="80">
        <f t="shared" si="2"/>
        <v>0.19715447154471544</v>
      </c>
      <c r="K9" s="79">
        <v>339</v>
      </c>
      <c r="L9" s="79">
        <v>-10</v>
      </c>
      <c r="M9" s="80">
        <f t="shared" si="3"/>
        <v>-0.02865329512893983</v>
      </c>
      <c r="N9" s="79">
        <v>163</v>
      </c>
      <c r="O9" s="79">
        <v>-112</v>
      </c>
      <c r="P9" s="80">
        <f t="shared" si="4"/>
        <v>-0.4072727272727273</v>
      </c>
      <c r="Q9" s="81"/>
      <c r="R9" s="82">
        <f t="shared" si="5"/>
        <v>1812</v>
      </c>
      <c r="S9" s="79">
        <f t="shared" si="5"/>
        <v>-84</v>
      </c>
      <c r="T9" s="81">
        <f t="shared" si="6"/>
        <v>-0.04430379746835443</v>
      </c>
      <c r="U9" s="81"/>
      <c r="V9" s="83">
        <f t="shared" si="7"/>
        <v>53</v>
      </c>
    </row>
    <row r="10" spans="1:22" s="63" customFormat="1" ht="12.75">
      <c r="A10" s="70" t="s">
        <v>115</v>
      </c>
      <c r="B10" s="79">
        <v>403</v>
      </c>
      <c r="C10" s="79">
        <v>-52</v>
      </c>
      <c r="D10" s="80">
        <f t="shared" si="0"/>
        <v>-0.11428571428571428</v>
      </c>
      <c r="E10" s="79">
        <v>609</v>
      </c>
      <c r="F10" s="79">
        <v>-130</v>
      </c>
      <c r="G10" s="80">
        <f t="shared" si="1"/>
        <v>-0.17591339648173207</v>
      </c>
      <c r="H10" s="79">
        <v>780</v>
      </c>
      <c r="I10" s="79">
        <v>-56</v>
      </c>
      <c r="J10" s="80">
        <f t="shared" si="2"/>
        <v>-0.06698564593301436</v>
      </c>
      <c r="K10" s="79">
        <v>670</v>
      </c>
      <c r="L10" s="79">
        <v>62</v>
      </c>
      <c r="M10" s="80">
        <f t="shared" si="3"/>
        <v>0.10197368421052631</v>
      </c>
      <c r="N10" s="79">
        <v>231</v>
      </c>
      <c r="O10" s="79">
        <v>-201</v>
      </c>
      <c r="P10" s="80">
        <f t="shared" si="4"/>
        <v>-0.4652777777777778</v>
      </c>
      <c r="Q10" s="81"/>
      <c r="R10" s="82">
        <f t="shared" si="5"/>
        <v>2693</v>
      </c>
      <c r="S10" s="79">
        <f t="shared" si="5"/>
        <v>-377</v>
      </c>
      <c r="T10" s="81">
        <f t="shared" si="6"/>
        <v>-0.12280130293159609</v>
      </c>
      <c r="U10" s="81"/>
      <c r="V10" s="83">
        <f t="shared" si="7"/>
        <v>47.16556291390728</v>
      </c>
    </row>
    <row r="11" spans="1:22" s="63" customFormat="1" ht="12.75">
      <c r="A11" s="70" t="s">
        <v>116</v>
      </c>
      <c r="B11" s="79">
        <v>250</v>
      </c>
      <c r="C11" s="79">
        <v>-71</v>
      </c>
      <c r="D11" s="80">
        <f t="shared" si="0"/>
        <v>-0.22118380062305296</v>
      </c>
      <c r="E11" s="79">
        <v>463</v>
      </c>
      <c r="F11" s="79">
        <v>-20</v>
      </c>
      <c r="G11" s="80">
        <f t="shared" si="1"/>
        <v>-0.041407867494824016</v>
      </c>
      <c r="H11" s="79">
        <v>548</v>
      </c>
      <c r="I11" s="79">
        <v>64</v>
      </c>
      <c r="J11" s="80">
        <f t="shared" si="2"/>
        <v>0.1322314049586777</v>
      </c>
      <c r="K11" s="79">
        <v>378</v>
      </c>
      <c r="L11" s="79">
        <v>5</v>
      </c>
      <c r="M11" s="80">
        <f t="shared" si="3"/>
        <v>0.013404825737265416</v>
      </c>
      <c r="N11" s="79">
        <v>232</v>
      </c>
      <c r="O11" s="79">
        <v>-126</v>
      </c>
      <c r="P11" s="80">
        <f t="shared" si="4"/>
        <v>-0.35195530726256985</v>
      </c>
      <c r="Q11" s="81"/>
      <c r="R11" s="82">
        <f t="shared" si="5"/>
        <v>1871</v>
      </c>
      <c r="S11" s="79">
        <f t="shared" si="5"/>
        <v>-148</v>
      </c>
      <c r="T11" s="81">
        <f t="shared" si="6"/>
        <v>-0.07330361565131253</v>
      </c>
      <c r="U11" s="81"/>
      <c r="V11" s="83">
        <f t="shared" si="7"/>
        <v>52.609271523178805</v>
      </c>
    </row>
    <row r="12" spans="1:22" s="63" customFormat="1" ht="12.75">
      <c r="A12" s="70" t="s">
        <v>117</v>
      </c>
      <c r="B12" s="79">
        <v>828</v>
      </c>
      <c r="C12" s="79">
        <v>-109</v>
      </c>
      <c r="D12" s="80">
        <f t="shared" si="0"/>
        <v>-0.11632870864461047</v>
      </c>
      <c r="E12" s="79">
        <v>1139</v>
      </c>
      <c r="F12" s="79">
        <v>-61</v>
      </c>
      <c r="G12" s="80">
        <f t="shared" si="1"/>
        <v>-0.050833333333333335</v>
      </c>
      <c r="H12" s="79">
        <v>1367</v>
      </c>
      <c r="I12" s="79">
        <v>128</v>
      </c>
      <c r="J12" s="80">
        <f t="shared" si="2"/>
        <v>0.1033091202582728</v>
      </c>
      <c r="K12" s="79">
        <v>1009</v>
      </c>
      <c r="L12" s="79">
        <v>4</v>
      </c>
      <c r="M12" s="80">
        <f t="shared" si="3"/>
        <v>0.003980099502487562</v>
      </c>
      <c r="N12" s="79">
        <v>713</v>
      </c>
      <c r="O12" s="79">
        <v>-197</v>
      </c>
      <c r="P12" s="80">
        <f t="shared" si="4"/>
        <v>-0.2164835164835165</v>
      </c>
      <c r="Q12" s="81"/>
      <c r="R12" s="82">
        <f t="shared" si="5"/>
        <v>5056</v>
      </c>
      <c r="S12" s="79">
        <f t="shared" si="5"/>
        <v>-235</v>
      </c>
      <c r="T12" s="81">
        <f t="shared" si="6"/>
        <v>-0.044415044415044416</v>
      </c>
      <c r="U12" s="81"/>
      <c r="V12" s="83">
        <f t="shared" si="7"/>
        <v>31.516556291390728</v>
      </c>
    </row>
    <row r="13" spans="1:22" s="63" customFormat="1" ht="12.75">
      <c r="A13" s="70" t="s">
        <v>118</v>
      </c>
      <c r="B13" s="79">
        <v>538</v>
      </c>
      <c r="C13" s="79">
        <v>-143</v>
      </c>
      <c r="D13" s="80">
        <f t="shared" si="0"/>
        <v>-0.20998531571218795</v>
      </c>
      <c r="E13" s="79">
        <v>795</v>
      </c>
      <c r="F13" s="79">
        <v>-223</v>
      </c>
      <c r="G13" s="80">
        <f t="shared" si="1"/>
        <v>-0.21905697445972494</v>
      </c>
      <c r="H13" s="79">
        <v>997</v>
      </c>
      <c r="I13" s="79">
        <v>-180</v>
      </c>
      <c r="J13" s="80">
        <f t="shared" si="2"/>
        <v>-0.15293118096856415</v>
      </c>
      <c r="K13" s="79">
        <v>1134</v>
      </c>
      <c r="L13" s="79">
        <v>137</v>
      </c>
      <c r="M13" s="80">
        <f t="shared" si="3"/>
        <v>0.1374122367101304</v>
      </c>
      <c r="N13" s="79">
        <v>881</v>
      </c>
      <c r="O13" s="79">
        <v>35</v>
      </c>
      <c r="P13" s="80">
        <f t="shared" si="4"/>
        <v>0.041371158392434985</v>
      </c>
      <c r="Q13" s="81"/>
      <c r="R13" s="82">
        <f t="shared" si="5"/>
        <v>4345</v>
      </c>
      <c r="S13" s="79">
        <f t="shared" si="5"/>
        <v>-374</v>
      </c>
      <c r="T13" s="81">
        <f t="shared" si="6"/>
        <v>-0.07925407925407925</v>
      </c>
      <c r="U13" s="81"/>
      <c r="V13" s="83">
        <f t="shared" si="7"/>
        <v>36.22516556291391</v>
      </c>
    </row>
    <row r="14" spans="1:22" s="63" customFormat="1" ht="12.75">
      <c r="A14" s="70" t="s">
        <v>119</v>
      </c>
      <c r="B14" s="79">
        <v>446</v>
      </c>
      <c r="C14" s="79">
        <v>-106</v>
      </c>
      <c r="D14" s="80">
        <f t="shared" si="0"/>
        <v>-0.19202898550724637</v>
      </c>
      <c r="E14" s="79">
        <v>676</v>
      </c>
      <c r="F14" s="79">
        <v>-174</v>
      </c>
      <c r="G14" s="80">
        <f t="shared" si="1"/>
        <v>-0.20470588235294118</v>
      </c>
      <c r="H14" s="79">
        <v>790</v>
      </c>
      <c r="I14" s="79">
        <v>-206</v>
      </c>
      <c r="J14" s="80">
        <f t="shared" si="2"/>
        <v>-0.20682730923694778</v>
      </c>
      <c r="K14" s="79">
        <v>1030</v>
      </c>
      <c r="L14" s="79">
        <v>194</v>
      </c>
      <c r="M14" s="80">
        <f t="shared" si="3"/>
        <v>0.23205741626794257</v>
      </c>
      <c r="N14" s="79">
        <v>643</v>
      </c>
      <c r="O14" s="79">
        <v>-27</v>
      </c>
      <c r="P14" s="80">
        <f t="shared" si="4"/>
        <v>-0.04029850746268657</v>
      </c>
      <c r="Q14" s="81"/>
      <c r="R14" s="82">
        <f t="shared" si="5"/>
        <v>3585</v>
      </c>
      <c r="S14" s="79">
        <f t="shared" si="5"/>
        <v>-319</v>
      </c>
      <c r="T14" s="81">
        <f t="shared" si="6"/>
        <v>-0.08171106557377049</v>
      </c>
      <c r="U14" s="81"/>
      <c r="V14" s="83">
        <f t="shared" si="7"/>
        <v>41.258278145695364</v>
      </c>
    </row>
    <row r="15" spans="1:22" s="63" customFormat="1" ht="12.75">
      <c r="A15" s="70" t="s">
        <v>120</v>
      </c>
      <c r="B15" s="79">
        <v>424</v>
      </c>
      <c r="C15" s="79">
        <v>-53</v>
      </c>
      <c r="D15" s="80">
        <f t="shared" si="0"/>
        <v>-0.1111111111111111</v>
      </c>
      <c r="E15" s="79">
        <v>642</v>
      </c>
      <c r="F15" s="79">
        <v>-133</v>
      </c>
      <c r="G15" s="80">
        <f t="shared" si="1"/>
        <v>-0.17161290322580644</v>
      </c>
      <c r="H15" s="79">
        <v>748</v>
      </c>
      <c r="I15" s="79">
        <v>-169</v>
      </c>
      <c r="J15" s="80">
        <f t="shared" si="2"/>
        <v>-0.18429661941112324</v>
      </c>
      <c r="K15" s="79">
        <v>950</v>
      </c>
      <c r="L15" s="79">
        <v>208</v>
      </c>
      <c r="M15" s="80">
        <f t="shared" si="3"/>
        <v>0.2803234501347709</v>
      </c>
      <c r="N15" s="79">
        <v>538</v>
      </c>
      <c r="O15" s="79">
        <v>-25</v>
      </c>
      <c r="P15" s="80">
        <f t="shared" si="4"/>
        <v>-0.04440497335701599</v>
      </c>
      <c r="Q15" s="81"/>
      <c r="R15" s="82">
        <f t="shared" si="5"/>
        <v>3302</v>
      </c>
      <c r="S15" s="79">
        <f t="shared" si="5"/>
        <v>-172</v>
      </c>
      <c r="T15" s="81">
        <f t="shared" si="6"/>
        <v>-0.04951065054691998</v>
      </c>
      <c r="U15" s="81"/>
      <c r="V15" s="83">
        <f t="shared" si="7"/>
        <v>43.132450331125824</v>
      </c>
    </row>
    <row r="16" spans="1:22" s="63" customFormat="1" ht="12.75">
      <c r="A16" s="70" t="s">
        <v>121</v>
      </c>
      <c r="B16" s="79">
        <v>95</v>
      </c>
      <c r="C16" s="79">
        <v>35</v>
      </c>
      <c r="D16" s="80">
        <f t="shared" si="0"/>
        <v>0.5833333333333334</v>
      </c>
      <c r="E16" s="79">
        <v>67</v>
      </c>
      <c r="F16" s="79">
        <v>-93</v>
      </c>
      <c r="G16" s="80">
        <f t="shared" si="1"/>
        <v>-0.58125</v>
      </c>
      <c r="H16" s="79">
        <v>120</v>
      </c>
      <c r="I16" s="79">
        <v>-93</v>
      </c>
      <c r="J16" s="80">
        <f t="shared" si="2"/>
        <v>-0.43661971830985913</v>
      </c>
      <c r="K16" s="79">
        <v>167</v>
      </c>
      <c r="L16" s="79">
        <v>13</v>
      </c>
      <c r="M16" s="80">
        <f t="shared" si="3"/>
        <v>0.08441558441558442</v>
      </c>
      <c r="N16" s="79">
        <v>56</v>
      </c>
      <c r="O16" s="79">
        <v>-22</v>
      </c>
      <c r="P16" s="80">
        <f t="shared" si="4"/>
        <v>-0.28205128205128205</v>
      </c>
      <c r="Q16" s="81"/>
      <c r="R16" s="82">
        <f t="shared" si="5"/>
        <v>505</v>
      </c>
      <c r="S16" s="79">
        <f t="shared" si="5"/>
        <v>-160</v>
      </c>
      <c r="T16" s="81">
        <f t="shared" si="6"/>
        <v>-0.24060150375939848</v>
      </c>
      <c r="U16" s="81"/>
      <c r="V16" s="83">
        <f t="shared" si="7"/>
        <v>61.65562913907285</v>
      </c>
    </row>
    <row r="17" spans="1:22" s="63" customFormat="1" ht="12.75">
      <c r="A17" s="70" t="s">
        <v>122</v>
      </c>
      <c r="B17" s="79">
        <v>377</v>
      </c>
      <c r="C17" s="79">
        <v>19</v>
      </c>
      <c r="D17" s="80">
        <f t="shared" si="0"/>
        <v>0.05307262569832402</v>
      </c>
      <c r="E17" s="79">
        <v>477</v>
      </c>
      <c r="F17" s="79">
        <v>-121</v>
      </c>
      <c r="G17" s="80">
        <f t="shared" si="1"/>
        <v>-0.20234113712374582</v>
      </c>
      <c r="H17" s="79">
        <v>566</v>
      </c>
      <c r="I17" s="79">
        <v>-114</v>
      </c>
      <c r="J17" s="80">
        <f t="shared" si="2"/>
        <v>-0.1676470588235294</v>
      </c>
      <c r="K17" s="79">
        <v>583</v>
      </c>
      <c r="L17" s="79">
        <v>72</v>
      </c>
      <c r="M17" s="80">
        <f t="shared" si="3"/>
        <v>0.14090019569471623</v>
      </c>
      <c r="N17" s="79">
        <v>249</v>
      </c>
      <c r="O17" s="79">
        <v>-109</v>
      </c>
      <c r="P17" s="80">
        <f t="shared" si="4"/>
        <v>-0.30446927374301674</v>
      </c>
      <c r="Q17" s="81"/>
      <c r="R17" s="82">
        <f t="shared" si="5"/>
        <v>2252</v>
      </c>
      <c r="S17" s="79">
        <f t="shared" si="5"/>
        <v>-253</v>
      </c>
      <c r="T17" s="81">
        <f t="shared" si="6"/>
        <v>-0.10099800399201597</v>
      </c>
      <c r="U17" s="81"/>
      <c r="V17" s="83">
        <f t="shared" si="7"/>
        <v>50.086092715231786</v>
      </c>
    </row>
    <row r="18" spans="1:22" s="63" customFormat="1" ht="12.75">
      <c r="A18" s="70" t="s">
        <v>123</v>
      </c>
      <c r="B18" s="79">
        <v>0</v>
      </c>
      <c r="C18" s="79">
        <v>0</v>
      </c>
      <c r="D18" s="80">
        <v>0</v>
      </c>
      <c r="E18" s="79">
        <v>0</v>
      </c>
      <c r="F18" s="79">
        <v>0</v>
      </c>
      <c r="G18" s="80">
        <v>0</v>
      </c>
      <c r="H18" s="79">
        <v>0</v>
      </c>
      <c r="I18" s="79">
        <v>0</v>
      </c>
      <c r="J18" s="80">
        <v>0</v>
      </c>
      <c r="K18" s="79">
        <v>0</v>
      </c>
      <c r="L18" s="79">
        <v>0</v>
      </c>
      <c r="M18" s="80">
        <v>0</v>
      </c>
      <c r="N18" s="79">
        <v>0</v>
      </c>
      <c r="O18" s="79">
        <v>0</v>
      </c>
      <c r="P18" s="80">
        <v>0</v>
      </c>
      <c r="Q18" s="81"/>
      <c r="R18" s="82">
        <f t="shared" si="5"/>
        <v>0</v>
      </c>
      <c r="S18" s="79">
        <f t="shared" si="5"/>
        <v>0</v>
      </c>
      <c r="T18" s="81">
        <v>0</v>
      </c>
      <c r="U18" s="81"/>
      <c r="V18" s="83">
        <f t="shared" si="7"/>
        <v>65</v>
      </c>
    </row>
    <row r="19" spans="1:22" s="63" customFormat="1" ht="12.75">
      <c r="A19" s="70" t="s">
        <v>124</v>
      </c>
      <c r="B19" s="79">
        <v>843</v>
      </c>
      <c r="C19" s="79">
        <v>-48</v>
      </c>
      <c r="D19" s="80">
        <f aca="true" t="shared" si="8" ref="D19:D57">C19/(B19-C19)</f>
        <v>-0.05387205387205387</v>
      </c>
      <c r="E19" s="79">
        <v>1158</v>
      </c>
      <c r="F19" s="79">
        <v>-30</v>
      </c>
      <c r="G19" s="80">
        <f aca="true" t="shared" si="9" ref="G19:G57">F19/(E19-F19)</f>
        <v>-0.025252525252525252</v>
      </c>
      <c r="H19" s="79">
        <v>1288</v>
      </c>
      <c r="I19" s="79">
        <v>76</v>
      </c>
      <c r="J19" s="80">
        <f aca="true" t="shared" si="10" ref="J19:J57">I19/(H19-I19)</f>
        <v>0.0627062706270627</v>
      </c>
      <c r="K19" s="79">
        <v>868</v>
      </c>
      <c r="L19" s="79">
        <v>-73</v>
      </c>
      <c r="M19" s="80">
        <f aca="true" t="shared" si="11" ref="M19:M57">L19/(K19-L19)</f>
        <v>-0.077577045696068</v>
      </c>
      <c r="N19" s="79">
        <v>697</v>
      </c>
      <c r="O19" s="79">
        <v>-103</v>
      </c>
      <c r="P19" s="80">
        <f aca="true" t="shared" si="12" ref="P19:P57">O19/(N19-O19)</f>
        <v>-0.12875</v>
      </c>
      <c r="Q19" s="81"/>
      <c r="R19" s="82">
        <f t="shared" si="5"/>
        <v>4854</v>
      </c>
      <c r="S19" s="79">
        <f t="shared" si="5"/>
        <v>-178</v>
      </c>
      <c r="T19" s="81">
        <f aca="true" t="shared" si="13" ref="T19:T57">S19/(R19-S19)</f>
        <v>-0.035373608903020666</v>
      </c>
      <c r="U19" s="81"/>
      <c r="V19" s="83">
        <f t="shared" si="7"/>
        <v>32.854304635761586</v>
      </c>
    </row>
    <row r="20" spans="1:22" s="63" customFormat="1" ht="12.75">
      <c r="A20" s="70" t="s">
        <v>125</v>
      </c>
      <c r="B20" s="79">
        <v>655</v>
      </c>
      <c r="C20" s="79">
        <v>-98</v>
      </c>
      <c r="D20" s="80">
        <f t="shared" si="8"/>
        <v>-0.1301460823373174</v>
      </c>
      <c r="E20" s="79">
        <v>968</v>
      </c>
      <c r="F20" s="79">
        <v>-186</v>
      </c>
      <c r="G20" s="80">
        <f t="shared" si="9"/>
        <v>-0.1611785095320624</v>
      </c>
      <c r="H20" s="79">
        <v>1144</v>
      </c>
      <c r="I20" s="79">
        <v>-181</v>
      </c>
      <c r="J20" s="80">
        <f t="shared" si="10"/>
        <v>-0.13660377358490566</v>
      </c>
      <c r="K20" s="79">
        <v>1317</v>
      </c>
      <c r="L20" s="79">
        <v>272</v>
      </c>
      <c r="M20" s="80">
        <f t="shared" si="11"/>
        <v>0.2602870813397129</v>
      </c>
      <c r="N20" s="79">
        <v>662</v>
      </c>
      <c r="O20" s="79">
        <v>-168</v>
      </c>
      <c r="P20" s="80">
        <f t="shared" si="12"/>
        <v>-0.20240963855421687</v>
      </c>
      <c r="Q20" s="81"/>
      <c r="R20" s="82">
        <f t="shared" si="5"/>
        <v>4746</v>
      </c>
      <c r="S20" s="79">
        <f t="shared" si="5"/>
        <v>-361</v>
      </c>
      <c r="T20" s="81">
        <f t="shared" si="13"/>
        <v>-0.07068729195222244</v>
      </c>
      <c r="U20" s="81"/>
      <c r="V20" s="83">
        <f t="shared" si="7"/>
        <v>33.56953642384106</v>
      </c>
    </row>
    <row r="21" spans="1:22" s="63" customFormat="1" ht="12.75">
      <c r="A21" s="70" t="s">
        <v>126</v>
      </c>
      <c r="B21" s="79">
        <v>617</v>
      </c>
      <c r="C21" s="79">
        <v>-75</v>
      </c>
      <c r="D21" s="80">
        <f t="shared" si="8"/>
        <v>-0.10838150289017341</v>
      </c>
      <c r="E21" s="79">
        <v>848</v>
      </c>
      <c r="F21" s="79">
        <v>-218</v>
      </c>
      <c r="G21" s="80">
        <f t="shared" si="9"/>
        <v>-0.2045028142589118</v>
      </c>
      <c r="H21" s="79">
        <v>1023</v>
      </c>
      <c r="I21" s="79">
        <v>-204</v>
      </c>
      <c r="J21" s="80">
        <f t="shared" si="10"/>
        <v>-0.16625916870415647</v>
      </c>
      <c r="K21" s="79">
        <v>1279</v>
      </c>
      <c r="L21" s="79">
        <v>297</v>
      </c>
      <c r="M21" s="80">
        <f t="shared" si="11"/>
        <v>0.3024439918533605</v>
      </c>
      <c r="N21" s="79">
        <v>605</v>
      </c>
      <c r="O21" s="79">
        <v>-166</v>
      </c>
      <c r="P21" s="80">
        <f t="shared" si="12"/>
        <v>-0.21530479896238652</v>
      </c>
      <c r="Q21" s="81"/>
      <c r="R21" s="82">
        <f t="shared" si="5"/>
        <v>4372</v>
      </c>
      <c r="S21" s="79">
        <f t="shared" si="5"/>
        <v>-366</v>
      </c>
      <c r="T21" s="81">
        <f t="shared" si="13"/>
        <v>-0.07724778387505277</v>
      </c>
      <c r="U21" s="81"/>
      <c r="V21" s="83">
        <f t="shared" si="7"/>
        <v>36.04635761589404</v>
      </c>
    </row>
    <row r="22" spans="1:22" s="63" customFormat="1" ht="12.75">
      <c r="A22" s="70" t="s">
        <v>127</v>
      </c>
      <c r="B22" s="79">
        <v>767</v>
      </c>
      <c r="C22" s="79">
        <v>-109</v>
      </c>
      <c r="D22" s="80">
        <f t="shared" si="8"/>
        <v>-0.12442922374429223</v>
      </c>
      <c r="E22" s="79">
        <v>1034</v>
      </c>
      <c r="F22" s="79">
        <v>-274</v>
      </c>
      <c r="G22" s="80">
        <f t="shared" si="9"/>
        <v>-0.20948012232415902</v>
      </c>
      <c r="H22" s="79">
        <v>1339</v>
      </c>
      <c r="I22" s="79">
        <v>-122</v>
      </c>
      <c r="J22" s="80">
        <f t="shared" si="10"/>
        <v>-0.08350444900752908</v>
      </c>
      <c r="K22" s="79">
        <v>1399</v>
      </c>
      <c r="L22" s="79">
        <v>256</v>
      </c>
      <c r="M22" s="80">
        <f t="shared" si="11"/>
        <v>0.22397200349956256</v>
      </c>
      <c r="N22" s="79">
        <v>749</v>
      </c>
      <c r="O22" s="79">
        <v>-151</v>
      </c>
      <c r="P22" s="80">
        <f t="shared" si="12"/>
        <v>-0.16777777777777778</v>
      </c>
      <c r="Q22" s="81"/>
      <c r="R22" s="82">
        <f t="shared" si="5"/>
        <v>5288</v>
      </c>
      <c r="S22" s="79">
        <f t="shared" si="5"/>
        <v>-400</v>
      </c>
      <c r="T22" s="81">
        <f t="shared" si="13"/>
        <v>-0.07032348804500703</v>
      </c>
      <c r="U22" s="81"/>
      <c r="V22" s="83">
        <f t="shared" si="7"/>
        <v>29.980132450331126</v>
      </c>
    </row>
    <row r="23" spans="1:22" s="63" customFormat="1" ht="12.75">
      <c r="A23" s="70" t="s">
        <v>128</v>
      </c>
      <c r="B23" s="79">
        <v>592</v>
      </c>
      <c r="C23" s="79">
        <v>-73</v>
      </c>
      <c r="D23" s="80">
        <f t="shared" si="8"/>
        <v>-0.10977443609022557</v>
      </c>
      <c r="E23" s="79">
        <v>860</v>
      </c>
      <c r="F23" s="79">
        <v>-154</v>
      </c>
      <c r="G23" s="80">
        <f t="shared" si="9"/>
        <v>-0.15187376725838264</v>
      </c>
      <c r="H23" s="79">
        <v>1130</v>
      </c>
      <c r="I23" s="79">
        <v>5</v>
      </c>
      <c r="J23" s="80">
        <f t="shared" si="10"/>
        <v>0.0044444444444444444</v>
      </c>
      <c r="K23" s="79">
        <v>968</v>
      </c>
      <c r="L23" s="79">
        <v>117</v>
      </c>
      <c r="M23" s="80">
        <f t="shared" si="11"/>
        <v>0.13748531139835488</v>
      </c>
      <c r="N23" s="79">
        <v>414</v>
      </c>
      <c r="O23" s="79">
        <v>-227</v>
      </c>
      <c r="P23" s="80">
        <f t="shared" si="12"/>
        <v>-0.3541341653666147</v>
      </c>
      <c r="Q23" s="81"/>
      <c r="R23" s="82">
        <f t="shared" si="5"/>
        <v>3964</v>
      </c>
      <c r="S23" s="79">
        <f t="shared" si="5"/>
        <v>-332</v>
      </c>
      <c r="T23" s="81">
        <f t="shared" si="13"/>
        <v>-0.07728119180633147</v>
      </c>
      <c r="U23" s="81"/>
      <c r="V23" s="83">
        <f t="shared" si="7"/>
        <v>38.74834437086093</v>
      </c>
    </row>
    <row r="24" spans="1:22" s="63" customFormat="1" ht="12.75">
      <c r="A24" s="70" t="s">
        <v>129</v>
      </c>
      <c r="B24" s="79">
        <v>529</v>
      </c>
      <c r="C24" s="79">
        <v>-34</v>
      </c>
      <c r="D24" s="80">
        <f t="shared" si="8"/>
        <v>-0.06039076376554174</v>
      </c>
      <c r="E24" s="79">
        <v>709</v>
      </c>
      <c r="F24" s="79">
        <v>-160</v>
      </c>
      <c r="G24" s="80">
        <f t="shared" si="9"/>
        <v>-0.18411967779056387</v>
      </c>
      <c r="H24" s="79">
        <v>833</v>
      </c>
      <c r="I24" s="79">
        <v>-170</v>
      </c>
      <c r="J24" s="80">
        <f t="shared" si="10"/>
        <v>-0.1694915254237288</v>
      </c>
      <c r="K24" s="79">
        <v>1009</v>
      </c>
      <c r="L24" s="79">
        <v>225</v>
      </c>
      <c r="M24" s="80">
        <f t="shared" si="11"/>
        <v>0.2869897959183674</v>
      </c>
      <c r="N24" s="79">
        <v>390</v>
      </c>
      <c r="O24" s="79">
        <v>-206</v>
      </c>
      <c r="P24" s="80">
        <f t="shared" si="12"/>
        <v>-0.34563758389261745</v>
      </c>
      <c r="Q24" s="81"/>
      <c r="R24" s="82">
        <f t="shared" si="5"/>
        <v>3470</v>
      </c>
      <c r="S24" s="79">
        <f t="shared" si="5"/>
        <v>-345</v>
      </c>
      <c r="T24" s="81">
        <f t="shared" si="13"/>
        <v>-0.09043250327653997</v>
      </c>
      <c r="U24" s="81"/>
      <c r="V24" s="83">
        <f t="shared" si="7"/>
        <v>42.019867549668874</v>
      </c>
    </row>
    <row r="25" spans="1:22" s="63" customFormat="1" ht="12.75">
      <c r="A25" s="70" t="s">
        <v>130</v>
      </c>
      <c r="B25" s="79">
        <v>247</v>
      </c>
      <c r="C25" s="79">
        <v>29</v>
      </c>
      <c r="D25" s="80">
        <f t="shared" si="8"/>
        <v>0.13302752293577982</v>
      </c>
      <c r="E25" s="79">
        <v>389</v>
      </c>
      <c r="F25" s="79">
        <v>-20</v>
      </c>
      <c r="G25" s="80">
        <f t="shared" si="9"/>
        <v>-0.0488997555012225</v>
      </c>
      <c r="H25" s="79">
        <v>458</v>
      </c>
      <c r="I25" s="79">
        <v>-31</v>
      </c>
      <c r="J25" s="80">
        <f t="shared" si="10"/>
        <v>-0.06339468302658487</v>
      </c>
      <c r="K25" s="79">
        <v>399</v>
      </c>
      <c r="L25" s="79">
        <v>62</v>
      </c>
      <c r="M25" s="80">
        <f t="shared" si="11"/>
        <v>0.18397626112759644</v>
      </c>
      <c r="N25" s="79">
        <v>148</v>
      </c>
      <c r="O25" s="79">
        <v>-54</v>
      </c>
      <c r="P25" s="80">
        <f t="shared" si="12"/>
        <v>-0.26732673267326734</v>
      </c>
      <c r="Q25" s="81"/>
      <c r="R25" s="82">
        <f t="shared" si="5"/>
        <v>1641</v>
      </c>
      <c r="S25" s="79">
        <f t="shared" si="5"/>
        <v>-14</v>
      </c>
      <c r="T25" s="81">
        <f t="shared" si="13"/>
        <v>-0.008459214501510574</v>
      </c>
      <c r="U25" s="81"/>
      <c r="V25" s="83">
        <f t="shared" si="7"/>
        <v>54.132450331125824</v>
      </c>
    </row>
    <row r="26" spans="1:22" s="63" customFormat="1" ht="12.75">
      <c r="A26" s="70" t="s">
        <v>131</v>
      </c>
      <c r="B26" s="79">
        <v>726</v>
      </c>
      <c r="C26" s="79">
        <v>-134</v>
      </c>
      <c r="D26" s="80">
        <f t="shared" si="8"/>
        <v>-0.1558139534883721</v>
      </c>
      <c r="E26" s="79">
        <v>1081</v>
      </c>
      <c r="F26" s="79">
        <v>-179</v>
      </c>
      <c r="G26" s="80">
        <f t="shared" si="9"/>
        <v>-0.14206349206349206</v>
      </c>
      <c r="H26" s="79">
        <v>1388</v>
      </c>
      <c r="I26" s="79">
        <v>-68</v>
      </c>
      <c r="J26" s="80">
        <f t="shared" si="10"/>
        <v>-0.046703296703296704</v>
      </c>
      <c r="K26" s="79">
        <v>1406</v>
      </c>
      <c r="L26" s="79">
        <v>172</v>
      </c>
      <c r="M26" s="80">
        <f t="shared" si="11"/>
        <v>0.1393841166936791</v>
      </c>
      <c r="N26" s="79">
        <v>1139</v>
      </c>
      <c r="O26" s="79">
        <v>68</v>
      </c>
      <c r="P26" s="80">
        <f t="shared" si="12"/>
        <v>0.06349206349206349</v>
      </c>
      <c r="Q26" s="81"/>
      <c r="R26" s="82">
        <f t="shared" si="5"/>
        <v>5740</v>
      </c>
      <c r="S26" s="79">
        <f t="shared" si="5"/>
        <v>-141</v>
      </c>
      <c r="T26" s="81">
        <f t="shared" si="13"/>
        <v>-0.02397551436830471</v>
      </c>
      <c r="U26" s="81"/>
      <c r="V26" s="83">
        <f t="shared" si="7"/>
        <v>26.986754966887418</v>
      </c>
    </row>
    <row r="27" spans="1:22" s="63" customFormat="1" ht="12.75">
      <c r="A27" s="70" t="s">
        <v>132</v>
      </c>
      <c r="B27" s="79">
        <v>481</v>
      </c>
      <c r="C27" s="79">
        <v>-98</v>
      </c>
      <c r="D27" s="80">
        <f t="shared" si="8"/>
        <v>-0.1692573402417962</v>
      </c>
      <c r="E27" s="79">
        <v>692</v>
      </c>
      <c r="F27" s="79">
        <v>-187</v>
      </c>
      <c r="G27" s="80">
        <f t="shared" si="9"/>
        <v>-0.21274175199089876</v>
      </c>
      <c r="H27" s="79">
        <v>816</v>
      </c>
      <c r="I27" s="79">
        <v>-203</v>
      </c>
      <c r="J27" s="80">
        <f t="shared" si="10"/>
        <v>-0.19921491658488713</v>
      </c>
      <c r="K27" s="79">
        <v>1044</v>
      </c>
      <c r="L27" s="79">
        <v>204</v>
      </c>
      <c r="M27" s="80">
        <f t="shared" si="11"/>
        <v>0.24285714285714285</v>
      </c>
      <c r="N27" s="79">
        <v>631</v>
      </c>
      <c r="O27" s="79">
        <v>-38</v>
      </c>
      <c r="P27" s="80">
        <f t="shared" si="12"/>
        <v>-0.05680119581464873</v>
      </c>
      <c r="Q27" s="81"/>
      <c r="R27" s="82">
        <f aca="true" t="shared" si="14" ref="R27:S46">SUMIF($B$6:$Q$6,R$6,$B27:$Q27)</f>
        <v>3664</v>
      </c>
      <c r="S27" s="79">
        <f t="shared" si="14"/>
        <v>-322</v>
      </c>
      <c r="T27" s="81">
        <f t="shared" si="13"/>
        <v>-0.08078273958855996</v>
      </c>
      <c r="U27" s="81"/>
      <c r="V27" s="83">
        <f t="shared" si="7"/>
        <v>40.735099337748345</v>
      </c>
    </row>
    <row r="28" spans="1:22" s="63" customFormat="1" ht="12.75">
      <c r="A28" s="70" t="s">
        <v>133</v>
      </c>
      <c r="B28" s="79">
        <v>565</v>
      </c>
      <c r="C28" s="79">
        <v>-138</v>
      </c>
      <c r="D28" s="80">
        <f t="shared" si="8"/>
        <v>-0.19630156472261737</v>
      </c>
      <c r="E28" s="79">
        <v>847</v>
      </c>
      <c r="F28" s="79">
        <v>-198</v>
      </c>
      <c r="G28" s="80">
        <f t="shared" si="9"/>
        <v>-0.18947368421052632</v>
      </c>
      <c r="H28" s="79">
        <v>1069</v>
      </c>
      <c r="I28" s="79">
        <v>-140</v>
      </c>
      <c r="J28" s="80">
        <f t="shared" si="10"/>
        <v>-0.11579818031430934</v>
      </c>
      <c r="K28" s="79">
        <v>1177</v>
      </c>
      <c r="L28" s="79">
        <v>146</v>
      </c>
      <c r="M28" s="80">
        <f t="shared" si="11"/>
        <v>0.14161008729388944</v>
      </c>
      <c r="N28" s="79">
        <v>919</v>
      </c>
      <c r="O28" s="79">
        <v>28</v>
      </c>
      <c r="P28" s="80">
        <f t="shared" si="12"/>
        <v>0.031425364758698095</v>
      </c>
      <c r="Q28" s="81"/>
      <c r="R28" s="82">
        <f t="shared" si="14"/>
        <v>4577</v>
      </c>
      <c r="S28" s="79">
        <f t="shared" si="14"/>
        <v>-302</v>
      </c>
      <c r="T28" s="81">
        <f t="shared" si="13"/>
        <v>-0.06189792990366878</v>
      </c>
      <c r="U28" s="81"/>
      <c r="V28" s="83">
        <f t="shared" si="7"/>
        <v>34.688741721854306</v>
      </c>
    </row>
    <row r="29" spans="1:22" s="63" customFormat="1" ht="12.75">
      <c r="A29" s="70" t="s">
        <v>134</v>
      </c>
      <c r="B29" s="79">
        <v>712</v>
      </c>
      <c r="C29" s="79">
        <v>-82</v>
      </c>
      <c r="D29" s="80">
        <f t="shared" si="8"/>
        <v>-0.10327455919395466</v>
      </c>
      <c r="E29" s="79">
        <v>926</v>
      </c>
      <c r="F29" s="79">
        <v>-232</v>
      </c>
      <c r="G29" s="80">
        <f t="shared" si="9"/>
        <v>-0.2003454231433506</v>
      </c>
      <c r="H29" s="79">
        <v>1166</v>
      </c>
      <c r="I29" s="79">
        <v>-159</v>
      </c>
      <c r="J29" s="80">
        <f t="shared" si="10"/>
        <v>-0.12</v>
      </c>
      <c r="K29" s="79">
        <v>1325</v>
      </c>
      <c r="L29" s="79">
        <v>200</v>
      </c>
      <c r="M29" s="80">
        <f t="shared" si="11"/>
        <v>0.17777777777777778</v>
      </c>
      <c r="N29" s="79">
        <v>847</v>
      </c>
      <c r="O29" s="79">
        <v>-104</v>
      </c>
      <c r="P29" s="80">
        <f t="shared" si="12"/>
        <v>-0.10935856992639327</v>
      </c>
      <c r="Q29" s="81"/>
      <c r="R29" s="82">
        <f t="shared" si="14"/>
        <v>4976</v>
      </c>
      <c r="S29" s="79">
        <f t="shared" si="14"/>
        <v>-377</v>
      </c>
      <c r="T29" s="81">
        <f t="shared" si="13"/>
        <v>-0.07042779749673081</v>
      </c>
      <c r="U29" s="81"/>
      <c r="V29" s="83">
        <f t="shared" si="7"/>
        <v>32.04635761589404</v>
      </c>
    </row>
    <row r="30" spans="1:22" s="63" customFormat="1" ht="12.75">
      <c r="A30" s="70" t="s">
        <v>135</v>
      </c>
      <c r="B30" s="79">
        <v>929</v>
      </c>
      <c r="C30" s="79">
        <v>-133</v>
      </c>
      <c r="D30" s="80">
        <f t="shared" si="8"/>
        <v>-0.12523540489642185</v>
      </c>
      <c r="E30" s="79">
        <v>1200</v>
      </c>
      <c r="F30" s="79">
        <v>-345</v>
      </c>
      <c r="G30" s="80">
        <f t="shared" si="9"/>
        <v>-0.22330097087378642</v>
      </c>
      <c r="H30" s="79">
        <v>1498</v>
      </c>
      <c r="I30" s="79">
        <v>-222</v>
      </c>
      <c r="J30" s="80">
        <f t="shared" si="10"/>
        <v>-0.12906976744186047</v>
      </c>
      <c r="K30" s="79">
        <v>1548</v>
      </c>
      <c r="L30" s="79">
        <v>196</v>
      </c>
      <c r="M30" s="80">
        <f t="shared" si="11"/>
        <v>0.14497041420118342</v>
      </c>
      <c r="N30" s="79">
        <v>992</v>
      </c>
      <c r="O30" s="79">
        <v>-129</v>
      </c>
      <c r="P30" s="80">
        <f t="shared" si="12"/>
        <v>-0.11507582515611062</v>
      </c>
      <c r="Q30" s="81"/>
      <c r="R30" s="82">
        <f t="shared" si="14"/>
        <v>6167</v>
      </c>
      <c r="S30" s="79">
        <f t="shared" si="14"/>
        <v>-633</v>
      </c>
      <c r="T30" s="81">
        <f t="shared" si="13"/>
        <v>-0.09308823529411765</v>
      </c>
      <c r="U30" s="81"/>
      <c r="V30" s="83">
        <f t="shared" si="7"/>
        <v>24.158940397350996</v>
      </c>
    </row>
    <row r="31" spans="1:22" s="63" customFormat="1" ht="12.75">
      <c r="A31" s="70" t="s">
        <v>136</v>
      </c>
      <c r="B31" s="79">
        <v>350</v>
      </c>
      <c r="C31" s="79">
        <v>27</v>
      </c>
      <c r="D31" s="80">
        <f t="shared" si="8"/>
        <v>0.08359133126934984</v>
      </c>
      <c r="E31" s="79">
        <v>480</v>
      </c>
      <c r="F31" s="79">
        <v>-75</v>
      </c>
      <c r="G31" s="80">
        <f t="shared" si="9"/>
        <v>-0.13513513513513514</v>
      </c>
      <c r="H31" s="79">
        <v>578</v>
      </c>
      <c r="I31" s="79">
        <v>-63</v>
      </c>
      <c r="J31" s="80">
        <f t="shared" si="10"/>
        <v>-0.09828393135725429</v>
      </c>
      <c r="K31" s="79">
        <v>529</v>
      </c>
      <c r="L31" s="79">
        <v>68</v>
      </c>
      <c r="M31" s="80">
        <f t="shared" si="11"/>
        <v>0.1475054229934924</v>
      </c>
      <c r="N31" s="79">
        <v>196</v>
      </c>
      <c r="O31" s="79">
        <v>-110</v>
      </c>
      <c r="P31" s="80">
        <f t="shared" si="12"/>
        <v>-0.35947712418300654</v>
      </c>
      <c r="Q31" s="81"/>
      <c r="R31" s="82">
        <f t="shared" si="14"/>
        <v>2133</v>
      </c>
      <c r="S31" s="79">
        <f t="shared" si="14"/>
        <v>-153</v>
      </c>
      <c r="T31" s="81">
        <f t="shared" si="13"/>
        <v>-0.06692913385826772</v>
      </c>
      <c r="U31" s="81"/>
      <c r="V31" s="83">
        <f t="shared" si="7"/>
        <v>50.87417218543047</v>
      </c>
    </row>
    <row r="32" spans="1:22" s="63" customFormat="1" ht="12.75">
      <c r="A32" s="70" t="s">
        <v>137</v>
      </c>
      <c r="B32" s="79">
        <v>565</v>
      </c>
      <c r="C32" s="79">
        <v>-82</v>
      </c>
      <c r="D32" s="80">
        <f t="shared" si="8"/>
        <v>-0.1267387944358578</v>
      </c>
      <c r="E32" s="79">
        <v>847</v>
      </c>
      <c r="F32" s="79">
        <v>-167</v>
      </c>
      <c r="G32" s="80">
        <f t="shared" si="9"/>
        <v>-0.16469428007889547</v>
      </c>
      <c r="H32" s="79">
        <v>1064</v>
      </c>
      <c r="I32" s="79">
        <v>-84</v>
      </c>
      <c r="J32" s="80">
        <f t="shared" si="10"/>
        <v>-0.07317073170731707</v>
      </c>
      <c r="K32" s="79">
        <v>1035</v>
      </c>
      <c r="L32" s="79">
        <v>160</v>
      </c>
      <c r="M32" s="80">
        <f t="shared" si="11"/>
        <v>0.18285714285714286</v>
      </c>
      <c r="N32" s="79">
        <v>451</v>
      </c>
      <c r="O32" s="79">
        <v>-210</v>
      </c>
      <c r="P32" s="80">
        <f t="shared" si="12"/>
        <v>-0.3177004538577912</v>
      </c>
      <c r="Q32" s="81"/>
      <c r="R32" s="82">
        <f t="shared" si="14"/>
        <v>3962</v>
      </c>
      <c r="S32" s="79">
        <f t="shared" si="14"/>
        <v>-383</v>
      </c>
      <c r="T32" s="81">
        <f t="shared" si="13"/>
        <v>-0.08814729574223246</v>
      </c>
      <c r="U32" s="81"/>
      <c r="V32" s="83">
        <f t="shared" si="7"/>
        <v>38.76158940397351</v>
      </c>
    </row>
    <row r="33" spans="1:22" s="63" customFormat="1" ht="12.75">
      <c r="A33" s="70" t="s">
        <v>138</v>
      </c>
      <c r="B33" s="79">
        <v>976</v>
      </c>
      <c r="C33" s="79">
        <v>-65</v>
      </c>
      <c r="D33" s="80">
        <f t="shared" si="8"/>
        <v>-0.06243996157540826</v>
      </c>
      <c r="E33" s="79">
        <v>1169</v>
      </c>
      <c r="F33" s="79">
        <v>-155</v>
      </c>
      <c r="G33" s="80">
        <f t="shared" si="9"/>
        <v>-0.11706948640483383</v>
      </c>
      <c r="H33" s="79">
        <v>1296</v>
      </c>
      <c r="I33" s="79">
        <v>-85</v>
      </c>
      <c r="J33" s="80">
        <f t="shared" si="10"/>
        <v>-0.06154960173787111</v>
      </c>
      <c r="K33" s="79">
        <v>1080</v>
      </c>
      <c r="L33" s="79">
        <v>-15</v>
      </c>
      <c r="M33" s="80">
        <f t="shared" si="11"/>
        <v>-0.0136986301369863</v>
      </c>
      <c r="N33" s="79">
        <v>765</v>
      </c>
      <c r="O33" s="79">
        <v>-208</v>
      </c>
      <c r="P33" s="80">
        <f t="shared" si="12"/>
        <v>-0.21377183967112023</v>
      </c>
      <c r="Q33" s="81"/>
      <c r="R33" s="82">
        <f t="shared" si="14"/>
        <v>5286</v>
      </c>
      <c r="S33" s="79">
        <f t="shared" si="14"/>
        <v>-528</v>
      </c>
      <c r="T33" s="81">
        <f t="shared" si="13"/>
        <v>-0.09081527347781218</v>
      </c>
      <c r="U33" s="81"/>
      <c r="V33" s="83">
        <f t="shared" si="7"/>
        <v>29.99337748344371</v>
      </c>
    </row>
    <row r="34" spans="1:22" s="63" customFormat="1" ht="12.75">
      <c r="A34" s="70" t="s">
        <v>139</v>
      </c>
      <c r="B34" s="79">
        <v>786</v>
      </c>
      <c r="C34" s="79">
        <v>-65</v>
      </c>
      <c r="D34" s="80">
        <f t="shared" si="8"/>
        <v>-0.07638072855464159</v>
      </c>
      <c r="E34" s="79">
        <v>1023</v>
      </c>
      <c r="F34" s="79">
        <v>-197</v>
      </c>
      <c r="G34" s="80">
        <f t="shared" si="9"/>
        <v>-0.16147540983606556</v>
      </c>
      <c r="H34" s="79">
        <v>1311</v>
      </c>
      <c r="I34" s="79">
        <v>-14</v>
      </c>
      <c r="J34" s="80">
        <f t="shared" si="10"/>
        <v>-0.010566037735849057</v>
      </c>
      <c r="K34" s="79">
        <v>1190</v>
      </c>
      <c r="L34" s="79">
        <v>158</v>
      </c>
      <c r="M34" s="80">
        <f t="shared" si="11"/>
        <v>0.15310077519379844</v>
      </c>
      <c r="N34" s="79">
        <v>614</v>
      </c>
      <c r="O34" s="79">
        <v>-213</v>
      </c>
      <c r="P34" s="80">
        <f t="shared" si="12"/>
        <v>-0.25755743651753327</v>
      </c>
      <c r="Q34" s="81"/>
      <c r="R34" s="82">
        <f t="shared" si="14"/>
        <v>4924</v>
      </c>
      <c r="S34" s="79">
        <f t="shared" si="14"/>
        <v>-331</v>
      </c>
      <c r="T34" s="81">
        <f t="shared" si="13"/>
        <v>-0.06298763082778307</v>
      </c>
      <c r="U34" s="81"/>
      <c r="V34" s="83">
        <f t="shared" si="7"/>
        <v>32.390728476821195</v>
      </c>
    </row>
    <row r="35" spans="1:22" s="63" customFormat="1" ht="12.75">
      <c r="A35" s="70" t="s">
        <v>140</v>
      </c>
      <c r="B35" s="79">
        <v>451</v>
      </c>
      <c r="C35" s="79">
        <v>-67</v>
      </c>
      <c r="D35" s="80">
        <f t="shared" si="8"/>
        <v>-0.12934362934362933</v>
      </c>
      <c r="E35" s="79">
        <v>780</v>
      </c>
      <c r="F35" s="79">
        <v>19</v>
      </c>
      <c r="G35" s="80">
        <f t="shared" si="9"/>
        <v>0.024967148488830485</v>
      </c>
      <c r="H35" s="79">
        <v>851</v>
      </c>
      <c r="I35" s="79">
        <v>87</v>
      </c>
      <c r="J35" s="80">
        <f t="shared" si="10"/>
        <v>0.11387434554973822</v>
      </c>
      <c r="K35" s="79">
        <v>529</v>
      </c>
      <c r="L35" s="79">
        <v>-25</v>
      </c>
      <c r="M35" s="80">
        <f t="shared" si="11"/>
        <v>-0.04512635379061372</v>
      </c>
      <c r="N35" s="79">
        <v>314</v>
      </c>
      <c r="O35" s="79">
        <v>-145</v>
      </c>
      <c r="P35" s="80">
        <f t="shared" si="12"/>
        <v>-0.3159041394335512</v>
      </c>
      <c r="Q35" s="81"/>
      <c r="R35" s="82">
        <f t="shared" si="14"/>
        <v>2925</v>
      </c>
      <c r="S35" s="79">
        <f t="shared" si="14"/>
        <v>-131</v>
      </c>
      <c r="T35" s="81">
        <f t="shared" si="13"/>
        <v>-0.04286649214659686</v>
      </c>
      <c r="U35" s="81"/>
      <c r="V35" s="83">
        <f t="shared" si="7"/>
        <v>45.62913907284768</v>
      </c>
    </row>
    <row r="36" spans="1:22" s="63" customFormat="1" ht="12.75">
      <c r="A36" s="70" t="s">
        <v>141</v>
      </c>
      <c r="B36" s="79">
        <v>665</v>
      </c>
      <c r="C36" s="79">
        <v>-177</v>
      </c>
      <c r="D36" s="80">
        <f t="shared" si="8"/>
        <v>-0.21021377672209027</v>
      </c>
      <c r="E36" s="79">
        <v>982</v>
      </c>
      <c r="F36" s="79">
        <v>-244</v>
      </c>
      <c r="G36" s="80">
        <f t="shared" si="9"/>
        <v>-0.19902120717781402</v>
      </c>
      <c r="H36" s="79">
        <v>1274</v>
      </c>
      <c r="I36" s="79">
        <v>-131</v>
      </c>
      <c r="J36" s="80">
        <f t="shared" si="10"/>
        <v>-0.09323843416370106</v>
      </c>
      <c r="K36" s="79">
        <v>1338</v>
      </c>
      <c r="L36" s="79">
        <v>152</v>
      </c>
      <c r="M36" s="80">
        <f t="shared" si="11"/>
        <v>0.1281618887015177</v>
      </c>
      <c r="N36" s="79">
        <v>1069</v>
      </c>
      <c r="O36" s="79">
        <v>51</v>
      </c>
      <c r="P36" s="80">
        <f t="shared" si="12"/>
        <v>0.05009823182711198</v>
      </c>
      <c r="Q36" s="81"/>
      <c r="R36" s="82">
        <f t="shared" si="14"/>
        <v>5328</v>
      </c>
      <c r="S36" s="79">
        <f t="shared" si="14"/>
        <v>-349</v>
      </c>
      <c r="T36" s="81">
        <f t="shared" si="13"/>
        <v>-0.06147613175973225</v>
      </c>
      <c r="U36" s="81"/>
      <c r="V36" s="83">
        <f t="shared" si="7"/>
        <v>29.71523178807947</v>
      </c>
    </row>
    <row r="37" spans="1:22" s="63" customFormat="1" ht="12.75">
      <c r="A37" s="70" t="s">
        <v>142</v>
      </c>
      <c r="B37" s="79">
        <v>482</v>
      </c>
      <c r="C37" s="79">
        <v>-140</v>
      </c>
      <c r="D37" s="80">
        <f t="shared" si="8"/>
        <v>-0.22508038585209003</v>
      </c>
      <c r="E37" s="79">
        <v>742</v>
      </c>
      <c r="F37" s="79">
        <v>-200</v>
      </c>
      <c r="G37" s="80">
        <f t="shared" si="9"/>
        <v>-0.21231422505307856</v>
      </c>
      <c r="H37" s="79">
        <v>912</v>
      </c>
      <c r="I37" s="79">
        <v>-179</v>
      </c>
      <c r="J37" s="80">
        <f t="shared" si="10"/>
        <v>-0.16406966086159486</v>
      </c>
      <c r="K37" s="79">
        <v>1105</v>
      </c>
      <c r="L37" s="79">
        <v>185</v>
      </c>
      <c r="M37" s="80">
        <f t="shared" si="11"/>
        <v>0.20108695652173914</v>
      </c>
      <c r="N37" s="79">
        <v>774</v>
      </c>
      <c r="O37" s="79">
        <v>11</v>
      </c>
      <c r="P37" s="80">
        <f t="shared" si="12"/>
        <v>0.014416775884665793</v>
      </c>
      <c r="Q37" s="81"/>
      <c r="R37" s="82">
        <f t="shared" si="14"/>
        <v>4015</v>
      </c>
      <c r="S37" s="79">
        <f t="shared" si="14"/>
        <v>-323</v>
      </c>
      <c r="T37" s="81">
        <f t="shared" si="13"/>
        <v>-0.07445827570308898</v>
      </c>
      <c r="U37" s="81"/>
      <c r="V37" s="83">
        <f t="shared" si="7"/>
        <v>38.41059602649007</v>
      </c>
    </row>
    <row r="38" spans="1:22" s="63" customFormat="1" ht="12.75">
      <c r="A38" s="70" t="s">
        <v>143</v>
      </c>
      <c r="B38" s="79">
        <v>564</v>
      </c>
      <c r="C38" s="79">
        <v>-102</v>
      </c>
      <c r="D38" s="80">
        <f t="shared" si="8"/>
        <v>-0.15315315315315314</v>
      </c>
      <c r="E38" s="79">
        <v>923</v>
      </c>
      <c r="F38" s="79">
        <v>-2</v>
      </c>
      <c r="G38" s="80">
        <f t="shared" si="9"/>
        <v>-0.002162162162162162</v>
      </c>
      <c r="H38" s="79">
        <v>1027</v>
      </c>
      <c r="I38" s="79">
        <v>87</v>
      </c>
      <c r="J38" s="80">
        <f t="shared" si="10"/>
        <v>0.0925531914893617</v>
      </c>
      <c r="K38" s="79">
        <v>693</v>
      </c>
      <c r="L38" s="79">
        <v>-19</v>
      </c>
      <c r="M38" s="80">
        <f t="shared" si="11"/>
        <v>-0.026685393258426966</v>
      </c>
      <c r="N38" s="79">
        <v>524</v>
      </c>
      <c r="O38" s="79">
        <v>-76</v>
      </c>
      <c r="P38" s="80">
        <f t="shared" si="12"/>
        <v>-0.12666666666666668</v>
      </c>
      <c r="Q38" s="81"/>
      <c r="R38" s="82">
        <f t="shared" si="14"/>
        <v>3731</v>
      </c>
      <c r="S38" s="79">
        <f t="shared" si="14"/>
        <v>-112</v>
      </c>
      <c r="T38" s="81">
        <f t="shared" si="13"/>
        <v>-0.029143897996357013</v>
      </c>
      <c r="U38" s="81"/>
      <c r="V38" s="83">
        <f t="shared" si="7"/>
        <v>40.29139072847682</v>
      </c>
    </row>
    <row r="39" spans="1:22" s="63" customFormat="1" ht="12.75">
      <c r="A39" s="70" t="s">
        <v>144</v>
      </c>
      <c r="B39" s="79">
        <v>517</v>
      </c>
      <c r="C39" s="79">
        <v>-161</v>
      </c>
      <c r="D39" s="80">
        <f t="shared" si="8"/>
        <v>-0.2374631268436578</v>
      </c>
      <c r="E39" s="79">
        <v>776</v>
      </c>
      <c r="F39" s="79">
        <v>-240</v>
      </c>
      <c r="G39" s="80">
        <f t="shared" si="9"/>
        <v>-0.23622047244094488</v>
      </c>
      <c r="H39" s="79">
        <v>1008</v>
      </c>
      <c r="I39" s="79">
        <v>-180</v>
      </c>
      <c r="J39" s="80">
        <f t="shared" si="10"/>
        <v>-0.15151515151515152</v>
      </c>
      <c r="K39" s="79">
        <v>1160</v>
      </c>
      <c r="L39" s="79">
        <v>143</v>
      </c>
      <c r="M39" s="80">
        <f t="shared" si="11"/>
        <v>0.14060963618485742</v>
      </c>
      <c r="N39" s="79">
        <v>872</v>
      </c>
      <c r="O39" s="79">
        <v>5</v>
      </c>
      <c r="P39" s="80">
        <f t="shared" si="12"/>
        <v>0.0057670126874279125</v>
      </c>
      <c r="Q39" s="81"/>
      <c r="R39" s="82">
        <f t="shared" si="14"/>
        <v>4333</v>
      </c>
      <c r="S39" s="79">
        <f t="shared" si="14"/>
        <v>-433</v>
      </c>
      <c r="T39" s="81">
        <f t="shared" si="13"/>
        <v>-0.09085186739404112</v>
      </c>
      <c r="U39" s="81"/>
      <c r="V39" s="83">
        <f aca="true" t="shared" si="15" ref="V39:V57">65-(R39/$W$3)</f>
        <v>36.3046357615894</v>
      </c>
    </row>
    <row r="40" spans="1:22" s="63" customFormat="1" ht="12.75">
      <c r="A40" s="70" t="s">
        <v>145</v>
      </c>
      <c r="B40" s="79">
        <v>407</v>
      </c>
      <c r="C40" s="79">
        <v>-26</v>
      </c>
      <c r="D40" s="80">
        <f t="shared" si="8"/>
        <v>-0.06004618937644342</v>
      </c>
      <c r="E40" s="79">
        <v>562</v>
      </c>
      <c r="F40" s="79">
        <v>-131</v>
      </c>
      <c r="G40" s="80">
        <f t="shared" si="9"/>
        <v>-0.18903318903318903</v>
      </c>
      <c r="H40" s="79">
        <v>640</v>
      </c>
      <c r="I40" s="79">
        <v>-145</v>
      </c>
      <c r="J40" s="80">
        <f t="shared" si="10"/>
        <v>-0.18471337579617833</v>
      </c>
      <c r="K40" s="79">
        <v>729</v>
      </c>
      <c r="L40" s="79">
        <v>110</v>
      </c>
      <c r="M40" s="80">
        <f t="shared" si="11"/>
        <v>0.1777059773828756</v>
      </c>
      <c r="N40" s="79">
        <v>352</v>
      </c>
      <c r="O40" s="79">
        <v>-110</v>
      </c>
      <c r="P40" s="80">
        <f t="shared" si="12"/>
        <v>-0.23809523809523808</v>
      </c>
      <c r="Q40" s="81"/>
      <c r="R40" s="82">
        <f t="shared" si="14"/>
        <v>2690</v>
      </c>
      <c r="S40" s="79">
        <f t="shared" si="14"/>
        <v>-302</v>
      </c>
      <c r="T40" s="81">
        <f t="shared" si="13"/>
        <v>-0.10093582887700535</v>
      </c>
      <c r="U40" s="81"/>
      <c r="V40" s="83">
        <f t="shared" si="15"/>
        <v>47.185430463576154</v>
      </c>
    </row>
    <row r="41" spans="1:22" s="63" customFormat="1" ht="12.75">
      <c r="A41" s="70" t="s">
        <v>146</v>
      </c>
      <c r="B41" s="79">
        <v>1068</v>
      </c>
      <c r="C41" s="79">
        <v>-107</v>
      </c>
      <c r="D41" s="80">
        <f t="shared" si="8"/>
        <v>-0.09106382978723404</v>
      </c>
      <c r="E41" s="79">
        <v>1306</v>
      </c>
      <c r="F41" s="79">
        <v>-324</v>
      </c>
      <c r="G41" s="80">
        <f t="shared" si="9"/>
        <v>-0.19877300613496932</v>
      </c>
      <c r="H41" s="79">
        <v>1562</v>
      </c>
      <c r="I41" s="79">
        <v>-233</v>
      </c>
      <c r="J41" s="80">
        <f t="shared" si="10"/>
        <v>-0.1298050139275766</v>
      </c>
      <c r="K41" s="79">
        <v>1579</v>
      </c>
      <c r="L41" s="79">
        <v>169</v>
      </c>
      <c r="M41" s="80">
        <f t="shared" si="11"/>
        <v>0.1198581560283688</v>
      </c>
      <c r="N41" s="79">
        <v>1018</v>
      </c>
      <c r="O41" s="79">
        <v>-178</v>
      </c>
      <c r="P41" s="80">
        <f t="shared" si="12"/>
        <v>-0.1488294314381271</v>
      </c>
      <c r="Q41" s="81"/>
      <c r="R41" s="82">
        <f t="shared" si="14"/>
        <v>6533</v>
      </c>
      <c r="S41" s="79">
        <f t="shared" si="14"/>
        <v>-673</v>
      </c>
      <c r="T41" s="81">
        <f t="shared" si="13"/>
        <v>-0.09339439356092145</v>
      </c>
      <c r="U41" s="81"/>
      <c r="V41" s="83">
        <f t="shared" si="15"/>
        <v>21.735099337748345</v>
      </c>
    </row>
    <row r="42" spans="1:22" s="63" customFormat="1" ht="12.75">
      <c r="A42" s="70" t="s">
        <v>147</v>
      </c>
      <c r="B42" s="79">
        <v>617</v>
      </c>
      <c r="C42" s="79">
        <v>-76</v>
      </c>
      <c r="D42" s="80">
        <f t="shared" si="8"/>
        <v>-0.10966810966810966</v>
      </c>
      <c r="E42" s="79">
        <v>815</v>
      </c>
      <c r="F42" s="79">
        <v>-222</v>
      </c>
      <c r="G42" s="80">
        <f t="shared" si="9"/>
        <v>-0.21407907425265188</v>
      </c>
      <c r="H42" s="79">
        <v>995</v>
      </c>
      <c r="I42" s="79">
        <v>-204</v>
      </c>
      <c r="J42" s="80">
        <f t="shared" si="10"/>
        <v>-0.1701417848206839</v>
      </c>
      <c r="K42" s="79">
        <v>1284</v>
      </c>
      <c r="L42" s="79">
        <v>295</v>
      </c>
      <c r="M42" s="80">
        <f t="shared" si="11"/>
        <v>0.2982810920121335</v>
      </c>
      <c r="N42" s="79">
        <v>682</v>
      </c>
      <c r="O42" s="79">
        <v>-118</v>
      </c>
      <c r="P42" s="80">
        <f t="shared" si="12"/>
        <v>-0.1475</v>
      </c>
      <c r="Q42" s="81"/>
      <c r="R42" s="82">
        <f t="shared" si="14"/>
        <v>4393</v>
      </c>
      <c r="S42" s="79">
        <f t="shared" si="14"/>
        <v>-325</v>
      </c>
      <c r="T42" s="81">
        <f t="shared" si="13"/>
        <v>-0.0688851208139042</v>
      </c>
      <c r="U42" s="81"/>
      <c r="V42" s="83">
        <f t="shared" si="15"/>
        <v>35.90728476821192</v>
      </c>
    </row>
    <row r="43" spans="1:22" s="63" customFormat="1" ht="12.75">
      <c r="A43" s="70" t="s">
        <v>148</v>
      </c>
      <c r="B43" s="79">
        <v>424</v>
      </c>
      <c r="C43" s="79">
        <v>-67</v>
      </c>
      <c r="D43" s="80">
        <f t="shared" si="8"/>
        <v>-0.1364562118126273</v>
      </c>
      <c r="E43" s="79">
        <v>717</v>
      </c>
      <c r="F43" s="79">
        <v>-82</v>
      </c>
      <c r="G43" s="80">
        <f t="shared" si="9"/>
        <v>-0.10262828535669587</v>
      </c>
      <c r="H43" s="79">
        <v>918</v>
      </c>
      <c r="I43" s="79">
        <v>22</v>
      </c>
      <c r="J43" s="80">
        <f t="shared" si="10"/>
        <v>0.024553571428571428</v>
      </c>
      <c r="K43" s="79">
        <v>716</v>
      </c>
      <c r="L43" s="79">
        <v>64</v>
      </c>
      <c r="M43" s="80">
        <f t="shared" si="11"/>
        <v>0.09815950920245399</v>
      </c>
      <c r="N43" s="79">
        <v>261</v>
      </c>
      <c r="O43" s="79">
        <v>-202</v>
      </c>
      <c r="P43" s="80">
        <f t="shared" si="12"/>
        <v>-0.43628509719222464</v>
      </c>
      <c r="Q43" s="81"/>
      <c r="R43" s="82">
        <f t="shared" si="14"/>
        <v>3036</v>
      </c>
      <c r="S43" s="79">
        <f t="shared" si="14"/>
        <v>-265</v>
      </c>
      <c r="T43" s="81">
        <f t="shared" si="13"/>
        <v>-0.08027870342320509</v>
      </c>
      <c r="U43" s="81"/>
      <c r="V43" s="83">
        <f t="shared" si="15"/>
        <v>44.89403973509934</v>
      </c>
    </row>
    <row r="44" spans="1:22" s="63" customFormat="1" ht="12.75">
      <c r="A44" s="70" t="s">
        <v>149</v>
      </c>
      <c r="B44" s="79">
        <v>656</v>
      </c>
      <c r="C44" s="79">
        <v>19</v>
      </c>
      <c r="D44" s="80">
        <f t="shared" si="8"/>
        <v>0.029827315541601257</v>
      </c>
      <c r="E44" s="79">
        <v>808</v>
      </c>
      <c r="F44" s="79">
        <v>-11</v>
      </c>
      <c r="G44" s="80">
        <f t="shared" si="9"/>
        <v>-0.013431013431013432</v>
      </c>
      <c r="H44" s="79">
        <v>877</v>
      </c>
      <c r="I44" s="79">
        <v>61</v>
      </c>
      <c r="J44" s="80">
        <f t="shared" si="10"/>
        <v>0.07475490196078431</v>
      </c>
      <c r="K44" s="79">
        <v>658</v>
      </c>
      <c r="L44" s="79">
        <v>11</v>
      </c>
      <c r="M44" s="80">
        <f t="shared" si="11"/>
        <v>0.017001545595054096</v>
      </c>
      <c r="N44" s="79">
        <v>561</v>
      </c>
      <c r="O44" s="79">
        <v>-44</v>
      </c>
      <c r="P44" s="80">
        <f t="shared" si="12"/>
        <v>-0.07272727272727272</v>
      </c>
      <c r="Q44" s="81"/>
      <c r="R44" s="82">
        <f t="shared" si="14"/>
        <v>3560</v>
      </c>
      <c r="S44" s="79">
        <f t="shared" si="14"/>
        <v>36</v>
      </c>
      <c r="T44" s="81">
        <f t="shared" si="13"/>
        <v>0.01021566401816118</v>
      </c>
      <c r="U44" s="81"/>
      <c r="V44" s="83">
        <f t="shared" si="15"/>
        <v>41.42384105960265</v>
      </c>
    </row>
    <row r="45" spans="1:22" s="63" customFormat="1" ht="12.75">
      <c r="A45" s="70" t="s">
        <v>150</v>
      </c>
      <c r="B45" s="79">
        <v>567</v>
      </c>
      <c r="C45" s="79">
        <v>-114</v>
      </c>
      <c r="D45" s="80">
        <f t="shared" si="8"/>
        <v>-0.16740088105726872</v>
      </c>
      <c r="E45" s="79">
        <v>804</v>
      </c>
      <c r="F45" s="79">
        <v>-202</v>
      </c>
      <c r="G45" s="80">
        <f t="shared" si="9"/>
        <v>-0.20079522862823063</v>
      </c>
      <c r="H45" s="79">
        <v>982</v>
      </c>
      <c r="I45" s="79">
        <v>-177</v>
      </c>
      <c r="J45" s="80">
        <f t="shared" si="10"/>
        <v>-0.15271786022433131</v>
      </c>
      <c r="K45" s="79">
        <v>1195</v>
      </c>
      <c r="L45" s="79">
        <v>221</v>
      </c>
      <c r="M45" s="80">
        <f t="shared" si="11"/>
        <v>0.2268993839835729</v>
      </c>
      <c r="N45" s="79">
        <v>791</v>
      </c>
      <c r="O45" s="79">
        <v>-18</v>
      </c>
      <c r="P45" s="80">
        <f t="shared" si="12"/>
        <v>-0.022249690976514216</v>
      </c>
      <c r="Q45" s="81"/>
      <c r="R45" s="82">
        <f t="shared" si="14"/>
        <v>4339</v>
      </c>
      <c r="S45" s="79">
        <f t="shared" si="14"/>
        <v>-290</v>
      </c>
      <c r="T45" s="81">
        <f t="shared" si="13"/>
        <v>-0.06264852019874703</v>
      </c>
      <c r="U45" s="81"/>
      <c r="V45" s="83">
        <f t="shared" si="15"/>
        <v>36.264900662251655</v>
      </c>
    </row>
    <row r="46" spans="1:22" s="63" customFormat="1" ht="12.75">
      <c r="A46" s="70" t="s">
        <v>151</v>
      </c>
      <c r="B46" s="79">
        <v>511</v>
      </c>
      <c r="C46" s="79">
        <v>-124</v>
      </c>
      <c r="D46" s="80">
        <f t="shared" si="8"/>
        <v>-0.1952755905511811</v>
      </c>
      <c r="E46" s="79">
        <v>780</v>
      </c>
      <c r="F46" s="79">
        <v>-175</v>
      </c>
      <c r="G46" s="80">
        <f t="shared" si="9"/>
        <v>-0.18324607329842932</v>
      </c>
      <c r="H46" s="79">
        <v>988</v>
      </c>
      <c r="I46" s="79">
        <v>-125</v>
      </c>
      <c r="J46" s="80">
        <f t="shared" si="10"/>
        <v>-0.11230907457322552</v>
      </c>
      <c r="K46" s="79">
        <v>1109</v>
      </c>
      <c r="L46" s="79">
        <v>151</v>
      </c>
      <c r="M46" s="80">
        <f t="shared" si="11"/>
        <v>0.15762004175365343</v>
      </c>
      <c r="N46" s="79">
        <v>844</v>
      </c>
      <c r="O46" s="79">
        <v>4</v>
      </c>
      <c r="P46" s="80">
        <f t="shared" si="12"/>
        <v>0.004761904761904762</v>
      </c>
      <c r="Q46" s="81"/>
      <c r="R46" s="82">
        <f t="shared" si="14"/>
        <v>4232</v>
      </c>
      <c r="S46" s="79">
        <f t="shared" si="14"/>
        <v>-269</v>
      </c>
      <c r="T46" s="81">
        <f t="shared" si="13"/>
        <v>-0.059764496778493666</v>
      </c>
      <c r="U46" s="81"/>
      <c r="V46" s="83">
        <f t="shared" si="15"/>
        <v>36.973509933774835</v>
      </c>
    </row>
    <row r="47" spans="1:22" s="63" customFormat="1" ht="12.75">
      <c r="A47" s="70" t="s">
        <v>152</v>
      </c>
      <c r="B47" s="79">
        <v>357</v>
      </c>
      <c r="C47" s="79">
        <v>11</v>
      </c>
      <c r="D47" s="80">
        <f t="shared" si="8"/>
        <v>0.031791907514450865</v>
      </c>
      <c r="E47" s="79">
        <v>456</v>
      </c>
      <c r="F47" s="79">
        <v>-134</v>
      </c>
      <c r="G47" s="80">
        <f t="shared" si="9"/>
        <v>-0.2271186440677966</v>
      </c>
      <c r="H47" s="79">
        <v>543</v>
      </c>
      <c r="I47" s="79">
        <v>-123</v>
      </c>
      <c r="J47" s="80">
        <f t="shared" si="10"/>
        <v>-0.18468468468468469</v>
      </c>
      <c r="K47" s="79">
        <v>585</v>
      </c>
      <c r="L47" s="79">
        <v>79</v>
      </c>
      <c r="M47" s="80">
        <f t="shared" si="11"/>
        <v>0.15612648221343872</v>
      </c>
      <c r="N47" s="79">
        <v>263</v>
      </c>
      <c r="O47" s="79">
        <v>-91</v>
      </c>
      <c r="P47" s="80">
        <f t="shared" si="12"/>
        <v>-0.2570621468926554</v>
      </c>
      <c r="Q47" s="81"/>
      <c r="R47" s="82">
        <f aca="true" t="shared" si="16" ref="R47:S57">SUMIF($B$6:$Q$6,R$6,$B47:$Q47)</f>
        <v>2204</v>
      </c>
      <c r="S47" s="79">
        <f t="shared" si="16"/>
        <v>-258</v>
      </c>
      <c r="T47" s="81">
        <f t="shared" si="13"/>
        <v>-0.10479285134037368</v>
      </c>
      <c r="U47" s="81"/>
      <c r="V47" s="83">
        <f t="shared" si="15"/>
        <v>50.40397350993378</v>
      </c>
    </row>
    <row r="48" spans="1:22" s="63" customFormat="1" ht="12.75">
      <c r="A48" s="70" t="s">
        <v>153</v>
      </c>
      <c r="B48" s="79">
        <v>900</v>
      </c>
      <c r="C48" s="79">
        <v>-100</v>
      </c>
      <c r="D48" s="80">
        <f t="shared" si="8"/>
        <v>-0.1</v>
      </c>
      <c r="E48" s="79">
        <v>1132</v>
      </c>
      <c r="F48" s="79">
        <v>-254</v>
      </c>
      <c r="G48" s="80">
        <f t="shared" si="9"/>
        <v>-0.18326118326118326</v>
      </c>
      <c r="H48" s="79">
        <v>1378</v>
      </c>
      <c r="I48" s="79">
        <v>-125</v>
      </c>
      <c r="J48" s="80">
        <f t="shared" si="10"/>
        <v>-0.08316699933466401</v>
      </c>
      <c r="K48" s="79">
        <v>1344</v>
      </c>
      <c r="L48" s="79">
        <v>163</v>
      </c>
      <c r="M48" s="80">
        <f t="shared" si="11"/>
        <v>0.1380186282811177</v>
      </c>
      <c r="N48" s="79">
        <v>755</v>
      </c>
      <c r="O48" s="79">
        <v>-237</v>
      </c>
      <c r="P48" s="80">
        <f t="shared" si="12"/>
        <v>-0.23891129032258066</v>
      </c>
      <c r="Q48" s="81"/>
      <c r="R48" s="82">
        <f t="shared" si="16"/>
        <v>5509</v>
      </c>
      <c r="S48" s="79">
        <f t="shared" si="16"/>
        <v>-553</v>
      </c>
      <c r="T48" s="81">
        <f t="shared" si="13"/>
        <v>-0.09122401847575058</v>
      </c>
      <c r="U48" s="81"/>
      <c r="V48" s="83">
        <f t="shared" si="15"/>
        <v>28.516556291390728</v>
      </c>
    </row>
    <row r="49" spans="1:22" s="63" customFormat="1" ht="12.75">
      <c r="A49" s="70" t="s">
        <v>154</v>
      </c>
      <c r="B49" s="79">
        <v>502</v>
      </c>
      <c r="C49" s="79">
        <v>0</v>
      </c>
      <c r="D49" s="80">
        <f t="shared" si="8"/>
        <v>0</v>
      </c>
      <c r="E49" s="79">
        <v>672</v>
      </c>
      <c r="F49" s="79">
        <v>-110</v>
      </c>
      <c r="G49" s="80">
        <f t="shared" si="9"/>
        <v>-0.14066496163682865</v>
      </c>
      <c r="H49" s="79">
        <v>782</v>
      </c>
      <c r="I49" s="79">
        <v>-107</v>
      </c>
      <c r="J49" s="80">
        <f t="shared" si="10"/>
        <v>-0.1203599550056243</v>
      </c>
      <c r="K49" s="79">
        <v>822</v>
      </c>
      <c r="L49" s="79">
        <v>139</v>
      </c>
      <c r="M49" s="80">
        <f t="shared" si="11"/>
        <v>0.20351390922401172</v>
      </c>
      <c r="N49" s="79">
        <v>329</v>
      </c>
      <c r="O49" s="79">
        <v>-176</v>
      </c>
      <c r="P49" s="80">
        <f t="shared" si="12"/>
        <v>-0.3485148514851485</v>
      </c>
      <c r="Q49" s="81"/>
      <c r="R49" s="82">
        <f t="shared" si="16"/>
        <v>3107</v>
      </c>
      <c r="S49" s="79">
        <f t="shared" si="16"/>
        <v>-254</v>
      </c>
      <c r="T49" s="81">
        <f t="shared" si="13"/>
        <v>-0.07557274620648617</v>
      </c>
      <c r="U49" s="81"/>
      <c r="V49" s="83">
        <f t="shared" si="15"/>
        <v>44.42384105960265</v>
      </c>
    </row>
    <row r="50" spans="1:22" s="63" customFormat="1" ht="12.75">
      <c r="A50" s="70" t="s">
        <v>155</v>
      </c>
      <c r="B50" s="79">
        <v>201</v>
      </c>
      <c r="C50" s="79">
        <v>-54</v>
      </c>
      <c r="D50" s="80">
        <f t="shared" si="8"/>
        <v>-0.21176470588235294</v>
      </c>
      <c r="E50" s="79">
        <v>422</v>
      </c>
      <c r="F50" s="79">
        <v>-48</v>
      </c>
      <c r="G50" s="80">
        <f t="shared" si="9"/>
        <v>-0.10212765957446808</v>
      </c>
      <c r="H50" s="79">
        <v>600</v>
      </c>
      <c r="I50" s="79">
        <v>66</v>
      </c>
      <c r="J50" s="80">
        <f t="shared" si="10"/>
        <v>0.12359550561797752</v>
      </c>
      <c r="K50" s="79">
        <v>391</v>
      </c>
      <c r="L50" s="79">
        <v>24</v>
      </c>
      <c r="M50" s="80">
        <f t="shared" si="11"/>
        <v>0.0653950953678474</v>
      </c>
      <c r="N50" s="79">
        <v>143</v>
      </c>
      <c r="O50" s="79">
        <v>-78</v>
      </c>
      <c r="P50" s="80">
        <f t="shared" si="12"/>
        <v>-0.35294117647058826</v>
      </c>
      <c r="Q50" s="81"/>
      <c r="R50" s="82">
        <f t="shared" si="16"/>
        <v>1757</v>
      </c>
      <c r="S50" s="79">
        <f t="shared" si="16"/>
        <v>-90</v>
      </c>
      <c r="T50" s="81">
        <f t="shared" si="13"/>
        <v>-0.04872766648619383</v>
      </c>
      <c r="U50" s="81"/>
      <c r="V50" s="83">
        <f t="shared" si="15"/>
        <v>53.36423841059603</v>
      </c>
    </row>
    <row r="51" spans="1:22" s="63" customFormat="1" ht="12.75">
      <c r="A51" s="70" t="s">
        <v>156</v>
      </c>
      <c r="B51" s="79">
        <v>780</v>
      </c>
      <c r="C51" s="79">
        <v>-73</v>
      </c>
      <c r="D51" s="80">
        <f t="shared" si="8"/>
        <v>-0.08558030480656506</v>
      </c>
      <c r="E51" s="79">
        <v>1149</v>
      </c>
      <c r="F51" s="79">
        <v>-13</v>
      </c>
      <c r="G51" s="80">
        <f t="shared" si="9"/>
        <v>-0.011187607573149742</v>
      </c>
      <c r="H51" s="79">
        <v>1368</v>
      </c>
      <c r="I51" s="79">
        <v>161</v>
      </c>
      <c r="J51" s="80">
        <f t="shared" si="10"/>
        <v>0.13338856669428334</v>
      </c>
      <c r="K51" s="79">
        <v>861</v>
      </c>
      <c r="L51" s="79">
        <v>-90</v>
      </c>
      <c r="M51" s="80">
        <f t="shared" si="11"/>
        <v>-0.0946372239747634</v>
      </c>
      <c r="N51" s="79">
        <v>658</v>
      </c>
      <c r="O51" s="79">
        <v>-136</v>
      </c>
      <c r="P51" s="80">
        <f t="shared" si="12"/>
        <v>-0.1712846347607053</v>
      </c>
      <c r="Q51" s="81"/>
      <c r="R51" s="82">
        <f t="shared" si="16"/>
        <v>4816</v>
      </c>
      <c r="S51" s="79">
        <f t="shared" si="16"/>
        <v>-151</v>
      </c>
      <c r="T51" s="81">
        <f t="shared" si="13"/>
        <v>-0.03040064425206362</v>
      </c>
      <c r="U51" s="81"/>
      <c r="V51" s="83">
        <f t="shared" si="15"/>
        <v>33.10596026490066</v>
      </c>
    </row>
    <row r="52" spans="1:22" s="63" customFormat="1" ht="12.75">
      <c r="A52" s="70" t="s">
        <v>157</v>
      </c>
      <c r="B52" s="79">
        <v>702</v>
      </c>
      <c r="C52" s="79">
        <v>-184</v>
      </c>
      <c r="D52" s="80">
        <f t="shared" si="8"/>
        <v>-0.2076749435665914</v>
      </c>
      <c r="E52" s="79">
        <v>1038</v>
      </c>
      <c r="F52" s="79">
        <v>-253</v>
      </c>
      <c r="G52" s="80">
        <f t="shared" si="9"/>
        <v>-0.1959721146398141</v>
      </c>
      <c r="H52" s="79">
        <v>1377</v>
      </c>
      <c r="I52" s="79">
        <v>-110</v>
      </c>
      <c r="J52" s="80">
        <f t="shared" si="10"/>
        <v>-0.07397444519166106</v>
      </c>
      <c r="K52" s="79">
        <v>1437</v>
      </c>
      <c r="L52" s="79">
        <v>160</v>
      </c>
      <c r="M52" s="80">
        <f t="shared" si="11"/>
        <v>0.12529365700861395</v>
      </c>
      <c r="N52" s="79">
        <v>1184</v>
      </c>
      <c r="O52" s="79">
        <v>87</v>
      </c>
      <c r="P52" s="80">
        <f t="shared" si="12"/>
        <v>0.07930720145852324</v>
      </c>
      <c r="Q52" s="81"/>
      <c r="R52" s="82">
        <f t="shared" si="16"/>
        <v>5738</v>
      </c>
      <c r="S52" s="79">
        <f t="shared" si="16"/>
        <v>-300</v>
      </c>
      <c r="T52" s="81">
        <f t="shared" si="13"/>
        <v>-0.04968532626697582</v>
      </c>
      <c r="U52" s="81"/>
      <c r="V52" s="83">
        <f t="shared" si="15"/>
        <v>27</v>
      </c>
    </row>
    <row r="53" spans="1:22" s="63" customFormat="1" ht="12.75">
      <c r="A53" s="70" t="s">
        <v>158</v>
      </c>
      <c r="B53" s="79">
        <v>469</v>
      </c>
      <c r="C53" s="79">
        <v>-69</v>
      </c>
      <c r="D53" s="80">
        <f t="shared" si="8"/>
        <v>-0.12825278810408922</v>
      </c>
      <c r="E53" s="79">
        <v>665</v>
      </c>
      <c r="F53" s="79">
        <v>-158</v>
      </c>
      <c r="G53" s="80">
        <f t="shared" si="9"/>
        <v>-0.1919805589307412</v>
      </c>
      <c r="H53" s="79">
        <v>764</v>
      </c>
      <c r="I53" s="79">
        <v>-178</v>
      </c>
      <c r="J53" s="80">
        <f t="shared" si="10"/>
        <v>-0.18895966029723993</v>
      </c>
      <c r="K53" s="79">
        <v>954</v>
      </c>
      <c r="L53" s="79">
        <v>187</v>
      </c>
      <c r="M53" s="80">
        <f t="shared" si="11"/>
        <v>0.2438070404172099</v>
      </c>
      <c r="N53" s="79">
        <v>512</v>
      </c>
      <c r="O53" s="79">
        <v>-96</v>
      </c>
      <c r="P53" s="80">
        <f t="shared" si="12"/>
        <v>-0.15789473684210525</v>
      </c>
      <c r="Q53" s="81"/>
      <c r="R53" s="82">
        <f t="shared" si="16"/>
        <v>3364</v>
      </c>
      <c r="S53" s="79">
        <f t="shared" si="16"/>
        <v>-314</v>
      </c>
      <c r="T53" s="81">
        <f t="shared" si="13"/>
        <v>-0.08537248504622078</v>
      </c>
      <c r="U53" s="81"/>
      <c r="V53" s="83">
        <f t="shared" si="15"/>
        <v>42.72185430463576</v>
      </c>
    </row>
    <row r="54" spans="1:22" s="63" customFormat="1" ht="12.75">
      <c r="A54" s="70" t="s">
        <v>159</v>
      </c>
      <c r="B54" s="79">
        <v>692</v>
      </c>
      <c r="C54" s="79">
        <v>5</v>
      </c>
      <c r="D54" s="80">
        <f t="shared" si="8"/>
        <v>0.00727802037845706</v>
      </c>
      <c r="E54" s="79">
        <v>858</v>
      </c>
      <c r="F54" s="79">
        <v>-15</v>
      </c>
      <c r="G54" s="80">
        <f t="shared" si="9"/>
        <v>-0.01718213058419244</v>
      </c>
      <c r="H54" s="79">
        <v>927</v>
      </c>
      <c r="I54" s="79">
        <v>50</v>
      </c>
      <c r="J54" s="80">
        <f t="shared" si="10"/>
        <v>0.05701254275940707</v>
      </c>
      <c r="K54" s="79">
        <v>673</v>
      </c>
      <c r="L54" s="79">
        <v>-23</v>
      </c>
      <c r="M54" s="80">
        <f t="shared" si="11"/>
        <v>-0.033045977011494254</v>
      </c>
      <c r="N54" s="79">
        <v>600</v>
      </c>
      <c r="O54" s="79">
        <v>-40</v>
      </c>
      <c r="P54" s="80">
        <f t="shared" si="12"/>
        <v>-0.0625</v>
      </c>
      <c r="Q54" s="81"/>
      <c r="R54" s="82">
        <f t="shared" si="16"/>
        <v>3750</v>
      </c>
      <c r="S54" s="79">
        <f t="shared" si="16"/>
        <v>-23</v>
      </c>
      <c r="T54" s="81">
        <f t="shared" si="13"/>
        <v>-0.0060959448714550755</v>
      </c>
      <c r="U54" s="81"/>
      <c r="V54" s="83">
        <f t="shared" si="15"/>
        <v>40.16556291390728</v>
      </c>
    </row>
    <row r="55" spans="1:22" s="63" customFormat="1" ht="12.75">
      <c r="A55" s="70" t="s">
        <v>160</v>
      </c>
      <c r="B55" s="79">
        <v>590</v>
      </c>
      <c r="C55" s="79">
        <v>-45</v>
      </c>
      <c r="D55" s="80">
        <f t="shared" si="8"/>
        <v>-0.07086614173228346</v>
      </c>
      <c r="E55" s="79">
        <v>786</v>
      </c>
      <c r="F55" s="79">
        <v>-145</v>
      </c>
      <c r="G55" s="80">
        <f t="shared" si="9"/>
        <v>-0.15574650912996776</v>
      </c>
      <c r="H55" s="79">
        <v>914</v>
      </c>
      <c r="I55" s="79">
        <v>-147</v>
      </c>
      <c r="J55" s="80">
        <f t="shared" si="10"/>
        <v>-0.13854853911404336</v>
      </c>
      <c r="K55" s="79">
        <v>1148</v>
      </c>
      <c r="L55" s="79">
        <v>280</v>
      </c>
      <c r="M55" s="80">
        <f t="shared" si="11"/>
        <v>0.3225806451612903</v>
      </c>
      <c r="N55" s="79">
        <v>573</v>
      </c>
      <c r="O55" s="79">
        <v>-125</v>
      </c>
      <c r="P55" s="80">
        <f t="shared" si="12"/>
        <v>-0.17908309455587393</v>
      </c>
      <c r="Q55" s="81"/>
      <c r="R55" s="82">
        <f t="shared" si="16"/>
        <v>4011</v>
      </c>
      <c r="S55" s="79">
        <f t="shared" si="16"/>
        <v>-182</v>
      </c>
      <c r="T55" s="81">
        <f t="shared" si="13"/>
        <v>-0.04340567612687813</v>
      </c>
      <c r="U55" s="81"/>
      <c r="V55" s="83">
        <f t="shared" si="15"/>
        <v>38.437086092715234</v>
      </c>
    </row>
    <row r="56" spans="1:22" s="63" customFormat="1" ht="12.75">
      <c r="A56" s="70" t="s">
        <v>161</v>
      </c>
      <c r="B56" s="79">
        <v>780</v>
      </c>
      <c r="C56" s="79">
        <v>-127</v>
      </c>
      <c r="D56" s="80">
        <f t="shared" si="8"/>
        <v>-0.14002205071664828</v>
      </c>
      <c r="E56" s="79">
        <v>1093</v>
      </c>
      <c r="F56" s="79">
        <v>-241</v>
      </c>
      <c r="G56" s="80">
        <f t="shared" si="9"/>
        <v>-0.18065967016491755</v>
      </c>
      <c r="H56" s="79">
        <v>1289</v>
      </c>
      <c r="I56" s="79">
        <v>-224</v>
      </c>
      <c r="J56" s="80">
        <f t="shared" si="10"/>
        <v>-0.14805023132848646</v>
      </c>
      <c r="K56" s="79">
        <v>1433</v>
      </c>
      <c r="L56" s="79">
        <v>216</v>
      </c>
      <c r="M56" s="80">
        <f t="shared" si="11"/>
        <v>0.17748562037797863</v>
      </c>
      <c r="N56" s="79">
        <v>885</v>
      </c>
      <c r="O56" s="79">
        <v>-135</v>
      </c>
      <c r="P56" s="80">
        <f t="shared" si="12"/>
        <v>-0.1323529411764706</v>
      </c>
      <c r="Q56" s="81"/>
      <c r="R56" s="82">
        <f t="shared" si="16"/>
        <v>5480</v>
      </c>
      <c r="S56" s="79">
        <f t="shared" si="16"/>
        <v>-511</v>
      </c>
      <c r="T56" s="81">
        <f t="shared" si="13"/>
        <v>-0.08529460857953597</v>
      </c>
      <c r="U56" s="81"/>
      <c r="V56" s="83">
        <f t="shared" si="15"/>
        <v>28.70860927152318</v>
      </c>
    </row>
    <row r="57" spans="1:22" s="63" customFormat="1" ht="12.75">
      <c r="A57" s="70" t="s">
        <v>162</v>
      </c>
      <c r="B57" s="79">
        <v>926</v>
      </c>
      <c r="C57" s="79">
        <v>-117</v>
      </c>
      <c r="D57" s="80">
        <f t="shared" si="8"/>
        <v>-0.11217641418983701</v>
      </c>
      <c r="E57" s="79">
        <v>1206</v>
      </c>
      <c r="F57" s="79">
        <v>-125</v>
      </c>
      <c r="G57" s="80">
        <f t="shared" si="9"/>
        <v>-0.09391435011269722</v>
      </c>
      <c r="H57" s="79">
        <v>1434</v>
      </c>
      <c r="I57" s="79">
        <v>58</v>
      </c>
      <c r="J57" s="80">
        <f t="shared" si="10"/>
        <v>0.04215116279069767</v>
      </c>
      <c r="K57" s="79">
        <v>1063</v>
      </c>
      <c r="L57" s="79">
        <v>-57</v>
      </c>
      <c r="M57" s="80">
        <f t="shared" si="11"/>
        <v>-0.05089285714285714</v>
      </c>
      <c r="N57" s="79">
        <v>787</v>
      </c>
      <c r="O57" s="79">
        <v>-207</v>
      </c>
      <c r="P57" s="80">
        <f t="shared" si="12"/>
        <v>-0.20824949698189135</v>
      </c>
      <c r="Q57" s="81"/>
      <c r="R57" s="82">
        <f t="shared" si="16"/>
        <v>5416</v>
      </c>
      <c r="S57" s="79">
        <f t="shared" si="16"/>
        <v>-448</v>
      </c>
      <c r="T57" s="81">
        <f t="shared" si="13"/>
        <v>-0.07639836289222374</v>
      </c>
      <c r="U57" s="81"/>
      <c r="V57" s="83">
        <f t="shared" si="15"/>
        <v>29.13245033112583</v>
      </c>
    </row>
    <row r="58" spans="1:21" s="63" customFormat="1" ht="12.75">
      <c r="A58" s="84"/>
      <c r="B58" s="79"/>
      <c r="C58" s="79"/>
      <c r="D58" s="85"/>
      <c r="E58" s="79"/>
      <c r="F58" s="79"/>
      <c r="G58" s="81"/>
      <c r="H58" s="79"/>
      <c r="I58" s="79"/>
      <c r="J58" s="81"/>
      <c r="K58" s="79"/>
      <c r="L58" s="79"/>
      <c r="M58" s="81"/>
      <c r="N58" s="79"/>
      <c r="O58" s="79"/>
      <c r="P58" s="81"/>
      <c r="Q58" s="81"/>
      <c r="R58" s="79"/>
      <c r="S58" s="79"/>
      <c r="T58" s="81"/>
      <c r="U58" s="81"/>
    </row>
    <row r="59" spans="1:22" s="63" customFormat="1" ht="12.75">
      <c r="A59" s="70" t="s">
        <v>163</v>
      </c>
      <c r="B59" s="79">
        <v>584</v>
      </c>
      <c r="C59" s="79">
        <v>-143</v>
      </c>
      <c r="D59" s="80">
        <f aca="true" t="shared" si="17" ref="D59:D67">C59/(B59-C59)</f>
        <v>-0.19669876203576342</v>
      </c>
      <c r="E59" s="79">
        <v>871</v>
      </c>
      <c r="F59" s="79">
        <v>-207</v>
      </c>
      <c r="G59" s="80">
        <f aca="true" t="shared" si="18" ref="G59:G67">F59/(E59-F59)</f>
        <v>-0.19202226345083487</v>
      </c>
      <c r="H59" s="79">
        <v>1106</v>
      </c>
      <c r="I59" s="79">
        <v>-140</v>
      </c>
      <c r="J59" s="80">
        <f aca="true" t="shared" si="19" ref="J59:J67">I59/(H59-I59)</f>
        <v>-0.11235955056179775</v>
      </c>
      <c r="K59" s="79">
        <v>1208</v>
      </c>
      <c r="L59" s="79">
        <v>148</v>
      </c>
      <c r="M59" s="80">
        <f aca="true" t="shared" si="20" ref="M59:M67">L59/(K59-L59)</f>
        <v>0.13962264150943396</v>
      </c>
      <c r="N59" s="79">
        <v>949</v>
      </c>
      <c r="O59" s="79">
        <v>36</v>
      </c>
      <c r="P59" s="80">
        <f aca="true" t="shared" si="21" ref="P59:P67">O59/(N59-O59)</f>
        <v>0.03943044906900329</v>
      </c>
      <c r="Q59" s="81"/>
      <c r="R59" s="82">
        <f aca="true" t="shared" si="22" ref="R59:S67">SUMIF($B$6:$Q$6,R$6,$B59:$Q59)</f>
        <v>4718</v>
      </c>
      <c r="S59" s="79">
        <f t="shared" si="22"/>
        <v>-306</v>
      </c>
      <c r="T59" s="81">
        <f aca="true" t="shared" si="23" ref="T59:T67">S59/(R59-S59)</f>
        <v>-0.06090764331210191</v>
      </c>
      <c r="U59" s="81"/>
      <c r="V59" s="83">
        <f aca="true" t="shared" si="24" ref="V59:V67">65-(R59/$W$3)</f>
        <v>33.75496688741722</v>
      </c>
    </row>
    <row r="60" spans="1:22" s="63" customFormat="1" ht="12.75">
      <c r="A60" s="70" t="s">
        <v>164</v>
      </c>
      <c r="B60" s="79">
        <v>525</v>
      </c>
      <c r="C60" s="79">
        <v>-142</v>
      </c>
      <c r="D60" s="80">
        <f t="shared" si="17"/>
        <v>-0.2128935532233883</v>
      </c>
      <c r="E60" s="79">
        <v>777</v>
      </c>
      <c r="F60" s="79">
        <v>-221</v>
      </c>
      <c r="G60" s="80">
        <f t="shared" si="18"/>
        <v>-0.22144288577154309</v>
      </c>
      <c r="H60" s="79">
        <v>980</v>
      </c>
      <c r="I60" s="79">
        <v>-178</v>
      </c>
      <c r="J60" s="80">
        <f t="shared" si="19"/>
        <v>-0.153713298791019</v>
      </c>
      <c r="K60" s="79">
        <v>1159</v>
      </c>
      <c r="L60" s="79">
        <v>176</v>
      </c>
      <c r="M60" s="80">
        <f t="shared" si="20"/>
        <v>0.1790437436419125</v>
      </c>
      <c r="N60" s="79">
        <v>826</v>
      </c>
      <c r="O60" s="79">
        <v>-1</v>
      </c>
      <c r="P60" s="80">
        <f t="shared" si="21"/>
        <v>-0.0012091898428053204</v>
      </c>
      <c r="Q60" s="81"/>
      <c r="R60" s="82">
        <f t="shared" si="22"/>
        <v>4267</v>
      </c>
      <c r="S60" s="79">
        <f t="shared" si="22"/>
        <v>-366</v>
      </c>
      <c r="T60" s="81">
        <f t="shared" si="23"/>
        <v>-0.07899848909993525</v>
      </c>
      <c r="U60" s="81"/>
      <c r="V60" s="83">
        <f t="shared" si="24"/>
        <v>36.741721854304636</v>
      </c>
    </row>
    <row r="61" spans="1:22" s="63" customFormat="1" ht="12.75">
      <c r="A61" s="70" t="s">
        <v>165</v>
      </c>
      <c r="B61" s="79">
        <v>668</v>
      </c>
      <c r="C61" s="79">
        <v>-89</v>
      </c>
      <c r="D61" s="80">
        <f t="shared" si="17"/>
        <v>-0.11756935270805813</v>
      </c>
      <c r="E61" s="79">
        <v>919</v>
      </c>
      <c r="F61" s="79">
        <v>-216</v>
      </c>
      <c r="G61" s="80">
        <f t="shared" si="18"/>
        <v>-0.19030837004405288</v>
      </c>
      <c r="H61" s="79">
        <v>1112</v>
      </c>
      <c r="I61" s="79">
        <v>-190</v>
      </c>
      <c r="J61" s="80">
        <f t="shared" si="19"/>
        <v>-0.14592933947772657</v>
      </c>
      <c r="K61" s="79">
        <v>1319</v>
      </c>
      <c r="L61" s="79">
        <v>258</v>
      </c>
      <c r="M61" s="80">
        <f t="shared" si="20"/>
        <v>0.24316682375117812</v>
      </c>
      <c r="N61" s="79">
        <v>727</v>
      </c>
      <c r="O61" s="79">
        <v>-137</v>
      </c>
      <c r="P61" s="80">
        <f t="shared" si="21"/>
        <v>-0.15856481481481483</v>
      </c>
      <c r="Q61" s="81"/>
      <c r="R61" s="82">
        <f t="shared" si="22"/>
        <v>4745</v>
      </c>
      <c r="S61" s="79">
        <f t="shared" si="22"/>
        <v>-374</v>
      </c>
      <c r="T61" s="81">
        <f t="shared" si="23"/>
        <v>-0.07306114475483493</v>
      </c>
      <c r="U61" s="81"/>
      <c r="V61" s="83">
        <f t="shared" si="24"/>
        <v>33.57615894039735</v>
      </c>
    </row>
    <row r="62" spans="1:22" s="63" customFormat="1" ht="12.75">
      <c r="A62" s="70" t="s">
        <v>166</v>
      </c>
      <c r="B62" s="79">
        <v>742</v>
      </c>
      <c r="C62" s="79">
        <v>-98</v>
      </c>
      <c r="D62" s="80">
        <f t="shared" si="17"/>
        <v>-0.11666666666666667</v>
      </c>
      <c r="E62" s="79">
        <v>1010</v>
      </c>
      <c r="F62" s="79">
        <v>-238</v>
      </c>
      <c r="G62" s="80">
        <f t="shared" si="18"/>
        <v>-0.1907051282051282</v>
      </c>
      <c r="H62" s="79">
        <v>1277</v>
      </c>
      <c r="I62" s="79">
        <v>-113</v>
      </c>
      <c r="J62" s="80">
        <f t="shared" si="19"/>
        <v>-0.08129496402877698</v>
      </c>
      <c r="K62" s="79">
        <v>1256</v>
      </c>
      <c r="L62" s="79">
        <v>178</v>
      </c>
      <c r="M62" s="80">
        <f t="shared" si="20"/>
        <v>0.16512059369202226</v>
      </c>
      <c r="N62" s="79">
        <v>675</v>
      </c>
      <c r="O62" s="79">
        <v>-183</v>
      </c>
      <c r="P62" s="80">
        <f t="shared" si="21"/>
        <v>-0.21328671328671328</v>
      </c>
      <c r="Q62" s="81"/>
      <c r="R62" s="82">
        <f t="shared" si="22"/>
        <v>4960</v>
      </c>
      <c r="S62" s="79">
        <f t="shared" si="22"/>
        <v>-454</v>
      </c>
      <c r="T62" s="81">
        <f t="shared" si="23"/>
        <v>-0.08385666789804211</v>
      </c>
      <c r="U62" s="81"/>
      <c r="V62" s="83">
        <f t="shared" si="24"/>
        <v>32.152317880794705</v>
      </c>
    </row>
    <row r="63" spans="1:22" s="63" customFormat="1" ht="12.75">
      <c r="A63" s="70" t="s">
        <v>167</v>
      </c>
      <c r="B63" s="79">
        <v>326</v>
      </c>
      <c r="C63" s="79">
        <v>-13</v>
      </c>
      <c r="D63" s="80">
        <f t="shared" si="17"/>
        <v>-0.038348082595870206</v>
      </c>
      <c r="E63" s="79">
        <v>426</v>
      </c>
      <c r="F63" s="79">
        <v>-129</v>
      </c>
      <c r="G63" s="80">
        <f t="shared" si="18"/>
        <v>-0.23243243243243245</v>
      </c>
      <c r="H63" s="79">
        <v>509</v>
      </c>
      <c r="I63" s="79">
        <v>-134</v>
      </c>
      <c r="J63" s="80">
        <f t="shared" si="19"/>
        <v>-0.208398133748056</v>
      </c>
      <c r="K63" s="79">
        <v>607</v>
      </c>
      <c r="L63" s="79">
        <v>100</v>
      </c>
      <c r="M63" s="80">
        <f t="shared" si="20"/>
        <v>0.19723865877712032</v>
      </c>
      <c r="N63" s="79">
        <v>303</v>
      </c>
      <c r="O63" s="79">
        <v>-70</v>
      </c>
      <c r="P63" s="80">
        <f t="shared" si="21"/>
        <v>-0.1876675603217158</v>
      </c>
      <c r="Q63" s="81"/>
      <c r="R63" s="82">
        <f t="shared" si="22"/>
        <v>2171</v>
      </c>
      <c r="S63" s="79">
        <f t="shared" si="22"/>
        <v>-246</v>
      </c>
      <c r="T63" s="81">
        <f t="shared" si="23"/>
        <v>-0.10177906495655771</v>
      </c>
      <c r="U63" s="81"/>
      <c r="V63" s="83">
        <f t="shared" si="24"/>
        <v>50.62251655629139</v>
      </c>
    </row>
    <row r="64" spans="1:22" s="63" customFormat="1" ht="12.75">
      <c r="A64" s="70" t="s">
        <v>168</v>
      </c>
      <c r="B64" s="79">
        <v>448</v>
      </c>
      <c r="C64" s="79">
        <v>-1</v>
      </c>
      <c r="D64" s="80">
        <f t="shared" si="17"/>
        <v>-0.0022271714922048997</v>
      </c>
      <c r="E64" s="79">
        <v>601</v>
      </c>
      <c r="F64" s="79">
        <v>-114</v>
      </c>
      <c r="G64" s="80">
        <f t="shared" si="18"/>
        <v>-0.15944055944055943</v>
      </c>
      <c r="H64" s="79">
        <v>705</v>
      </c>
      <c r="I64" s="79">
        <v>-115</v>
      </c>
      <c r="J64" s="80">
        <f t="shared" si="19"/>
        <v>-0.1402439024390244</v>
      </c>
      <c r="K64" s="79">
        <v>753</v>
      </c>
      <c r="L64" s="79">
        <v>130</v>
      </c>
      <c r="M64" s="80">
        <f t="shared" si="20"/>
        <v>0.2086677367576244</v>
      </c>
      <c r="N64" s="79">
        <v>293</v>
      </c>
      <c r="O64" s="79">
        <v>-159</v>
      </c>
      <c r="P64" s="80">
        <f t="shared" si="21"/>
        <v>-0.35176991150442477</v>
      </c>
      <c r="Q64" s="81"/>
      <c r="R64" s="82">
        <f t="shared" si="22"/>
        <v>2800</v>
      </c>
      <c r="S64" s="79">
        <f t="shared" si="22"/>
        <v>-259</v>
      </c>
      <c r="T64" s="81">
        <f t="shared" si="23"/>
        <v>-0.08466819221967964</v>
      </c>
      <c r="U64" s="81"/>
      <c r="V64" s="83">
        <f t="shared" si="24"/>
        <v>46.45695364238411</v>
      </c>
    </row>
    <row r="65" spans="1:22" s="63" customFormat="1" ht="12.75">
      <c r="A65" s="70" t="s">
        <v>169</v>
      </c>
      <c r="B65" s="79">
        <v>249</v>
      </c>
      <c r="C65" s="79">
        <v>-44</v>
      </c>
      <c r="D65" s="80">
        <f t="shared" si="17"/>
        <v>-0.15017064846416384</v>
      </c>
      <c r="E65" s="79">
        <v>466</v>
      </c>
      <c r="F65" s="79">
        <v>-54</v>
      </c>
      <c r="G65" s="80">
        <f t="shared" si="18"/>
        <v>-0.10384615384615385</v>
      </c>
      <c r="H65" s="79">
        <v>630</v>
      </c>
      <c r="I65" s="79">
        <v>37</v>
      </c>
      <c r="J65" s="80">
        <f t="shared" si="19"/>
        <v>0.06239460370994941</v>
      </c>
      <c r="K65" s="79">
        <v>452</v>
      </c>
      <c r="L65" s="79">
        <v>38</v>
      </c>
      <c r="M65" s="80">
        <f t="shared" si="20"/>
        <v>0.09178743961352658</v>
      </c>
      <c r="N65" s="79">
        <v>164</v>
      </c>
      <c r="O65" s="79">
        <v>-99</v>
      </c>
      <c r="P65" s="80">
        <f t="shared" si="21"/>
        <v>-0.376425855513308</v>
      </c>
      <c r="Q65" s="81"/>
      <c r="R65" s="82">
        <f t="shared" si="22"/>
        <v>1961</v>
      </c>
      <c r="S65" s="79">
        <f t="shared" si="22"/>
        <v>-122</v>
      </c>
      <c r="T65" s="81">
        <f t="shared" si="23"/>
        <v>-0.0585693710993759</v>
      </c>
      <c r="U65" s="81"/>
      <c r="V65" s="83">
        <f t="shared" si="24"/>
        <v>52.01324503311258</v>
      </c>
    </row>
    <row r="66" spans="1:22" s="63" customFormat="1" ht="12.75">
      <c r="A66" s="70" t="s">
        <v>170</v>
      </c>
      <c r="B66" s="79">
        <v>583</v>
      </c>
      <c r="C66" s="79">
        <v>-93</v>
      </c>
      <c r="D66" s="80">
        <f t="shared" si="17"/>
        <v>-0.13757396449704143</v>
      </c>
      <c r="E66" s="79">
        <v>914</v>
      </c>
      <c r="F66" s="79">
        <v>-14</v>
      </c>
      <c r="G66" s="80">
        <f t="shared" si="18"/>
        <v>-0.015086206896551725</v>
      </c>
      <c r="H66" s="79">
        <v>1049</v>
      </c>
      <c r="I66" s="79">
        <v>98</v>
      </c>
      <c r="J66" s="80">
        <f t="shared" si="19"/>
        <v>0.10304942166140904</v>
      </c>
      <c r="K66" s="79">
        <v>712</v>
      </c>
      <c r="L66" s="79">
        <v>-25</v>
      </c>
      <c r="M66" s="80">
        <f t="shared" si="20"/>
        <v>-0.033921302578018994</v>
      </c>
      <c r="N66" s="79">
        <v>492</v>
      </c>
      <c r="O66" s="79">
        <v>-141</v>
      </c>
      <c r="P66" s="80">
        <f t="shared" si="21"/>
        <v>-0.22274881516587677</v>
      </c>
      <c r="Q66" s="81"/>
      <c r="R66" s="82">
        <f t="shared" si="22"/>
        <v>3750</v>
      </c>
      <c r="S66" s="79">
        <f t="shared" si="22"/>
        <v>-175</v>
      </c>
      <c r="T66" s="81">
        <f t="shared" si="23"/>
        <v>-0.044585987261146494</v>
      </c>
      <c r="U66" s="81"/>
      <c r="V66" s="83">
        <f t="shared" si="24"/>
        <v>40.16556291390728</v>
      </c>
    </row>
    <row r="67" spans="1:22" s="63" customFormat="1" ht="12.75">
      <c r="A67" s="70" t="s">
        <v>171</v>
      </c>
      <c r="B67" s="79">
        <v>342</v>
      </c>
      <c r="C67" s="79">
        <v>-54</v>
      </c>
      <c r="D67" s="80">
        <f t="shared" si="17"/>
        <v>-0.13636363636363635</v>
      </c>
      <c r="E67" s="79">
        <v>544</v>
      </c>
      <c r="F67" s="79">
        <v>-19</v>
      </c>
      <c r="G67" s="80">
        <f t="shared" si="18"/>
        <v>-0.03374777975133215</v>
      </c>
      <c r="H67" s="79">
        <v>626</v>
      </c>
      <c r="I67" s="79">
        <v>62</v>
      </c>
      <c r="J67" s="80">
        <f t="shared" si="19"/>
        <v>0.1099290780141844</v>
      </c>
      <c r="K67" s="79">
        <v>440</v>
      </c>
      <c r="L67" s="79">
        <v>1</v>
      </c>
      <c r="M67" s="80">
        <f t="shared" si="20"/>
        <v>0.002277904328018223</v>
      </c>
      <c r="N67" s="79">
        <v>308</v>
      </c>
      <c r="O67" s="79">
        <v>-108</v>
      </c>
      <c r="P67" s="80">
        <f t="shared" si="21"/>
        <v>-0.25961538461538464</v>
      </c>
      <c r="Q67" s="81"/>
      <c r="R67" s="82">
        <f t="shared" si="22"/>
        <v>2260</v>
      </c>
      <c r="S67" s="79">
        <f t="shared" si="22"/>
        <v>-118</v>
      </c>
      <c r="T67" s="81">
        <f t="shared" si="23"/>
        <v>-0.0496215306980656</v>
      </c>
      <c r="U67" s="81"/>
      <c r="V67" s="83">
        <f t="shared" si="24"/>
        <v>50.033112582781456</v>
      </c>
    </row>
    <row r="68" spans="1:24" ht="15">
      <c r="A68" s="86"/>
      <c r="B68" s="87"/>
      <c r="C68" s="87"/>
      <c r="D68" s="87"/>
      <c r="E68" s="87"/>
      <c r="F68" s="87"/>
      <c r="G68" s="87"/>
      <c r="H68" s="88"/>
      <c r="I68" s="88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</row>
    <row r="69" spans="1:24" ht="15">
      <c r="A69" s="91" t="s">
        <v>172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</sheetData>
  <mergeCells count="7">
    <mergeCell ref="R5:T5"/>
    <mergeCell ref="B4:D4"/>
    <mergeCell ref="E4:G4"/>
    <mergeCell ref="H4:J4"/>
    <mergeCell ref="R4:T4"/>
    <mergeCell ref="K4:M4"/>
    <mergeCell ref="N4:P4"/>
  </mergeCells>
  <hyperlinks>
    <hyperlink ref="B2" r:id="rId1" display="http://www.cpc.ncep.noaa.gov/products/analysis_monitoring/cdus/degree_days/msahddy.txt"/>
  </hyperlinks>
  <printOptions gridLines="1" horizontalCentered="1"/>
  <pageMargins left="0.5" right="0.5" top="0.75" bottom="1" header="0.5" footer="0.5"/>
  <pageSetup horizontalDpi="600" verticalDpi="600" orientation="landscape" scale="48" r:id="rId2"/>
  <headerFooter alignWithMargins="0">
    <oddFooter>&amp;L'&amp;F' [&amp;A]&amp;C                                                                 05-Feb-07&amp;RPage &amp;P of &amp;N</oddFooter>
  </headerFooter>
  <rowBreaks count="1" manualBreakCount="1">
    <brk id="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DHHS/OS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pedelman</dc:creator>
  <cp:keywords/>
  <dc:description/>
  <cp:lastModifiedBy>pedelman</cp:lastModifiedBy>
  <cp:lastPrinted>2008-04-09T18:41:07Z</cp:lastPrinted>
  <dcterms:created xsi:type="dcterms:W3CDTF">2008-01-04T18:23:57Z</dcterms:created>
  <dcterms:modified xsi:type="dcterms:W3CDTF">2008-04-09T18:41:13Z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