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1"/>
  </bookViews>
  <sheets>
    <sheet name="Input Sheet" sheetId="1" r:id="rId1"/>
    <sheet name="Real Estate Financing Calc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<sst xmlns="http://schemas.openxmlformats.org/spreadsheetml/2006/main" count="62" uniqueCount="51">
  <si>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 xml:space="preserve">GUARANTEE FARM OWNERSHIP LOANS </t>
  </si>
  <si>
    <t>BEGINNING FARMER DOWN PAYMENT</t>
  </si>
  <si>
    <t xml:space="preserve">DIRECT FARM OWNERSHIP </t>
  </si>
  <si>
    <t>DOWN PAYMENT</t>
  </si>
  <si>
    <t>TERMS</t>
  </si>
  <si>
    <t>Bank (100%)</t>
  </si>
  <si>
    <t>N/A</t>
  </si>
  <si>
    <t>FSA (100%)</t>
  </si>
  <si>
    <t>D-FO</t>
  </si>
  <si>
    <t>TOTAL PAYMENTS</t>
  </si>
  <si>
    <t>COST/ACRE</t>
  </si>
  <si>
    <t>WILL BUY @</t>
  </si>
  <si>
    <t>G-F0</t>
  </si>
  <si>
    <t>JOINT</t>
  </si>
  <si>
    <t>BF-F0</t>
  </si>
  <si>
    <t>PURCHASE PRICE</t>
  </si>
  <si>
    <t>Bank</t>
  </si>
  <si>
    <t>FSA</t>
  </si>
  <si>
    <t>Note:</t>
  </si>
  <si>
    <t xml:space="preserve"> FSA</t>
  </si>
  <si>
    <t>BANK             LOAN AMOUNT   YEARS    INTEREST RATE</t>
  </si>
  <si>
    <t>FSA                 LOAN AMOUNT   YEARS      INTEREST RATE</t>
  </si>
  <si>
    <t>Purchase Price</t>
  </si>
  <si>
    <t>Down Payment</t>
  </si>
  <si>
    <t>FSA  D-FO Interest Rate</t>
  </si>
  <si>
    <t>FSA Beg. Farmer Down Payment Terms</t>
  </si>
  <si>
    <t>FSA D-FO Terms</t>
  </si>
  <si>
    <t xml:space="preserve">Land Price/Acre </t>
  </si>
  <si>
    <t xml:space="preserve">Input Sheet </t>
  </si>
  <si>
    <t>AMOUNT OF PURCHASE PRICE FINANCED</t>
  </si>
  <si>
    <t>Amount of Purchase Price Financed</t>
  </si>
  <si>
    <t xml:space="preserve">50/50       JOINT FINANCING </t>
  </si>
  <si>
    <t>BANK  GUAR.            LOAN AMOUNT   YEARS    INTEREST RATE</t>
  </si>
  <si>
    <t>SHARED LIEN BANK/GUAR/DIRECT</t>
  </si>
  <si>
    <t>See Note</t>
  </si>
  <si>
    <t>Bank portion maybe guaranteed or unguaranteed.  The Beginning Farmer Downpayment program may receive up to a 95% guarantee</t>
  </si>
  <si>
    <t>PART</t>
  </si>
  <si>
    <t xml:space="preserve">SHARED </t>
  </si>
  <si>
    <t>Shared Lien Postion Guaranteed Amount</t>
  </si>
  <si>
    <t>Shared Lien Postion Unguaranteed Portion</t>
  </si>
  <si>
    <t>Shared Lien Postion Unguaranteed Interest Rate</t>
  </si>
  <si>
    <t>Shared Lien Postion Unguaranteed Terms</t>
  </si>
  <si>
    <t>Guaranteed Interest Rate</t>
  </si>
  <si>
    <t>Guaranteed  Terms</t>
  </si>
  <si>
    <t>Shared Lien Position FSA Amount</t>
  </si>
  <si>
    <t>Note:  When a unguaranteed real estate loan and guaranteed real estate loan share the same</t>
  </si>
  <si>
    <t>lien position the 85% loan to value ratio does not apply to junior liens for guaranteed real estate loans.</t>
  </si>
  <si>
    <t>All three Shared Position amounts must equal Amount of Purchase Price Financed.</t>
  </si>
  <si>
    <t>PARTICPATION FINANCING w/G-FO</t>
  </si>
  <si>
    <t>Particpation Lender Portion Amount</t>
  </si>
  <si>
    <t>Loan limits are set for each program:  G-FO - $949,000; BF-FO - $250,000; Joint - $899,000; D-FO - $200,000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</si>
</sst>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_);_(@_)"/>
    <numFmt numFmtId="166" formatCode="&quot;$&quot;#,##0"/>
    <numFmt numFmtId="167" formatCode="&quot;$&quot;#,##0.0_);\(&quot;$&quot;#,##0.0\)"/>
    <numFmt numFmtId="168" formatCode="[$-409]h:mm:ss\ AM/PM"/>
    <numFmt numFmtId="169" formatCode="00000"/>
    <numFmt numFmtId="170" formatCode="&quot;$&quot;#,##0;[Red]&quot;$&quot;#,##0"/>
    <numFmt numFmtId="171" formatCode="0.000%"/>
    <numFmt numFmtId="172" formatCode="&quot;$&quot;#,##0.0"/>
    <numFmt numFmtId="173" formatCode="0_);\(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37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3" xfId="0" applyFont="1" applyFill="1" applyBorder="1" applyAlignment="1">
      <alignment wrapText="1"/>
    </xf>
    <xf numFmtId="0" fontId="7" fillId="0" borderId="1" xfId="0" applyFont="1" applyBorder="1" applyAlignment="1">
      <alignment/>
    </xf>
    <xf numFmtId="5" fontId="0" fillId="0" borderId="4" xfId="0" applyNumberFormat="1" applyBorder="1" applyAlignment="1">
      <alignment horizontal="center"/>
    </xf>
    <xf numFmtId="5" fontId="0" fillId="0" borderId="5" xfId="17" applyNumberFormat="1" applyFill="1" applyBorder="1" applyAlignment="1" applyProtection="1">
      <alignment horizontal="center"/>
      <protection/>
    </xf>
    <xf numFmtId="166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5" fontId="0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6" fontId="1" fillId="3" borderId="1" xfId="0" applyNumberFormat="1" applyFont="1" applyFill="1" applyBorder="1" applyAlignment="1" applyProtection="1">
      <alignment wrapText="1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171" fontId="0" fillId="3" borderId="0" xfId="0" applyNumberFormat="1" applyFill="1" applyAlignment="1" applyProtection="1">
      <alignment horizontal="center"/>
      <protection/>
    </xf>
    <xf numFmtId="166" fontId="0" fillId="3" borderId="1" xfId="0" applyNumberFormat="1" applyFill="1" applyBorder="1" applyAlignment="1" applyProtection="1">
      <alignment/>
      <protection/>
    </xf>
    <xf numFmtId="0" fontId="0" fillId="0" borderId="9" xfId="0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166" fontId="0" fillId="0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7" xfId="0" applyBorder="1" applyAlignment="1">
      <alignment/>
    </xf>
    <xf numFmtId="5" fontId="1" fillId="0" borderId="1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171" fontId="0" fillId="3" borderId="9" xfId="0" applyNumberFormat="1" applyFill="1" applyBorder="1" applyAlignment="1" applyProtection="1">
      <alignment horizontal="center"/>
      <protection/>
    </xf>
    <xf numFmtId="9" fontId="0" fillId="0" borderId="8" xfId="0" applyNumberFormat="1" applyBorder="1" applyAlignment="1">
      <alignment/>
    </xf>
    <xf numFmtId="5" fontId="0" fillId="0" borderId="11" xfId="0" applyNumberFormat="1" applyFill="1" applyBorder="1" applyAlignment="1" applyProtection="1">
      <alignment horizontal="center"/>
      <protection/>
    </xf>
    <xf numFmtId="166" fontId="0" fillId="0" borderId="15" xfId="0" applyNumberFormat="1" applyBorder="1" applyAlignment="1">
      <alignment horizontal="center"/>
    </xf>
    <xf numFmtId="9" fontId="0" fillId="0" borderId="1" xfId="0" applyNumberFormat="1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6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171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66" fontId="11" fillId="3" borderId="0" xfId="0" applyNumberFormat="1" applyFont="1" applyFill="1" applyAlignment="1" applyProtection="1">
      <alignment/>
      <protection/>
    </xf>
    <xf numFmtId="166" fontId="11" fillId="3" borderId="0" xfId="0" applyNumberFormat="1" applyFont="1" applyFill="1" applyAlignment="1" applyProtection="1">
      <alignment/>
      <protection hidden="1"/>
    </xf>
    <xf numFmtId="5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166" fontId="0" fillId="0" borderId="19" xfId="0" applyNumberFormat="1" applyFill="1" applyBorder="1" applyAlignment="1" applyProtection="1">
      <alignment horizontal="center"/>
      <protection/>
    </xf>
    <xf numFmtId="166" fontId="0" fillId="0" borderId="20" xfId="0" applyNumberFormat="1" applyFill="1" applyBorder="1" applyAlignment="1" applyProtection="1">
      <alignment horizontal="center"/>
      <protection/>
    </xf>
    <xf numFmtId="9" fontId="0" fillId="0" borderId="19" xfId="0" applyNumberFormat="1" applyFont="1" applyFill="1" applyBorder="1" applyAlignment="1" applyProtection="1">
      <alignment horizontal="center"/>
      <protection/>
    </xf>
    <xf numFmtId="9" fontId="0" fillId="0" borderId="20" xfId="0" applyNumberFormat="1" applyFont="1" applyFill="1" applyBorder="1" applyAlignment="1" applyProtection="1">
      <alignment horizontal="center"/>
      <protection/>
    </xf>
    <xf numFmtId="5" fontId="0" fillId="0" borderId="4" xfId="0" applyNumberFormat="1" applyBorder="1" applyAlignment="1">
      <alignment horizontal="center"/>
    </xf>
    <xf numFmtId="5" fontId="0" fillId="0" borderId="14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/>
    </xf>
    <xf numFmtId="5" fontId="0" fillId="0" borderId="21" xfId="17" applyNumberFormat="1" applyBorder="1" applyAlignment="1">
      <alignment horizontal="center"/>
    </xf>
    <xf numFmtId="5" fontId="0" fillId="0" borderId="22" xfId="17" applyNumberFormat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0" fillId="3" borderId="9" xfId="0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17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3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0" fillId="4" borderId="1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9" fontId="0" fillId="0" borderId="23" xfId="0" applyNumberFormat="1" applyFont="1" applyFill="1" applyBorder="1" applyAlignment="1" applyProtection="1">
      <alignment horizontal="center"/>
      <protection/>
    </xf>
    <xf numFmtId="9" fontId="0" fillId="0" borderId="25" xfId="0" applyNumberFormat="1" applyFont="1" applyFill="1" applyBorder="1" applyAlignment="1" applyProtection="1">
      <alignment horizontal="center"/>
      <protection/>
    </xf>
    <xf numFmtId="166" fontId="0" fillId="0" borderId="17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9" fontId="0" fillId="0" borderId="19" xfId="0" applyNumberFormat="1" applyFill="1" applyBorder="1" applyAlignment="1" applyProtection="1">
      <alignment horizontal="center"/>
      <protection/>
    </xf>
    <xf numFmtId="9" fontId="0" fillId="0" borderId="20" xfId="0" applyNumberFormat="1" applyFill="1" applyBorder="1" applyAlignment="1" applyProtection="1">
      <alignment horizontal="center"/>
      <protection/>
    </xf>
    <xf numFmtId="5" fontId="0" fillId="0" borderId="19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9" fontId="0" fillId="0" borderId="23" xfId="0" applyNumberFormat="1" applyFont="1" applyFill="1" applyBorder="1" applyAlignment="1">
      <alignment horizontal="center"/>
    </xf>
    <xf numFmtId="9" fontId="0" fillId="0" borderId="25" xfId="0" applyNumberFormat="1" applyFont="1" applyFill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66" fontId="0" fillId="0" borderId="27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71" fontId="0" fillId="3" borderId="17" xfId="0" applyNumberFormat="1" applyFill="1" applyBorder="1" applyAlignment="1">
      <alignment horizontal="center"/>
    </xf>
    <xf numFmtId="171" fontId="0" fillId="3" borderId="18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border/>
    </dxf>
    <dxf>
      <fill>
        <patternFill>
          <bgColor rgb="FF00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17" sqref="B17"/>
    </sheetView>
  </sheetViews>
  <sheetFormatPr defaultColWidth="9.140625" defaultRowHeight="12.75"/>
  <cols>
    <col min="1" max="1" width="63.140625" style="0" customWidth="1"/>
    <col min="2" max="2" width="14.421875" style="0" customWidth="1"/>
    <col min="3" max="3" width="9.421875" style="0" bestFit="1" customWidth="1"/>
  </cols>
  <sheetData>
    <row r="1" ht="26.25">
      <c r="A1" s="27" t="s">
        <v>28</v>
      </c>
    </row>
    <row r="3" spans="1:3" ht="15">
      <c r="A3" s="53" t="s">
        <v>22</v>
      </c>
      <c r="B3" s="54">
        <v>949000</v>
      </c>
      <c r="C3" s="55"/>
    </row>
    <row r="4" spans="1:3" ht="15">
      <c r="A4" s="53" t="s">
        <v>23</v>
      </c>
      <c r="B4" s="54">
        <v>0</v>
      </c>
      <c r="C4" s="55"/>
    </row>
    <row r="5" spans="1:3" ht="15">
      <c r="A5" s="53" t="s">
        <v>30</v>
      </c>
      <c r="B5" s="59">
        <f>B3-B4</f>
        <v>949000</v>
      </c>
      <c r="C5" s="55"/>
    </row>
    <row r="6" spans="1:3" ht="15">
      <c r="A6" s="53" t="s">
        <v>42</v>
      </c>
      <c r="B6" s="56">
        <v>0.07</v>
      </c>
      <c r="C6" s="55"/>
    </row>
    <row r="7" spans="1:3" ht="15">
      <c r="A7" s="53" t="s">
        <v>43</v>
      </c>
      <c r="B7" s="57">
        <v>25</v>
      </c>
      <c r="C7" s="55"/>
    </row>
    <row r="8" spans="1:3" ht="15">
      <c r="A8" s="53" t="s">
        <v>25</v>
      </c>
      <c r="B8" s="57">
        <v>15</v>
      </c>
      <c r="C8" s="55"/>
    </row>
    <row r="9" spans="1:3" ht="15">
      <c r="A9" s="53" t="s">
        <v>24</v>
      </c>
      <c r="B9" s="56">
        <v>0.05125</v>
      </c>
      <c r="C9" s="55"/>
    </row>
    <row r="10" spans="1:3" ht="15">
      <c r="A10" s="53" t="s">
        <v>26</v>
      </c>
      <c r="B10" s="57">
        <v>35</v>
      </c>
      <c r="C10" s="55"/>
    </row>
    <row r="11" spans="1:7" ht="15">
      <c r="A11" s="53" t="s">
        <v>49</v>
      </c>
      <c r="B11" s="54">
        <v>749000</v>
      </c>
      <c r="C11" s="64">
        <f>IF(AND(B5&gt;0,B11=0),"Warning! Must Enter Value",IF(AND(B5&gt;200000,B11&lt;B5-200000),"Warning FSA loan Amount Exceeded",IF(B11&gt;749000,"Warning FSA Loan Amount Exceeded",IF(B11&gt;B5,"Warning! Value Exceeds Amount Financed",""))))</f>
      </c>
      <c r="D11" s="64"/>
      <c r="E11" s="64"/>
      <c r="F11" s="64"/>
      <c r="G11" s="64"/>
    </row>
    <row r="12" spans="1:3" ht="15">
      <c r="A12" s="53" t="s">
        <v>27</v>
      </c>
      <c r="B12" s="54">
        <v>2900</v>
      </c>
      <c r="C12" s="55"/>
    </row>
    <row r="13" spans="1:3" ht="15">
      <c r="A13" s="53"/>
      <c r="B13" s="54"/>
      <c r="C13" s="55"/>
    </row>
    <row r="14" spans="1:3" ht="15">
      <c r="A14" s="53"/>
      <c r="B14" s="54"/>
      <c r="C14" s="55"/>
    </row>
    <row r="15" spans="1:3" ht="15">
      <c r="A15" s="53" t="s">
        <v>39</v>
      </c>
      <c r="B15" s="54">
        <v>200000</v>
      </c>
      <c r="C15" s="55"/>
    </row>
    <row r="16" spans="1:3" ht="15">
      <c r="A16" s="53" t="s">
        <v>38</v>
      </c>
      <c r="B16" s="54">
        <v>549000</v>
      </c>
      <c r="C16" s="58">
        <f>IF(AND(B17=200000,B16&gt;749000),"Warning! FSA Loan Amount Exceeded",IF(B16+B17&gt;949000,"Warning! FSA Loan Amount Exceeded",""))</f>
      </c>
    </row>
    <row r="17" spans="1:3" ht="15">
      <c r="A17" s="53" t="s">
        <v>44</v>
      </c>
      <c r="B17" s="54">
        <v>200000</v>
      </c>
      <c r="C17" s="58">
        <f>IF(B17&gt;200000,"Warning! FSA Loan Amount Exceeded","")</f>
      </c>
    </row>
    <row r="18" spans="1:8" ht="15">
      <c r="A18" s="53"/>
      <c r="B18" s="60">
        <f>SUM(B15:B17)</f>
        <v>949000</v>
      </c>
      <c r="C18" s="64">
        <f>IF(OR(B15+B16+B17&gt;B5,B15+B16+B17&lt;B5),"Warning! Total Does Not Match Amount Financed","")</f>
      </c>
      <c r="D18" s="64"/>
      <c r="E18" s="64"/>
      <c r="F18" s="64"/>
      <c r="G18" s="64"/>
      <c r="H18" s="64"/>
    </row>
    <row r="19" spans="1:3" ht="15">
      <c r="A19" s="53" t="s">
        <v>40</v>
      </c>
      <c r="B19" s="56">
        <v>0.085</v>
      </c>
      <c r="C19" s="55"/>
    </row>
    <row r="20" spans="1:3" ht="15">
      <c r="A20" s="53" t="s">
        <v>41</v>
      </c>
      <c r="B20" s="57">
        <v>20</v>
      </c>
      <c r="C20" s="55"/>
    </row>
    <row r="21" spans="1:3" ht="14.25">
      <c r="A21" s="55"/>
      <c r="B21" s="55"/>
      <c r="C21" s="55"/>
    </row>
    <row r="22" spans="1:3" ht="14.25">
      <c r="A22" s="55"/>
      <c r="B22" s="55"/>
      <c r="C22" s="55"/>
    </row>
    <row r="23" spans="1:3" ht="15">
      <c r="A23" s="53" t="s">
        <v>45</v>
      </c>
      <c r="B23" s="55"/>
      <c r="C23" s="55"/>
    </row>
    <row r="24" spans="1:3" ht="15">
      <c r="A24" s="53" t="s">
        <v>46</v>
      </c>
      <c r="B24" s="55"/>
      <c r="C24" s="55"/>
    </row>
    <row r="25" spans="1:3" ht="15">
      <c r="A25" s="53" t="s">
        <v>47</v>
      </c>
      <c r="B25" s="55"/>
      <c r="C25" s="55"/>
    </row>
  </sheetData>
  <sheetProtection password="C4E7" sheet="1" objects="1" scenarios="1"/>
  <mergeCells count="2">
    <mergeCell ref="C18:H18"/>
    <mergeCell ref="C11:G11"/>
  </mergeCells>
  <conditionalFormatting sqref="B8">
    <cfRule type="cellIs" priority="1" dxfId="0" operator="lessThanOrEqual" stopIfTrue="1">
      <formula>15</formula>
    </cfRule>
  </conditionalFormatting>
  <conditionalFormatting sqref="B11">
    <cfRule type="expression" priority="2" dxfId="1" stopIfTrue="1">
      <formula>B5&gt;949000</formula>
    </cfRule>
  </conditionalFormatting>
  <conditionalFormatting sqref="C11">
    <cfRule type="expression" priority="3" dxfId="2" stopIfTrue="1">
      <formula>B5&gt;949000</formula>
    </cfRule>
  </conditionalFormatting>
  <dataValidations count="13">
    <dataValidation type="whole" operator="lessThanOrEqual" allowBlank="1" showInputMessage="1" showErrorMessage="1" error="Direct Farm Ownership has a maximum term of 40 years." sqref="B20">
      <formula1>40</formula1>
    </dataValidation>
    <dataValidation operator="lessThanOrEqual" allowBlank="1" showInputMessage="1" showErrorMessage="1" sqref="B19 B15"/>
    <dataValidation allowBlank="1" showInputMessage="1" showErrorMessage="1" prompt="Enter the price of the land or a hypothetical amount.  Calculator increases by increments of $200.  It will calculate how many acres of land that can be purchased at a specific price and calculate a price/acre to compare to land rent." sqref="B12"/>
    <dataValidation operator="lessThanOrEqual" allowBlank="1" showInputMessage="1" showErrorMessage="1" prompt="Guaranteed Farm Ownership Maximum is $949,000.&#10;A Guaranteed Farm Ownership loan with Direct Farm Ownership loan the Maximum is $749,000.&#10;" sqref="B16"/>
    <dataValidation operator="lessThanOrEqual" allowBlank="1" showInputMessage="1" showErrorMessage="1" prompt="Direct Farm Ownership Maximum is $200,000" sqref="B17"/>
    <dataValidation type="whole" operator="lessThanOrEqual" allowBlank="1" showErrorMessage="1" prompt="Enter number of years for FSA Begining Farmer Down Payment loan" error="Begining Farmer Down Payment has a maximum term&#10; of 15 years" sqref="B8">
      <formula1>15</formula1>
    </dataValidation>
    <dataValidation type="whole" operator="lessThanOrEqual" allowBlank="1" showErrorMessage="1" prompt="Enter the number of years for the D-FO loan" error="Direct Farm Ownership has a maximum term of 40 years." sqref="B10">
      <formula1>40</formula1>
    </dataValidation>
    <dataValidation allowBlank="1" showErrorMessage="1" prompt="Enter lender's interst rate" sqref="B6"/>
    <dataValidation type="whole" operator="lessThanOrEqual" allowBlank="1" showErrorMessage="1" prompt="Enter number of years for lender's loan&#10;" error="Guaranteed Farm Ownership has a maximum term of 40 years.&#10;&#10;" sqref="B7">
      <formula1>40</formula1>
    </dataValidation>
    <dataValidation allowBlank="1" showInputMessage="1" showErrorMessage="1" prompt="Enter FSA's current interest rate or limited resource interest rate of 5.00% as a default&#10;" sqref="B9"/>
    <dataValidation allowBlank="1" showInputMessage="1" showErrorMessage="1" prompt="Enter the purchase price of the farm." sqref="B3"/>
    <dataValidation allowBlank="1" showInputMessage="1" showErrorMessage="1" prompt="Enter downpayment.  If purchase price greater than $899,000, downpayment equals at least purchase price minus $899,000" sqref="B4"/>
    <dataValidation type="custom" allowBlank="1" showInputMessage="1" showErrorMessage="1" sqref="B13">
      <formula1>"IF(b5&gt;200000,0,{randbetween1:200000})"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H45" sqref="H45:I46"/>
    </sheetView>
  </sheetViews>
  <sheetFormatPr defaultColWidth="9.140625" defaultRowHeight="12.75"/>
  <cols>
    <col min="1" max="1" width="17.28125" style="0" customWidth="1"/>
    <col min="2" max="2" width="12.28125" style="0" customWidth="1"/>
    <col min="3" max="3" width="6.00390625" style="0" customWidth="1"/>
    <col min="4" max="4" width="5.8515625" style="0" customWidth="1"/>
    <col min="5" max="5" width="12.28125" style="0" customWidth="1"/>
    <col min="6" max="6" width="6.00390625" style="0" customWidth="1"/>
    <col min="7" max="7" width="5.57421875" style="0" customWidth="1"/>
    <col min="8" max="8" width="7.140625" style="0" customWidth="1"/>
    <col min="9" max="9" width="7.421875" style="0" customWidth="1"/>
    <col min="10" max="10" width="7.140625" style="0" customWidth="1"/>
    <col min="11" max="11" width="5.7109375" style="0" customWidth="1"/>
  </cols>
  <sheetData>
    <row r="1" spans="1:11" ht="24.75" customHeight="1">
      <c r="A1" s="120"/>
      <c r="B1" s="127" t="s">
        <v>0</v>
      </c>
      <c r="C1" s="68" t="s">
        <v>1</v>
      </c>
      <c r="D1" s="69"/>
      <c r="E1" s="65" t="s">
        <v>2</v>
      </c>
      <c r="F1" s="68" t="s">
        <v>31</v>
      </c>
      <c r="G1" s="69"/>
      <c r="H1" s="68" t="s">
        <v>48</v>
      </c>
      <c r="I1" s="69"/>
      <c r="J1" s="68" t="s">
        <v>33</v>
      </c>
      <c r="K1" s="69"/>
    </row>
    <row r="2" spans="1:12" ht="12.75" customHeight="1">
      <c r="A2" s="121"/>
      <c r="B2" s="128"/>
      <c r="C2" s="70"/>
      <c r="D2" s="71"/>
      <c r="E2" s="66"/>
      <c r="F2" s="70"/>
      <c r="G2" s="71"/>
      <c r="H2" s="70"/>
      <c r="I2" s="71"/>
      <c r="J2" s="70"/>
      <c r="K2" s="71"/>
      <c r="L2" s="2"/>
    </row>
    <row r="3" spans="1:12" ht="12.75" customHeight="1" thickBot="1">
      <c r="A3" s="122"/>
      <c r="B3" s="128"/>
      <c r="C3" s="70"/>
      <c r="D3" s="71"/>
      <c r="E3" s="66"/>
      <c r="F3" s="70"/>
      <c r="G3" s="71"/>
      <c r="H3" s="70"/>
      <c r="I3" s="71"/>
      <c r="J3" s="70"/>
      <c r="K3" s="71"/>
      <c r="L3" s="2"/>
    </row>
    <row r="4" spans="1:12" ht="13.5" customHeight="1" thickBot="1">
      <c r="A4" s="13" t="s">
        <v>15</v>
      </c>
      <c r="B4" s="129"/>
      <c r="C4" s="72"/>
      <c r="D4" s="73"/>
      <c r="E4" s="67"/>
      <c r="F4" s="72"/>
      <c r="G4" s="73"/>
      <c r="H4" s="72"/>
      <c r="I4" s="73"/>
      <c r="J4" s="72"/>
      <c r="K4" s="73"/>
      <c r="L4" s="2"/>
    </row>
    <row r="5" spans="1:12" ht="13.5" customHeight="1">
      <c r="A5" s="28">
        <f>'Input Sheet'!B3</f>
        <v>949000</v>
      </c>
      <c r="B5" s="16">
        <f>'Input Sheet'!B3</f>
        <v>949000</v>
      </c>
      <c r="C5" s="83">
        <f>'Input Sheet'!B3</f>
        <v>949000</v>
      </c>
      <c r="D5" s="84"/>
      <c r="E5" s="17">
        <f>'Input Sheet'!B3</f>
        <v>949000</v>
      </c>
      <c r="F5" s="83">
        <f>'Input Sheet'!B3</f>
        <v>949000</v>
      </c>
      <c r="G5" s="84"/>
      <c r="H5" s="83">
        <f>'Input Sheet'!B3</f>
        <v>949000</v>
      </c>
      <c r="I5" s="84"/>
      <c r="J5" s="148">
        <f>'Input Sheet'!B3</f>
        <v>949000</v>
      </c>
      <c r="K5" s="149"/>
      <c r="L5" s="33"/>
    </row>
    <row r="6" spans="1:12" ht="13.5" customHeight="1">
      <c r="A6" s="14" t="s">
        <v>3</v>
      </c>
      <c r="B6" s="51">
        <f>B7/B5</f>
        <v>0</v>
      </c>
      <c r="C6" s="123">
        <f>C7/C5</f>
        <v>0.1</v>
      </c>
      <c r="D6" s="124"/>
      <c r="E6" s="52">
        <f>E7/E5</f>
        <v>0</v>
      </c>
      <c r="F6" s="114">
        <f>F7/F5</f>
        <v>0</v>
      </c>
      <c r="G6" s="115"/>
      <c r="H6" s="77">
        <f>H7/H5</f>
        <v>0</v>
      </c>
      <c r="I6" s="78"/>
      <c r="J6" s="150">
        <f>J7/J5</f>
        <v>0</v>
      </c>
      <c r="K6" s="151"/>
      <c r="L6" s="33"/>
    </row>
    <row r="7" spans="1:12" ht="13.5" customHeight="1">
      <c r="A7" s="28">
        <f>'Input Sheet'!B4</f>
        <v>0</v>
      </c>
      <c r="B7" s="49">
        <f>A7</f>
        <v>0</v>
      </c>
      <c r="C7" s="125">
        <f>IF(A7&gt;C5*0.1,A7,C5*0.1)</f>
        <v>94900</v>
      </c>
      <c r="D7" s="126"/>
      <c r="E7" s="50">
        <f>A7</f>
        <v>0</v>
      </c>
      <c r="F7" s="75">
        <f>A7</f>
        <v>0</v>
      </c>
      <c r="G7" s="76"/>
      <c r="H7" s="75">
        <f>IF(AND('Input Sheet'!B3&gt;949000,'Input Sheet'!B4=0),'Input Sheet'!B3-949000,IF('Input Sheet'!B3&lt;=949000,'Input Sheet'!B4,IF('Input Sheet'!B3-'Input Sheet'!B4&gt;=949000,'Input Sheet'!B3-949000,IF(AND('Input Sheet'!B3&gt;949000,'Input Sheet'!B4&gt;'Input Sheet'!B3-949000),'Input Sheet'!B4))))</f>
        <v>0</v>
      </c>
      <c r="I7" s="76"/>
      <c r="J7" s="152">
        <f>A7</f>
        <v>0</v>
      </c>
      <c r="K7" s="153"/>
      <c r="L7" s="33"/>
    </row>
    <row r="8" spans="1:12" ht="39" customHeight="1" thickBot="1">
      <c r="A8" s="36" t="s">
        <v>29</v>
      </c>
      <c r="B8" s="37">
        <f>'Input Sheet'!B5</f>
        <v>949000</v>
      </c>
      <c r="C8" s="116">
        <f>C5-C7</f>
        <v>854100</v>
      </c>
      <c r="D8" s="117"/>
      <c r="E8" s="37">
        <f>'Input Sheet'!B5</f>
        <v>949000</v>
      </c>
      <c r="F8" s="116">
        <f>'Input Sheet'!B5</f>
        <v>949000</v>
      </c>
      <c r="G8" s="117"/>
      <c r="H8" s="168">
        <f>H5-H7</f>
        <v>949000</v>
      </c>
      <c r="I8" s="169"/>
      <c r="J8" s="141">
        <f>J5-J7</f>
        <v>949000</v>
      </c>
      <c r="K8" s="142"/>
      <c r="L8" s="33"/>
    </row>
    <row r="9" spans="1:12" ht="13.5" customHeight="1" thickBot="1">
      <c r="A9" s="39" t="s">
        <v>4</v>
      </c>
      <c r="B9" s="25"/>
      <c r="C9" s="20"/>
      <c r="D9" s="43"/>
      <c r="E9" s="38"/>
      <c r="F9" s="20"/>
      <c r="G9" s="20"/>
      <c r="H9" s="42"/>
      <c r="I9" s="42"/>
      <c r="J9" s="143"/>
      <c r="K9" s="143"/>
      <c r="L9" s="33"/>
    </row>
    <row r="10" spans="1:13" ht="13.5" customHeight="1">
      <c r="A10" s="109" t="s">
        <v>20</v>
      </c>
      <c r="B10" s="132" t="s">
        <v>6</v>
      </c>
      <c r="C10" s="134" t="s">
        <v>34</v>
      </c>
      <c r="D10" s="135"/>
      <c r="E10" s="140" t="s">
        <v>6</v>
      </c>
      <c r="F10" s="134" t="s">
        <v>34</v>
      </c>
      <c r="G10" s="135"/>
      <c r="H10" s="134" t="s">
        <v>34</v>
      </c>
      <c r="I10" s="135"/>
      <c r="J10" s="44" t="s">
        <v>16</v>
      </c>
      <c r="K10" s="48">
        <f>J11/J8</f>
        <v>0.2107481559536354</v>
      </c>
      <c r="M10" s="41"/>
    </row>
    <row r="11" spans="1:12" ht="13.5" customHeight="1">
      <c r="A11" s="110"/>
      <c r="B11" s="132"/>
      <c r="C11" s="136"/>
      <c r="D11" s="137"/>
      <c r="E11" s="132"/>
      <c r="F11" s="136"/>
      <c r="G11" s="137"/>
      <c r="H11" s="136"/>
      <c r="I11" s="137"/>
      <c r="J11" s="144">
        <f>'Input Sheet'!B15</f>
        <v>200000</v>
      </c>
      <c r="K11" s="145"/>
      <c r="L11" s="33"/>
    </row>
    <row r="12" spans="1:12" ht="13.5" customHeight="1">
      <c r="A12" s="110"/>
      <c r="B12" s="132"/>
      <c r="C12" s="136"/>
      <c r="D12" s="137"/>
      <c r="E12" s="132"/>
      <c r="F12" s="136"/>
      <c r="G12" s="137"/>
      <c r="H12" s="136"/>
      <c r="I12" s="137"/>
      <c r="J12" s="146">
        <f>IF('Input Sheet'!B20=0,J16,'Input Sheet'!B20)</f>
        <v>20</v>
      </c>
      <c r="K12" s="147"/>
      <c r="L12" s="33"/>
    </row>
    <row r="13" spans="1:12" ht="13.5" customHeight="1" thickBot="1">
      <c r="A13" s="111"/>
      <c r="B13" s="133"/>
      <c r="C13" s="138"/>
      <c r="D13" s="139"/>
      <c r="E13" s="133"/>
      <c r="F13" s="138"/>
      <c r="G13" s="139"/>
      <c r="H13" s="138"/>
      <c r="I13" s="139"/>
      <c r="J13" s="91">
        <f>IF('Input Sheet'!B19=0,J17,'Input Sheet'!B19)</f>
        <v>0.085</v>
      </c>
      <c r="K13" s="92"/>
      <c r="L13" s="33"/>
    </row>
    <row r="14" spans="1:11" ht="13.5" customHeight="1">
      <c r="A14" s="110" t="s">
        <v>32</v>
      </c>
      <c r="B14" s="22" t="s">
        <v>5</v>
      </c>
      <c r="C14" s="22" t="s">
        <v>16</v>
      </c>
      <c r="D14" s="23">
        <f>C15/C5</f>
        <v>0.5</v>
      </c>
      <c r="E14" s="106" t="s">
        <v>6</v>
      </c>
      <c r="F14" s="22" t="s">
        <v>16</v>
      </c>
      <c r="G14" s="23">
        <f>F15/F5</f>
        <v>0.7892518440463646</v>
      </c>
      <c r="H14" s="35" t="s">
        <v>16</v>
      </c>
      <c r="I14" s="23">
        <f>H15/H5</f>
        <v>0.7892518440463646</v>
      </c>
      <c r="J14" s="44" t="s">
        <v>16</v>
      </c>
      <c r="K14" s="48">
        <f>J15/J8</f>
        <v>0.5785036880927292</v>
      </c>
    </row>
    <row r="15" spans="1:12" ht="13.5" customHeight="1">
      <c r="A15" s="110"/>
      <c r="B15" s="24">
        <f>B8</f>
        <v>949000</v>
      </c>
      <c r="C15" s="81">
        <f>IF(C7&gt;C5*0.1,C8-C19,C5*0.5)</f>
        <v>474500</v>
      </c>
      <c r="D15" s="93"/>
      <c r="E15" s="107"/>
      <c r="F15" s="81">
        <f>IF(F8&gt;400000,F8-200000,F8/2)</f>
        <v>749000</v>
      </c>
      <c r="G15" s="93"/>
      <c r="H15" s="81">
        <f>IF('Input Sheet'!B5&lt;=949000,'Input Sheet'!B11,H8-200000)</f>
        <v>749000</v>
      </c>
      <c r="I15" s="93"/>
      <c r="J15" s="144">
        <f>'Input Sheet'!B16</f>
        <v>549000</v>
      </c>
      <c r="K15" s="145"/>
      <c r="L15" s="33"/>
    </row>
    <row r="16" spans="1:11" ht="13.5" customHeight="1">
      <c r="A16" s="110"/>
      <c r="B16" s="29">
        <f>'Input Sheet'!B7</f>
        <v>25</v>
      </c>
      <c r="C16" s="94">
        <f>B16</f>
        <v>25</v>
      </c>
      <c r="D16" s="95"/>
      <c r="E16" s="107"/>
      <c r="F16" s="94">
        <f>B16</f>
        <v>25</v>
      </c>
      <c r="G16" s="95"/>
      <c r="H16" s="94">
        <f>B16</f>
        <v>25</v>
      </c>
      <c r="I16" s="95"/>
      <c r="J16" s="94">
        <f>H16</f>
        <v>25</v>
      </c>
      <c r="K16" s="95"/>
    </row>
    <row r="17" spans="1:12" ht="13.5" customHeight="1" thickBot="1">
      <c r="A17" s="111"/>
      <c r="B17" s="47">
        <f>'Input Sheet'!B6</f>
        <v>0.07</v>
      </c>
      <c r="C17" s="118">
        <f>B17</f>
        <v>0.07</v>
      </c>
      <c r="D17" s="119"/>
      <c r="E17" s="108"/>
      <c r="F17" s="62">
        <f>B17</f>
        <v>0.07</v>
      </c>
      <c r="G17" s="63"/>
      <c r="H17" s="62">
        <f>B17</f>
        <v>0.07</v>
      </c>
      <c r="I17" s="63"/>
      <c r="J17" s="154">
        <f>B17</f>
        <v>0.07</v>
      </c>
      <c r="K17" s="155"/>
      <c r="L17" s="33"/>
    </row>
    <row r="18" spans="1:12" ht="13.5" customHeight="1">
      <c r="A18" s="109" t="s">
        <v>21</v>
      </c>
      <c r="B18" s="106" t="s">
        <v>6</v>
      </c>
      <c r="C18" s="22" t="s">
        <v>19</v>
      </c>
      <c r="D18" s="23">
        <f>C19/C5</f>
        <v>0.4</v>
      </c>
      <c r="E18" s="18" t="s">
        <v>7</v>
      </c>
      <c r="F18" s="22" t="s">
        <v>17</v>
      </c>
      <c r="G18" s="23">
        <f>F19/F5</f>
        <v>0.2107481559536354</v>
      </c>
      <c r="H18" s="34" t="s">
        <v>17</v>
      </c>
      <c r="I18" s="23">
        <f>H19/H5</f>
        <v>0.2107481559536354</v>
      </c>
      <c r="J18" s="44" t="s">
        <v>17</v>
      </c>
      <c r="K18" s="48">
        <f>J19/J8</f>
        <v>0.2107481559536354</v>
      </c>
      <c r="L18" s="33"/>
    </row>
    <row r="19" spans="1:12" ht="13.5" customHeight="1">
      <c r="A19" s="110"/>
      <c r="B19" s="112"/>
      <c r="C19" s="87">
        <f>C5*0.4</f>
        <v>379600</v>
      </c>
      <c r="D19" s="61"/>
      <c r="E19" s="19">
        <f>E8</f>
        <v>949000</v>
      </c>
      <c r="F19" s="81">
        <f>IF(F8&gt;400000,200000,F8/2)</f>
        <v>200000</v>
      </c>
      <c r="G19" s="93"/>
      <c r="H19" s="81">
        <f>H8-H15</f>
        <v>200000</v>
      </c>
      <c r="I19" s="93"/>
      <c r="J19" s="144">
        <f>'Input Sheet'!B17</f>
        <v>200000</v>
      </c>
      <c r="K19" s="145"/>
      <c r="L19" s="33"/>
    </row>
    <row r="20" spans="1:12" ht="13.5" customHeight="1">
      <c r="A20" s="110"/>
      <c r="B20" s="112"/>
      <c r="C20" s="82">
        <f>'Input Sheet'!B8</f>
        <v>15</v>
      </c>
      <c r="D20" s="113"/>
      <c r="E20" s="30">
        <f>'Input Sheet'!B10</f>
        <v>35</v>
      </c>
      <c r="F20" s="82">
        <f>'Input Sheet'!B10</f>
        <v>35</v>
      </c>
      <c r="G20" s="113"/>
      <c r="H20" s="82">
        <f>'Input Sheet'!B10</f>
        <v>35</v>
      </c>
      <c r="I20" s="113"/>
      <c r="J20" s="146">
        <f>H20</f>
        <v>35</v>
      </c>
      <c r="K20" s="156"/>
      <c r="L20" s="33"/>
    </row>
    <row r="21" spans="1:12" ht="13.5" customHeight="1" thickBot="1">
      <c r="A21" s="111"/>
      <c r="B21" s="112"/>
      <c r="C21" s="118">
        <v>0.04</v>
      </c>
      <c r="D21" s="119"/>
      <c r="E21" s="31">
        <f>'Input Sheet'!B9</f>
        <v>0.05125</v>
      </c>
      <c r="F21" s="62">
        <v>0.05</v>
      </c>
      <c r="G21" s="63"/>
      <c r="H21" s="170">
        <f>IF(I18&gt;=0.5,'Input Sheet'!B9,0.05)</f>
        <v>0.05</v>
      </c>
      <c r="I21" s="171"/>
      <c r="J21" s="91">
        <f>IF(K18&gt;=0.5,0.05,E21)</f>
        <v>0.05125</v>
      </c>
      <c r="K21" s="92"/>
      <c r="L21" s="33"/>
    </row>
    <row r="22" spans="1:12" ht="13.5" thickBot="1">
      <c r="A22" s="130" t="s">
        <v>9</v>
      </c>
      <c r="B22" s="25"/>
      <c r="C22" s="21"/>
      <c r="D22" s="21"/>
      <c r="E22" s="21"/>
      <c r="F22" s="21"/>
      <c r="G22" s="21"/>
      <c r="H22" s="42"/>
      <c r="I22" s="43"/>
      <c r="J22" s="157"/>
      <c r="K22" s="158"/>
      <c r="L22" s="33"/>
    </row>
    <row r="23" spans="1:12" ht="38.25" customHeight="1" thickBot="1">
      <c r="A23" s="131"/>
      <c r="B23" s="26">
        <f>PMT(B17,B16,B15)</f>
        <v>-81434.18084241169</v>
      </c>
      <c r="C23" s="79">
        <f>PMT(C17,C16,C15)+PMT(C21,C20,C19)</f>
        <v>-74858.73212202726</v>
      </c>
      <c r="D23" s="80"/>
      <c r="E23" s="15">
        <f>PMT(E21,E20,E19)</f>
        <v>-58874.248694891474</v>
      </c>
      <c r="F23" s="79">
        <f>PMT(F17,F16,F15)+PMT(F21,F20,F19)</f>
        <v>-76486.41884444852</v>
      </c>
      <c r="G23" s="80"/>
      <c r="H23" s="79">
        <f>PMT(H17,H16,H15)+PMT(H21,H20,H19)</f>
        <v>-76486.41884444852</v>
      </c>
      <c r="I23" s="80"/>
      <c r="J23" s="159">
        <f>PMT(J13,J12,J11)+PMT(J17,J16,J15)+PMT(J21,J20,J19)</f>
        <v>-80651.80817129932</v>
      </c>
      <c r="K23" s="160"/>
      <c r="L23" s="33"/>
    </row>
    <row r="24" spans="1:12" ht="13.5" thickBot="1">
      <c r="A24" s="74" t="s">
        <v>10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4"/>
      <c r="L24" s="33"/>
    </row>
    <row r="25" spans="1:12" ht="12.75">
      <c r="A25" s="45">
        <f>A5</f>
        <v>949000</v>
      </c>
      <c r="B25" s="103" t="s">
        <v>12</v>
      </c>
      <c r="C25" s="88" t="s">
        <v>14</v>
      </c>
      <c r="D25" s="89"/>
      <c r="E25" s="104" t="s">
        <v>8</v>
      </c>
      <c r="F25" s="88" t="s">
        <v>13</v>
      </c>
      <c r="G25" s="89"/>
      <c r="H25" s="88" t="s">
        <v>36</v>
      </c>
      <c r="I25" s="89"/>
      <c r="J25" s="88" t="s">
        <v>37</v>
      </c>
      <c r="K25" s="103"/>
      <c r="L25" s="33"/>
    </row>
    <row r="26" spans="1:12" ht="13.5" thickBot="1">
      <c r="A26" s="3" t="s">
        <v>11</v>
      </c>
      <c r="B26" s="103"/>
      <c r="C26" s="74"/>
      <c r="D26" s="90"/>
      <c r="E26" s="105"/>
      <c r="F26" s="74"/>
      <c r="G26" s="90"/>
      <c r="H26" s="74"/>
      <c r="I26" s="90"/>
      <c r="J26" s="88"/>
      <c r="K26" s="103"/>
      <c r="L26" s="33"/>
    </row>
    <row r="27" spans="1:12" ht="12.75">
      <c r="A27" s="32">
        <f>'Input Sheet'!B12</f>
        <v>2900</v>
      </c>
      <c r="B27" s="86">
        <f>B23/A28</f>
        <v>-248.85049993993036</v>
      </c>
      <c r="C27" s="85">
        <f>C23/A28</f>
        <v>-228.75692640029405</v>
      </c>
      <c r="D27" s="86"/>
      <c r="E27" s="101">
        <f>E23/A28</f>
        <v>-179.9107705112595</v>
      </c>
      <c r="F27" s="85">
        <f>F23/A28</f>
        <v>-233.73089004099126</v>
      </c>
      <c r="G27" s="86"/>
      <c r="H27" s="85">
        <f>H23/A28</f>
        <v>-233.73089004099126</v>
      </c>
      <c r="I27" s="86"/>
      <c r="J27" s="161">
        <f>J23/A28</f>
        <v>-246.45968777320127</v>
      </c>
      <c r="K27" s="167"/>
      <c r="L27" s="33"/>
    </row>
    <row r="28" spans="1:12" ht="12.75">
      <c r="A28" s="4">
        <f>A25/A27</f>
        <v>327.2413793103448</v>
      </c>
      <c r="B28" s="61"/>
      <c r="C28" s="87"/>
      <c r="D28" s="61"/>
      <c r="E28" s="102"/>
      <c r="F28" s="87"/>
      <c r="G28" s="61"/>
      <c r="H28" s="87"/>
      <c r="I28" s="61"/>
      <c r="J28" s="166"/>
      <c r="K28" s="165"/>
      <c r="L28" s="46"/>
    </row>
    <row r="29" spans="1:12" ht="12.75">
      <c r="A29" s="5">
        <f>A27+200</f>
        <v>3100</v>
      </c>
      <c r="B29" s="96">
        <f>B23/A30</f>
        <v>-266.0126033840635</v>
      </c>
      <c r="C29" s="87">
        <f>C23/A30</f>
        <v>-244.53326615203846</v>
      </c>
      <c r="D29" s="61"/>
      <c r="E29" s="97">
        <f>E23/A30</f>
        <v>-192.3184098568636</v>
      </c>
      <c r="F29" s="87">
        <f>F23/A30</f>
        <v>-249.85026176795617</v>
      </c>
      <c r="G29" s="61"/>
      <c r="H29" s="87">
        <f>H23/A30</f>
        <v>-249.85026176795617</v>
      </c>
      <c r="I29" s="61"/>
      <c r="J29" s="162">
        <f>J23/A30</f>
        <v>-263.45690761962896</v>
      </c>
      <c r="K29" s="165"/>
      <c r="L29" s="2"/>
    </row>
    <row r="30" spans="1:12" ht="12.75">
      <c r="A30" s="6">
        <f>A25/A29</f>
        <v>306.1290322580645</v>
      </c>
      <c r="B30" s="96"/>
      <c r="C30" s="87"/>
      <c r="D30" s="61"/>
      <c r="E30" s="97"/>
      <c r="F30" s="87"/>
      <c r="G30" s="61"/>
      <c r="H30" s="87"/>
      <c r="I30" s="61"/>
      <c r="J30" s="166"/>
      <c r="K30" s="165"/>
      <c r="L30" s="33"/>
    </row>
    <row r="31" spans="1:12" ht="12.75">
      <c r="A31" s="1">
        <f>A27+400</f>
        <v>3300</v>
      </c>
      <c r="B31" s="96">
        <f>B23/A32</f>
        <v>-283.17470682819663</v>
      </c>
      <c r="C31" s="87">
        <f>C23/A32</f>
        <v>-260.3096059037829</v>
      </c>
      <c r="D31" s="61"/>
      <c r="E31" s="97">
        <f>E23/A32</f>
        <v>-204.72604920246772</v>
      </c>
      <c r="F31" s="87">
        <f>F23/A32</f>
        <v>-265.9696334949211</v>
      </c>
      <c r="G31" s="61"/>
      <c r="H31" s="87">
        <f>H23/A32</f>
        <v>-265.9696334949211</v>
      </c>
      <c r="I31" s="61"/>
      <c r="J31" s="162">
        <f>J23/A32</f>
        <v>-280.45412746605666</v>
      </c>
      <c r="K31" s="165"/>
      <c r="L31" s="33"/>
    </row>
    <row r="32" spans="1:12" ht="12.75">
      <c r="A32" s="7">
        <f>A25/A31</f>
        <v>287.57575757575756</v>
      </c>
      <c r="B32" s="96"/>
      <c r="C32" s="87"/>
      <c r="D32" s="61"/>
      <c r="E32" s="97"/>
      <c r="F32" s="87"/>
      <c r="G32" s="61"/>
      <c r="H32" s="87"/>
      <c r="I32" s="61"/>
      <c r="J32" s="166"/>
      <c r="K32" s="165"/>
      <c r="L32" s="33"/>
    </row>
    <row r="33" spans="1:11" ht="12.75">
      <c r="A33" s="1">
        <f>A27+600</f>
        <v>3500</v>
      </c>
      <c r="B33" s="96">
        <f>B23/A34</f>
        <v>-300.3368102723297</v>
      </c>
      <c r="C33" s="87">
        <f>C23/A34</f>
        <v>-276.08594565552727</v>
      </c>
      <c r="D33" s="61"/>
      <c r="E33" s="97">
        <f>E23/A34</f>
        <v>-217.1336885480718</v>
      </c>
      <c r="F33" s="87">
        <f>F23/A34</f>
        <v>-282.089005221886</v>
      </c>
      <c r="G33" s="61"/>
      <c r="H33" s="87">
        <f>H23/A34</f>
        <v>-282.089005221886</v>
      </c>
      <c r="I33" s="61"/>
      <c r="J33" s="162">
        <f>J23/A34</f>
        <v>-297.4513473124843</v>
      </c>
      <c r="K33" s="165"/>
    </row>
    <row r="34" spans="1:12" ht="12.75">
      <c r="A34" s="7">
        <f>A25/A33</f>
        <v>271.14285714285717</v>
      </c>
      <c r="B34" s="96"/>
      <c r="C34" s="87"/>
      <c r="D34" s="61"/>
      <c r="E34" s="97"/>
      <c r="F34" s="87"/>
      <c r="G34" s="61"/>
      <c r="H34" s="87"/>
      <c r="I34" s="61"/>
      <c r="J34" s="166"/>
      <c r="K34" s="165"/>
      <c r="L34" s="2"/>
    </row>
    <row r="35" spans="1:11" ht="12.75">
      <c r="A35" s="1">
        <f>A27+800</f>
        <v>3700</v>
      </c>
      <c r="B35" s="96">
        <f>B23/A36</f>
        <v>-317.4989137164628</v>
      </c>
      <c r="C35" s="87">
        <f>C23/A36</f>
        <v>-291.86228540727166</v>
      </c>
      <c r="D35" s="61"/>
      <c r="E35" s="97">
        <f>E23/A36</f>
        <v>-229.5413278936759</v>
      </c>
      <c r="F35" s="87">
        <f>F23/A36</f>
        <v>-298.2083769488509</v>
      </c>
      <c r="G35" s="61"/>
      <c r="H35" s="87">
        <f>H23/A36</f>
        <v>-298.2083769488509</v>
      </c>
      <c r="I35" s="61"/>
      <c r="J35" s="162">
        <f>J23/A36</f>
        <v>-314.44856715891194</v>
      </c>
      <c r="K35" s="165"/>
    </row>
    <row r="36" spans="1:12" ht="12.75">
      <c r="A36" s="7">
        <f>A25/A35</f>
        <v>256.4864864864865</v>
      </c>
      <c r="B36" s="96"/>
      <c r="C36" s="87"/>
      <c r="D36" s="61"/>
      <c r="E36" s="97"/>
      <c r="F36" s="87"/>
      <c r="G36" s="61"/>
      <c r="H36" s="87"/>
      <c r="I36" s="61"/>
      <c r="J36" s="166"/>
      <c r="K36" s="165"/>
      <c r="L36" s="2"/>
    </row>
    <row r="37" spans="1:11" ht="12.75">
      <c r="A37" s="1">
        <f>A27+1000</f>
        <v>3900</v>
      </c>
      <c r="B37" s="96">
        <f>B23/A38</f>
        <v>-334.661017160596</v>
      </c>
      <c r="C37" s="87">
        <f>C23/A38</f>
        <v>-307.6386251590161</v>
      </c>
      <c r="D37" s="61"/>
      <c r="E37" s="97">
        <f>E23/A38</f>
        <v>-241.94896723928002</v>
      </c>
      <c r="F37" s="87">
        <f>F23/A38</f>
        <v>-314.3277486758158</v>
      </c>
      <c r="G37" s="61"/>
      <c r="H37" s="87">
        <f>H23/A38</f>
        <v>-314.3277486758158</v>
      </c>
      <c r="I37" s="61"/>
      <c r="J37" s="162">
        <f>J23/A38</f>
        <v>-331.44578700533964</v>
      </c>
      <c r="K37" s="165"/>
    </row>
    <row r="38" spans="1:11" ht="12.75">
      <c r="A38" s="7">
        <f>A25/A37</f>
        <v>243.33333333333334</v>
      </c>
      <c r="B38" s="96"/>
      <c r="C38" s="87"/>
      <c r="D38" s="61"/>
      <c r="E38" s="97"/>
      <c r="F38" s="87"/>
      <c r="G38" s="61"/>
      <c r="H38" s="87"/>
      <c r="I38" s="61"/>
      <c r="J38" s="166"/>
      <c r="K38" s="165"/>
    </row>
    <row r="39" spans="1:11" ht="12.75">
      <c r="A39" s="1">
        <f>A27+1200</f>
        <v>4100</v>
      </c>
      <c r="B39" s="96">
        <f>B23/A40</f>
        <v>-351.8231206047291</v>
      </c>
      <c r="C39" s="87">
        <f>C23/A40</f>
        <v>-323.41496491076055</v>
      </c>
      <c r="D39" s="61"/>
      <c r="E39" s="97">
        <f>E23/A40</f>
        <v>-254.35660658488413</v>
      </c>
      <c r="F39" s="87">
        <f>F23/A40</f>
        <v>-330.44712040278074</v>
      </c>
      <c r="G39" s="61"/>
      <c r="H39" s="87">
        <f>H23/A40</f>
        <v>-330.44712040278074</v>
      </c>
      <c r="I39" s="61"/>
      <c r="J39" s="162">
        <f>J23/A40</f>
        <v>-348.44300685176734</v>
      </c>
      <c r="K39" s="165"/>
    </row>
    <row r="40" spans="1:11" ht="12.75">
      <c r="A40" s="7">
        <f>A25/A39</f>
        <v>231.46341463414635</v>
      </c>
      <c r="B40" s="96"/>
      <c r="C40" s="87"/>
      <c r="D40" s="61"/>
      <c r="E40" s="97"/>
      <c r="F40" s="87"/>
      <c r="G40" s="61"/>
      <c r="H40" s="87"/>
      <c r="I40" s="61"/>
      <c r="J40" s="166"/>
      <c r="K40" s="165"/>
    </row>
    <row r="41" spans="1:12" ht="12.75">
      <c r="A41" s="1">
        <f>A27+1400</f>
        <v>4300</v>
      </c>
      <c r="B41" s="96">
        <f>B23/A42</f>
        <v>-368.9852240488622</v>
      </c>
      <c r="C41" s="87">
        <f>C23/A42</f>
        <v>-339.19130466250493</v>
      </c>
      <c r="D41" s="61"/>
      <c r="E41" s="97">
        <f>E23/A42</f>
        <v>-266.76424593048824</v>
      </c>
      <c r="F41" s="87">
        <f>F23/A42</f>
        <v>-346.56649212974565</v>
      </c>
      <c r="G41" s="61"/>
      <c r="H41" s="87">
        <f>H23/A42</f>
        <v>-346.56649212974565</v>
      </c>
      <c r="I41" s="61"/>
      <c r="J41" s="162">
        <f>J23/A42</f>
        <v>-365.440226698195</v>
      </c>
      <c r="K41" s="165"/>
      <c r="L41" s="33"/>
    </row>
    <row r="42" spans="1:12" ht="12.75">
      <c r="A42" s="7">
        <f>A25/A41</f>
        <v>220.69767441860466</v>
      </c>
      <c r="B42" s="96"/>
      <c r="C42" s="87"/>
      <c r="D42" s="61"/>
      <c r="E42" s="97"/>
      <c r="F42" s="87"/>
      <c r="G42" s="61"/>
      <c r="H42" s="87"/>
      <c r="I42" s="61"/>
      <c r="J42" s="166"/>
      <c r="K42" s="165"/>
      <c r="L42" s="33"/>
    </row>
    <row r="43" spans="1:12" ht="12.75">
      <c r="A43" s="1">
        <f>A27+1600</f>
        <v>4500</v>
      </c>
      <c r="B43" s="96">
        <f>B23/A44</f>
        <v>-386.1473274929954</v>
      </c>
      <c r="C43" s="87">
        <f>C23/A44</f>
        <v>-354.9676444142494</v>
      </c>
      <c r="D43" s="61"/>
      <c r="E43" s="97">
        <f>E23/A44</f>
        <v>-279.1718852760923</v>
      </c>
      <c r="F43" s="87">
        <f>F23/A44</f>
        <v>-362.68586385671057</v>
      </c>
      <c r="G43" s="61"/>
      <c r="H43" s="87">
        <f>H23/A44</f>
        <v>-362.68586385671057</v>
      </c>
      <c r="I43" s="61"/>
      <c r="J43" s="162">
        <f>J23/A44</f>
        <v>-382.4374465446227</v>
      </c>
      <c r="K43" s="165"/>
      <c r="L43" s="33"/>
    </row>
    <row r="44" spans="1:12" ht="12.75">
      <c r="A44" s="7">
        <f>A25/A43</f>
        <v>210.88888888888889</v>
      </c>
      <c r="B44" s="96"/>
      <c r="C44" s="87"/>
      <c r="D44" s="61"/>
      <c r="E44" s="97"/>
      <c r="F44" s="87"/>
      <c r="G44" s="61"/>
      <c r="H44" s="87"/>
      <c r="I44" s="61"/>
      <c r="J44" s="166"/>
      <c r="K44" s="165"/>
      <c r="L44" s="33"/>
    </row>
    <row r="45" spans="1:12" ht="12.75">
      <c r="A45" s="1">
        <f>A27+1800</f>
        <v>4700</v>
      </c>
      <c r="B45" s="97">
        <f>B23/A46</f>
        <v>-403.30943093712847</v>
      </c>
      <c r="C45" s="87">
        <f>C23/A46</f>
        <v>-370.74398416599377</v>
      </c>
      <c r="D45" s="61"/>
      <c r="E45" s="97">
        <f>E23/A46</f>
        <v>-291.57952462169646</v>
      </c>
      <c r="F45" s="87">
        <f>F23/A46</f>
        <v>-378.8052355836755</v>
      </c>
      <c r="G45" s="61"/>
      <c r="H45" s="87">
        <f>H23/A46</f>
        <v>-378.8052355836755</v>
      </c>
      <c r="I45" s="61"/>
      <c r="J45" s="162">
        <f>J23/A46</f>
        <v>-399.43466639105037</v>
      </c>
      <c r="K45" s="165"/>
      <c r="L45" s="33"/>
    </row>
    <row r="46" spans="1:12" ht="13.5" thickBot="1">
      <c r="A46" s="8">
        <f>A25/A45</f>
        <v>201.91489361702128</v>
      </c>
      <c r="B46" s="98"/>
      <c r="C46" s="87"/>
      <c r="D46" s="61"/>
      <c r="E46" s="97"/>
      <c r="F46" s="99"/>
      <c r="G46" s="100"/>
      <c r="H46" s="99"/>
      <c r="I46" s="100"/>
      <c r="J46" s="166"/>
      <c r="K46" s="165"/>
      <c r="L46" s="33"/>
    </row>
    <row r="47" spans="3:11" ht="12.75">
      <c r="C47" s="40"/>
      <c r="D47" s="40"/>
      <c r="E47" s="40"/>
      <c r="H47" s="2"/>
      <c r="J47" s="40"/>
      <c r="K47" s="40"/>
    </row>
    <row r="48" spans="1:4" ht="12.75">
      <c r="A48" s="9" t="s">
        <v>18</v>
      </c>
      <c r="B48" s="2"/>
      <c r="C48" s="2"/>
      <c r="D48" s="2"/>
    </row>
    <row r="49" ht="12.75">
      <c r="A49" s="10" t="s">
        <v>50</v>
      </c>
    </row>
    <row r="50" ht="12.75">
      <c r="A50" s="11" t="s">
        <v>35</v>
      </c>
    </row>
    <row r="51" ht="12.75">
      <c r="A51" s="11"/>
    </row>
    <row r="52" ht="12.75">
      <c r="A52" s="12"/>
    </row>
  </sheetData>
  <sheetProtection password="C4E7" sheet="1" objects="1" scenarios="1" selectLockedCells="1"/>
  <protectedRanges>
    <protectedRange sqref="F20:I20" name="Range9"/>
    <protectedRange password="DC2F" sqref="E20:E21" name="Range8"/>
    <protectedRange password="DC2F" sqref="C20:D20" name="Range7"/>
    <protectedRange password="DC2F" sqref="B16:B17" name="Range4"/>
    <protectedRange sqref="A5:A7" name="Range10"/>
    <protectedRange sqref="A27" name="Range12"/>
  </protectedRanges>
  <mergeCells count="134">
    <mergeCell ref="J41:K42"/>
    <mergeCell ref="J43:K44"/>
    <mergeCell ref="J45:K46"/>
    <mergeCell ref="J33:K34"/>
    <mergeCell ref="J35:K36"/>
    <mergeCell ref="J37:K38"/>
    <mergeCell ref="J39:K40"/>
    <mergeCell ref="J25:K26"/>
    <mergeCell ref="J27:K28"/>
    <mergeCell ref="J29:K30"/>
    <mergeCell ref="J31:K32"/>
    <mergeCell ref="J20:K20"/>
    <mergeCell ref="J21:K21"/>
    <mergeCell ref="J22:K22"/>
    <mergeCell ref="J23:K23"/>
    <mergeCell ref="J15:K15"/>
    <mergeCell ref="J16:K16"/>
    <mergeCell ref="J17:K17"/>
    <mergeCell ref="J19:K19"/>
    <mergeCell ref="J5:K5"/>
    <mergeCell ref="J1:K4"/>
    <mergeCell ref="J6:K6"/>
    <mergeCell ref="J7:K7"/>
    <mergeCell ref="J8:K8"/>
    <mergeCell ref="J9:K9"/>
    <mergeCell ref="J11:K11"/>
    <mergeCell ref="J12:K12"/>
    <mergeCell ref="E10:E13"/>
    <mergeCell ref="F10:G13"/>
    <mergeCell ref="H10:I13"/>
    <mergeCell ref="J13:K13"/>
    <mergeCell ref="C8:D8"/>
    <mergeCell ref="A22:A23"/>
    <mergeCell ref="C20:D20"/>
    <mergeCell ref="C21:D21"/>
    <mergeCell ref="C23:D23"/>
    <mergeCell ref="A14:A17"/>
    <mergeCell ref="A10:A13"/>
    <mergeCell ref="B10:B13"/>
    <mergeCell ref="C10:D13"/>
    <mergeCell ref="A1:A3"/>
    <mergeCell ref="C5:D5"/>
    <mergeCell ref="C6:D6"/>
    <mergeCell ref="C7:D7"/>
    <mergeCell ref="B1:B4"/>
    <mergeCell ref="F39:G40"/>
    <mergeCell ref="F41:G42"/>
    <mergeCell ref="F35:G36"/>
    <mergeCell ref="C16:D16"/>
    <mergeCell ref="C17:D17"/>
    <mergeCell ref="C19:D19"/>
    <mergeCell ref="F29:G30"/>
    <mergeCell ref="F31:G32"/>
    <mergeCell ref="F33:G34"/>
    <mergeCell ref="F37:G38"/>
    <mergeCell ref="F5:G5"/>
    <mergeCell ref="F16:G16"/>
    <mergeCell ref="F15:G15"/>
    <mergeCell ref="F7:G7"/>
    <mergeCell ref="F6:G6"/>
    <mergeCell ref="F8:G8"/>
    <mergeCell ref="F20:G20"/>
    <mergeCell ref="F21:G21"/>
    <mergeCell ref="F19:G19"/>
    <mergeCell ref="F17:G17"/>
    <mergeCell ref="E14:E17"/>
    <mergeCell ref="A18:A21"/>
    <mergeCell ref="B18:B21"/>
    <mergeCell ref="C15:D15"/>
    <mergeCell ref="F23:G23"/>
    <mergeCell ref="B27:B28"/>
    <mergeCell ref="B29:B30"/>
    <mergeCell ref="C27:D28"/>
    <mergeCell ref="C29:D30"/>
    <mergeCell ref="F27:G28"/>
    <mergeCell ref="F25:G26"/>
    <mergeCell ref="B25:B26"/>
    <mergeCell ref="C25:D26"/>
    <mergeCell ref="E25:E26"/>
    <mergeCell ref="C31:D32"/>
    <mergeCell ref="C33:D34"/>
    <mergeCell ref="C35:D36"/>
    <mergeCell ref="C37:D38"/>
    <mergeCell ref="C39:D40"/>
    <mergeCell ref="C41:D42"/>
    <mergeCell ref="C43:D44"/>
    <mergeCell ref="C45:D4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F45:G46"/>
    <mergeCell ref="F43:G44"/>
    <mergeCell ref="H39:I40"/>
    <mergeCell ref="H41:I42"/>
    <mergeCell ref="H43:I44"/>
    <mergeCell ref="H45:I46"/>
    <mergeCell ref="B31:B32"/>
    <mergeCell ref="B33:B34"/>
    <mergeCell ref="B35:B36"/>
    <mergeCell ref="B37:B38"/>
    <mergeCell ref="B39:B40"/>
    <mergeCell ref="B41:B42"/>
    <mergeCell ref="B43:B44"/>
    <mergeCell ref="B45:B46"/>
    <mergeCell ref="H31:I32"/>
    <mergeCell ref="H33:I34"/>
    <mergeCell ref="H35:I36"/>
    <mergeCell ref="H37:I38"/>
    <mergeCell ref="H1:I4"/>
    <mergeCell ref="H5:I5"/>
    <mergeCell ref="H27:I28"/>
    <mergeCell ref="H29:I30"/>
    <mergeCell ref="H17:I17"/>
    <mergeCell ref="H25:I26"/>
    <mergeCell ref="H21:I21"/>
    <mergeCell ref="H15:I15"/>
    <mergeCell ref="H16:I16"/>
    <mergeCell ref="E1:E4"/>
    <mergeCell ref="F1:G4"/>
    <mergeCell ref="C1:D4"/>
    <mergeCell ref="A24:K24"/>
    <mergeCell ref="H7:I7"/>
    <mergeCell ref="H6:I6"/>
    <mergeCell ref="H8:I8"/>
    <mergeCell ref="H23:I23"/>
    <mergeCell ref="H19:I19"/>
    <mergeCell ref="H20:I20"/>
  </mergeCells>
  <conditionalFormatting sqref="E6">
    <cfRule type="expression" priority="1" dxfId="1" stopIfTrue="1">
      <formula>A5-A7&gt;200000</formula>
    </cfRule>
  </conditionalFormatting>
  <conditionalFormatting sqref="E7">
    <cfRule type="expression" priority="2" dxfId="1" stopIfTrue="1">
      <formula>A5-A7&gt;200000</formula>
    </cfRule>
  </conditionalFormatting>
  <conditionalFormatting sqref="E8">
    <cfRule type="expression" priority="3" dxfId="1" stopIfTrue="1">
      <formula>A5-A7&gt;200000</formula>
    </cfRule>
  </conditionalFormatting>
  <conditionalFormatting sqref="E18">
    <cfRule type="expression" priority="4" dxfId="1" stopIfTrue="1">
      <formula>A5-A7&gt;200000</formula>
    </cfRule>
  </conditionalFormatting>
  <conditionalFormatting sqref="E19">
    <cfRule type="expression" priority="5" dxfId="1" stopIfTrue="1">
      <formula>A5-A7&gt;200000</formula>
    </cfRule>
  </conditionalFormatting>
  <conditionalFormatting sqref="E20">
    <cfRule type="expression" priority="6" dxfId="1" stopIfTrue="1">
      <formula>A5-A7&gt;200000</formula>
    </cfRule>
  </conditionalFormatting>
  <conditionalFormatting sqref="E21">
    <cfRule type="expression" priority="7" dxfId="1" stopIfTrue="1">
      <formula>A5-A7&gt;200000</formula>
    </cfRule>
  </conditionalFormatting>
  <conditionalFormatting sqref="E23">
    <cfRule type="expression" priority="8" dxfId="1" stopIfTrue="1">
      <formula>A5-A7&gt;200000</formula>
    </cfRule>
  </conditionalFormatting>
  <conditionalFormatting sqref="C5">
    <cfRule type="expression" priority="9" dxfId="1" stopIfTrue="1">
      <formula>A5&gt;250000</formula>
    </cfRule>
  </conditionalFormatting>
  <conditionalFormatting sqref="C6:D6">
    <cfRule type="expression" priority="10" dxfId="1" stopIfTrue="1">
      <formula>A5&gt;250000</formula>
    </cfRule>
  </conditionalFormatting>
  <conditionalFormatting sqref="C7:D7">
    <cfRule type="expression" priority="11" dxfId="1" stopIfTrue="1">
      <formula>A5&gt;250000</formula>
    </cfRule>
  </conditionalFormatting>
  <conditionalFormatting sqref="C8:D8">
    <cfRule type="expression" priority="12" dxfId="1" stopIfTrue="1">
      <formula>A5&gt;250000</formula>
    </cfRule>
  </conditionalFormatting>
  <conditionalFormatting sqref="C14">
    <cfRule type="expression" priority="13" dxfId="1" stopIfTrue="1">
      <formula>A5&gt;250000</formula>
    </cfRule>
  </conditionalFormatting>
  <conditionalFormatting sqref="D14">
    <cfRule type="expression" priority="14" dxfId="1" stopIfTrue="1">
      <formula>A5&gt;250000</formula>
    </cfRule>
  </conditionalFormatting>
  <conditionalFormatting sqref="C15:D15">
    <cfRule type="expression" priority="15" dxfId="1" stopIfTrue="1">
      <formula>A5&gt;250000</formula>
    </cfRule>
  </conditionalFormatting>
  <conditionalFormatting sqref="C16:D16">
    <cfRule type="expression" priority="16" dxfId="1" stopIfTrue="1">
      <formula>A5&gt;250000</formula>
    </cfRule>
  </conditionalFormatting>
  <conditionalFormatting sqref="C17:D17">
    <cfRule type="expression" priority="17" dxfId="1" stopIfTrue="1">
      <formula>A5&gt;250000</formula>
    </cfRule>
  </conditionalFormatting>
  <conditionalFormatting sqref="C18">
    <cfRule type="expression" priority="18" dxfId="1" stopIfTrue="1">
      <formula>A5&gt;250000</formula>
    </cfRule>
  </conditionalFormatting>
  <conditionalFormatting sqref="D18">
    <cfRule type="expression" priority="19" dxfId="1" stopIfTrue="1">
      <formula>A5&gt;250000</formula>
    </cfRule>
  </conditionalFormatting>
  <conditionalFormatting sqref="C19:D19">
    <cfRule type="expression" priority="20" dxfId="1" stopIfTrue="1">
      <formula>A5&gt;250000</formula>
    </cfRule>
  </conditionalFormatting>
  <conditionalFormatting sqref="C20:D20">
    <cfRule type="expression" priority="21" dxfId="1" stopIfTrue="1">
      <formula>A5&gt;250000</formula>
    </cfRule>
  </conditionalFormatting>
  <conditionalFormatting sqref="C21:D21">
    <cfRule type="expression" priority="22" dxfId="1" stopIfTrue="1">
      <formula>A5&gt;250000</formula>
    </cfRule>
  </conditionalFormatting>
  <conditionalFormatting sqref="C23:D23">
    <cfRule type="expression" priority="23" dxfId="1" stopIfTrue="1">
      <formula>A5&gt;250000</formula>
    </cfRule>
  </conditionalFormatting>
  <conditionalFormatting sqref="E27:E28">
    <cfRule type="expression" priority="24" dxfId="1" stopIfTrue="1">
      <formula>A5-A7&gt;200000</formula>
    </cfRule>
  </conditionalFormatting>
  <conditionalFormatting sqref="E29:E30">
    <cfRule type="expression" priority="25" dxfId="1" stopIfTrue="1">
      <formula>A5-A7&gt;200000</formula>
    </cfRule>
  </conditionalFormatting>
  <conditionalFormatting sqref="E31:E32">
    <cfRule type="expression" priority="26" dxfId="1" stopIfTrue="1">
      <formula>A5-A7&gt;200000</formula>
    </cfRule>
  </conditionalFormatting>
  <conditionalFormatting sqref="E33:E34">
    <cfRule type="expression" priority="27" dxfId="1" stopIfTrue="1">
      <formula>A5-A7&gt;200000</formula>
    </cfRule>
  </conditionalFormatting>
  <conditionalFormatting sqref="E35:E36">
    <cfRule type="expression" priority="28" dxfId="1" stopIfTrue="1">
      <formula>A5-A7&gt;200000</formula>
    </cfRule>
  </conditionalFormatting>
  <conditionalFormatting sqref="E37:E38">
    <cfRule type="expression" priority="29" dxfId="1" stopIfTrue="1">
      <formula>A5-A7&gt;200000</formula>
    </cfRule>
  </conditionalFormatting>
  <conditionalFormatting sqref="E39:E40">
    <cfRule type="expression" priority="30" dxfId="1" stopIfTrue="1">
      <formula>A5-A7&gt;200000</formula>
    </cfRule>
  </conditionalFormatting>
  <conditionalFormatting sqref="E41:E42">
    <cfRule type="expression" priority="31" dxfId="1" stopIfTrue="1">
      <formula>A5-A7&gt;200000</formula>
    </cfRule>
  </conditionalFormatting>
  <conditionalFormatting sqref="E43:E44">
    <cfRule type="expression" priority="32" dxfId="1" stopIfTrue="1">
      <formula>A5-A7&gt;200000</formula>
    </cfRule>
  </conditionalFormatting>
  <conditionalFormatting sqref="E45:E46">
    <cfRule type="expression" priority="33" dxfId="1" stopIfTrue="1">
      <formula>A5-A7&gt;200000</formula>
    </cfRule>
  </conditionalFormatting>
  <conditionalFormatting sqref="C27:D28">
    <cfRule type="expression" priority="34" dxfId="1" stopIfTrue="1">
      <formula>A5&gt;250000</formula>
    </cfRule>
  </conditionalFormatting>
  <conditionalFormatting sqref="C29:D30">
    <cfRule type="expression" priority="35" dxfId="1" stopIfTrue="1">
      <formula>A5&gt;250000</formula>
    </cfRule>
  </conditionalFormatting>
  <conditionalFormatting sqref="C31:D32">
    <cfRule type="expression" priority="36" dxfId="1" stopIfTrue="1">
      <formula>A5&gt;250000</formula>
    </cfRule>
  </conditionalFormatting>
  <conditionalFormatting sqref="C33:D34">
    <cfRule type="expression" priority="37" dxfId="1" stopIfTrue="1">
      <formula>A5&gt;250000</formula>
    </cfRule>
  </conditionalFormatting>
  <conditionalFormatting sqref="C35:D36">
    <cfRule type="expression" priority="38" dxfId="1" stopIfTrue="1">
      <formula>A5&gt;250000</formula>
    </cfRule>
  </conditionalFormatting>
  <conditionalFormatting sqref="C37:D38">
    <cfRule type="expression" priority="39" dxfId="1" stopIfTrue="1">
      <formula>A5&gt;250000</formula>
    </cfRule>
  </conditionalFormatting>
  <conditionalFormatting sqref="C39:D40">
    <cfRule type="expression" priority="40" dxfId="1" stopIfTrue="1">
      <formula>A5&gt;250000</formula>
    </cfRule>
  </conditionalFormatting>
  <conditionalFormatting sqref="C41:D42">
    <cfRule type="expression" priority="41" dxfId="1" stopIfTrue="1">
      <formula>A5&gt;250000</formula>
    </cfRule>
  </conditionalFormatting>
  <conditionalFormatting sqref="C43:D44">
    <cfRule type="expression" priority="42" dxfId="1" stopIfTrue="1">
      <formula>A5&gt;250000</formula>
    </cfRule>
  </conditionalFormatting>
  <conditionalFormatting sqref="C45:D46">
    <cfRule type="expression" priority="43" dxfId="1" stopIfTrue="1">
      <formula>A5&gt;250000</formula>
    </cfRule>
  </conditionalFormatting>
  <conditionalFormatting sqref="B14">
    <cfRule type="expression" priority="44" dxfId="1" stopIfTrue="1">
      <formula>A5-A7&gt;899000</formula>
    </cfRule>
  </conditionalFormatting>
  <conditionalFormatting sqref="E5">
    <cfRule type="expression" priority="45" dxfId="1" stopIfTrue="1">
      <formula>A5-A7&gt;200000</formula>
    </cfRule>
  </conditionalFormatting>
  <conditionalFormatting sqref="F7:G7">
    <cfRule type="expression" priority="46" dxfId="1" stopIfTrue="1">
      <formula>A5-A7&gt;400000</formula>
    </cfRule>
  </conditionalFormatting>
  <conditionalFormatting sqref="F8:G8">
    <cfRule type="expression" priority="47" dxfId="1" stopIfTrue="1">
      <formula>A5-A7&gt;400000</formula>
    </cfRule>
  </conditionalFormatting>
  <conditionalFormatting sqref="G14">
    <cfRule type="expression" priority="48" dxfId="1" stopIfTrue="1">
      <formula>A5-A7&gt;400000</formula>
    </cfRule>
  </conditionalFormatting>
  <conditionalFormatting sqref="F14">
    <cfRule type="expression" priority="49" dxfId="1" stopIfTrue="1">
      <formula>A5-A7&gt;400000</formula>
    </cfRule>
  </conditionalFormatting>
  <conditionalFormatting sqref="F15:G15">
    <cfRule type="expression" priority="50" dxfId="1" stopIfTrue="1">
      <formula>A5-A7&gt;400000</formula>
    </cfRule>
  </conditionalFormatting>
  <conditionalFormatting sqref="F16:G16">
    <cfRule type="expression" priority="51" dxfId="1" stopIfTrue="1">
      <formula>A5-A7&gt;400000</formula>
    </cfRule>
  </conditionalFormatting>
  <conditionalFormatting sqref="F17:G17">
    <cfRule type="expression" priority="52" dxfId="1" stopIfTrue="1">
      <formula>A5-A7&gt;400000</formula>
    </cfRule>
  </conditionalFormatting>
  <conditionalFormatting sqref="G18">
    <cfRule type="expression" priority="53" dxfId="1" stopIfTrue="1">
      <formula>A5-A7&gt;400000</formula>
    </cfRule>
  </conditionalFormatting>
  <conditionalFormatting sqref="F18">
    <cfRule type="expression" priority="54" dxfId="1" stopIfTrue="1">
      <formula>A5-A7&gt;400000</formula>
    </cfRule>
  </conditionalFormatting>
  <conditionalFormatting sqref="F19:G19">
    <cfRule type="expression" priority="55" dxfId="1" stopIfTrue="1">
      <formula>A5-A7&gt;400000</formula>
    </cfRule>
  </conditionalFormatting>
  <conditionalFormatting sqref="F20:G20">
    <cfRule type="expression" priority="56" dxfId="1" stopIfTrue="1">
      <formula>A5-A7&gt;400000</formula>
    </cfRule>
  </conditionalFormatting>
  <conditionalFormatting sqref="F21:G21">
    <cfRule type="expression" priority="57" dxfId="1" stopIfTrue="1">
      <formula>A5-A7&gt;400000</formula>
    </cfRule>
  </conditionalFormatting>
  <conditionalFormatting sqref="F23:G23">
    <cfRule type="expression" priority="58" dxfId="1" stopIfTrue="1">
      <formula>A5-A7&gt;400000</formula>
    </cfRule>
  </conditionalFormatting>
  <conditionalFormatting sqref="F27:G28">
    <cfRule type="expression" priority="59" dxfId="1" stopIfTrue="1">
      <formula>A5-A7&gt;400000</formula>
    </cfRule>
  </conditionalFormatting>
  <conditionalFormatting sqref="F29:G30">
    <cfRule type="expression" priority="60" dxfId="1" stopIfTrue="1">
      <formula>A5-A7&gt;400000</formula>
    </cfRule>
  </conditionalFormatting>
  <conditionalFormatting sqref="F31:G32">
    <cfRule type="expression" priority="61" dxfId="1" stopIfTrue="1">
      <formula>A5-A7&gt;400000</formula>
    </cfRule>
  </conditionalFormatting>
  <conditionalFormatting sqref="F33:G34">
    <cfRule type="expression" priority="62" dxfId="1" stopIfTrue="1">
      <formula>A5-A7&gt;400000</formula>
    </cfRule>
  </conditionalFormatting>
  <conditionalFormatting sqref="F35:G36">
    <cfRule type="expression" priority="63" dxfId="1" stopIfTrue="1">
      <formula>A5-A7&gt;400000</formula>
    </cfRule>
  </conditionalFormatting>
  <conditionalFormatting sqref="F37:G38">
    <cfRule type="expression" priority="64" dxfId="1" stopIfTrue="1">
      <formula>A5-A7&gt;400000</formula>
    </cfRule>
  </conditionalFormatting>
  <conditionalFormatting sqref="F39:G40">
    <cfRule type="expression" priority="65" dxfId="1" stopIfTrue="1">
      <formula>A5-A7&gt;400000</formula>
    </cfRule>
  </conditionalFormatting>
  <conditionalFormatting sqref="F41:G42">
    <cfRule type="expression" priority="66" dxfId="1" stopIfTrue="1">
      <formula>A5-A7&gt;400000</formula>
    </cfRule>
  </conditionalFormatting>
  <conditionalFormatting sqref="F43:G44">
    <cfRule type="expression" priority="67" dxfId="1" stopIfTrue="1">
      <formula>A5-A7&gt;400000</formula>
    </cfRule>
  </conditionalFormatting>
  <conditionalFormatting sqref="F45:G46">
    <cfRule type="expression" priority="68" dxfId="1" stopIfTrue="1">
      <formula>A5-A7&gt;400000</formula>
    </cfRule>
  </conditionalFormatting>
  <conditionalFormatting sqref="B5">
    <cfRule type="expression" priority="69" dxfId="1" stopIfTrue="1">
      <formula>A5-A7&gt;949000</formula>
    </cfRule>
  </conditionalFormatting>
  <conditionalFormatting sqref="B6">
    <cfRule type="expression" priority="70" dxfId="1" stopIfTrue="1">
      <formula>A5-A7&gt;949000</formula>
    </cfRule>
  </conditionalFormatting>
  <conditionalFormatting sqref="B7">
    <cfRule type="expression" priority="71" dxfId="1" stopIfTrue="1">
      <formula>A5-A7&gt;949000</formula>
    </cfRule>
  </conditionalFormatting>
  <conditionalFormatting sqref="B8">
    <cfRule type="expression" priority="72" dxfId="1" stopIfTrue="1">
      <formula>A5-A7&gt;949000</formula>
    </cfRule>
  </conditionalFormatting>
  <conditionalFormatting sqref="B15">
    <cfRule type="expression" priority="73" dxfId="1" stopIfTrue="1">
      <formula>A5-A7&gt;949000</formula>
    </cfRule>
  </conditionalFormatting>
  <conditionalFormatting sqref="B17">
    <cfRule type="expression" priority="74" dxfId="1" stopIfTrue="1">
      <formula>A5-A7&gt;949000</formula>
    </cfRule>
  </conditionalFormatting>
  <conditionalFormatting sqref="B16">
    <cfRule type="expression" priority="75" dxfId="1" stopIfTrue="1">
      <formula>A5-A7&gt;949000</formula>
    </cfRule>
  </conditionalFormatting>
  <conditionalFormatting sqref="B23">
    <cfRule type="expression" priority="76" dxfId="1" stopIfTrue="1">
      <formula>A5-A7&gt;949000</formula>
    </cfRule>
  </conditionalFormatting>
  <conditionalFormatting sqref="B27:B28">
    <cfRule type="expression" priority="77" dxfId="1" stopIfTrue="1">
      <formula>A5-A7&gt;949000</formula>
    </cfRule>
  </conditionalFormatting>
  <conditionalFormatting sqref="B29:B30">
    <cfRule type="expression" priority="78" dxfId="1" stopIfTrue="1">
      <formula>A5-A7&gt;949000</formula>
    </cfRule>
  </conditionalFormatting>
  <conditionalFormatting sqref="B31:B32">
    <cfRule type="expression" priority="79" dxfId="1" stopIfTrue="1">
      <formula>A5-A7&gt;949000</formula>
    </cfRule>
  </conditionalFormatting>
  <conditionalFormatting sqref="B33:B34">
    <cfRule type="expression" priority="80" dxfId="1" stopIfTrue="1">
      <formula>A5-A7&gt;949000</formula>
    </cfRule>
  </conditionalFormatting>
  <conditionalFormatting sqref="B35:B36">
    <cfRule type="expression" priority="81" dxfId="1" stopIfTrue="1">
      <formula>A5-A7&gt;949000</formula>
    </cfRule>
  </conditionalFormatting>
  <conditionalFormatting sqref="B37:B38">
    <cfRule type="expression" priority="82" dxfId="1" stopIfTrue="1">
      <formula>A5-A7&gt;949000</formula>
    </cfRule>
  </conditionalFormatting>
  <conditionalFormatting sqref="B39:B40">
    <cfRule type="expression" priority="83" dxfId="1" stopIfTrue="1">
      <formula>A5-A7&gt;949000</formula>
    </cfRule>
  </conditionalFormatting>
  <conditionalFormatting sqref="B41:B42">
    <cfRule type="expression" priority="84" dxfId="1" stopIfTrue="1">
      <formula>A5-A7&gt;949000</formula>
    </cfRule>
  </conditionalFormatting>
  <conditionalFormatting sqref="B43:B44">
    <cfRule type="expression" priority="85" dxfId="1" stopIfTrue="1">
      <formula>A5-A7&gt;949000</formula>
    </cfRule>
  </conditionalFormatting>
  <conditionalFormatting sqref="B45:B46">
    <cfRule type="expression" priority="86" dxfId="1" stopIfTrue="1">
      <formula>A5-A7&gt;949000</formula>
    </cfRule>
  </conditionalFormatting>
  <conditionalFormatting sqref="F5:G5">
    <cfRule type="expression" priority="87" dxfId="1" stopIfTrue="1">
      <formula>A5-A7&gt;400000</formula>
    </cfRule>
  </conditionalFormatting>
  <conditionalFormatting sqref="H5:I5">
    <cfRule type="expression" priority="88" dxfId="1" stopIfTrue="1">
      <formula>H15&gt;749000</formula>
    </cfRule>
    <cfRule type="expression" priority="89" dxfId="1" stopIfTrue="1">
      <formula>H19&gt;200000</formula>
    </cfRule>
  </conditionalFormatting>
  <conditionalFormatting sqref="J5:K5">
    <cfRule type="expression" priority="90" dxfId="1" stopIfTrue="1">
      <formula>J15&gt;749000</formula>
    </cfRule>
    <cfRule type="expression" priority="91" dxfId="1" stopIfTrue="1">
      <formula>J19&gt;200000</formula>
    </cfRule>
    <cfRule type="expression" priority="92" dxfId="1" stopIfTrue="1">
      <formula>J8-J15-J19&lt;&gt;J11</formula>
    </cfRule>
  </conditionalFormatting>
  <conditionalFormatting sqref="J6:K6">
    <cfRule type="expression" priority="93" dxfId="1" stopIfTrue="1">
      <formula>J15&gt;749000</formula>
    </cfRule>
    <cfRule type="expression" priority="94" dxfId="1" stopIfTrue="1">
      <formula>J19&gt;200000</formula>
    </cfRule>
    <cfRule type="expression" priority="95" dxfId="1" stopIfTrue="1">
      <formula>J8-J15-J19&lt;&gt;J11</formula>
    </cfRule>
  </conditionalFormatting>
  <conditionalFormatting sqref="J8:K8">
    <cfRule type="expression" priority="96" dxfId="1" stopIfTrue="1">
      <formula>J15&gt;749000</formula>
    </cfRule>
    <cfRule type="expression" priority="97" dxfId="1" stopIfTrue="1">
      <formula>J19&gt;200000</formula>
    </cfRule>
    <cfRule type="expression" priority="98" dxfId="1" stopIfTrue="1">
      <formula>J8-J15-J19&lt;&gt;J11</formula>
    </cfRule>
  </conditionalFormatting>
  <conditionalFormatting sqref="J7:K7">
    <cfRule type="expression" priority="99" dxfId="1" stopIfTrue="1">
      <formula>J15&gt;749000</formula>
    </cfRule>
    <cfRule type="expression" priority="100" dxfId="1" stopIfTrue="1">
      <formula>J19&gt;200000</formula>
    </cfRule>
    <cfRule type="expression" priority="101" dxfId="1" stopIfTrue="1">
      <formula>J8-J15-J19&lt;&gt;J11</formula>
    </cfRule>
  </conditionalFormatting>
  <conditionalFormatting sqref="J10">
    <cfRule type="expression" priority="102" dxfId="1" stopIfTrue="1">
      <formula>J15&gt;749000</formula>
    </cfRule>
    <cfRule type="expression" priority="103" dxfId="1" stopIfTrue="1">
      <formula>J19&gt;200000</formula>
    </cfRule>
    <cfRule type="expression" priority="104" dxfId="1" stopIfTrue="1">
      <formula>J8-J15-J19&lt;&gt;J11</formula>
    </cfRule>
  </conditionalFormatting>
  <conditionalFormatting sqref="K10">
    <cfRule type="expression" priority="105" dxfId="1" stopIfTrue="1">
      <formula>J15&gt;749000</formula>
    </cfRule>
    <cfRule type="expression" priority="106" dxfId="1" stopIfTrue="1">
      <formula>J19&gt;200000</formula>
    </cfRule>
    <cfRule type="expression" priority="107" dxfId="1" stopIfTrue="1">
      <formula>J8-J15-J19&lt;&gt;J11</formula>
    </cfRule>
  </conditionalFormatting>
  <conditionalFormatting sqref="J11:K11">
    <cfRule type="expression" priority="108" dxfId="1" stopIfTrue="1">
      <formula>J15&gt;749000</formula>
    </cfRule>
    <cfRule type="expression" priority="109" dxfId="1" stopIfTrue="1">
      <formula>J19&gt;200000</formula>
    </cfRule>
    <cfRule type="expression" priority="110" dxfId="1" stopIfTrue="1">
      <formula>J8-J15-J19&lt;&gt;J11</formula>
    </cfRule>
  </conditionalFormatting>
  <conditionalFormatting sqref="J12:K12">
    <cfRule type="expression" priority="111" dxfId="1" stopIfTrue="1">
      <formula>J15&gt;749000</formula>
    </cfRule>
    <cfRule type="expression" priority="112" dxfId="1" stopIfTrue="1">
      <formula>J19&gt;200000</formula>
    </cfRule>
    <cfRule type="expression" priority="113" dxfId="1" stopIfTrue="1">
      <formula>J8-J15-J19&lt;&gt;J11</formula>
    </cfRule>
  </conditionalFormatting>
  <conditionalFormatting sqref="J13:K13">
    <cfRule type="expression" priority="114" dxfId="1" stopIfTrue="1">
      <formula>J15&gt;749000</formula>
    </cfRule>
    <cfRule type="expression" priority="115" dxfId="1" stopIfTrue="1">
      <formula>J19&gt;200000</formula>
    </cfRule>
    <cfRule type="expression" priority="116" dxfId="1" stopIfTrue="1">
      <formula>J8-J15-J19&lt;&gt;J11</formula>
    </cfRule>
  </conditionalFormatting>
  <conditionalFormatting sqref="J14">
    <cfRule type="expression" priority="117" dxfId="1" stopIfTrue="1">
      <formula>J15&gt;749000</formula>
    </cfRule>
    <cfRule type="expression" priority="118" dxfId="1" stopIfTrue="1">
      <formula>J19&gt;200000</formula>
    </cfRule>
    <cfRule type="expression" priority="119" dxfId="1" stopIfTrue="1">
      <formula>J8-J15-J19&lt;&gt;J11</formula>
    </cfRule>
  </conditionalFormatting>
  <conditionalFormatting sqref="K14">
    <cfRule type="expression" priority="120" dxfId="1" stopIfTrue="1">
      <formula>J15&gt;749000</formula>
    </cfRule>
    <cfRule type="expression" priority="121" dxfId="1" stopIfTrue="1">
      <formula>J19&gt;200000</formula>
    </cfRule>
    <cfRule type="expression" priority="122" dxfId="1" stopIfTrue="1">
      <formula>J8-J15-J19&lt;&gt;J11</formula>
    </cfRule>
  </conditionalFormatting>
  <conditionalFormatting sqref="J15:K15">
    <cfRule type="expression" priority="123" dxfId="1" stopIfTrue="1">
      <formula>J15&gt;749000</formula>
    </cfRule>
    <cfRule type="expression" priority="124" dxfId="1" stopIfTrue="1">
      <formula>J19&gt;200000</formula>
    </cfRule>
    <cfRule type="expression" priority="125" dxfId="1" stopIfTrue="1">
      <formula>J8-J15-J19&lt;&gt;J11</formula>
    </cfRule>
  </conditionalFormatting>
  <conditionalFormatting sqref="J16:K16">
    <cfRule type="expression" priority="126" dxfId="1" stopIfTrue="1">
      <formula>J15&gt;749000</formula>
    </cfRule>
    <cfRule type="expression" priority="127" dxfId="1" stopIfTrue="1">
      <formula>J19&gt;200000</formula>
    </cfRule>
    <cfRule type="expression" priority="128" dxfId="1" stopIfTrue="1">
      <formula>J8-J15-J19&lt;&gt;J11</formula>
    </cfRule>
  </conditionalFormatting>
  <conditionalFormatting sqref="J17:K17">
    <cfRule type="expression" priority="129" dxfId="1" stopIfTrue="1">
      <formula>J15&gt;749000</formula>
    </cfRule>
    <cfRule type="expression" priority="130" dxfId="1" stopIfTrue="1">
      <formula>J19&gt;200000</formula>
    </cfRule>
    <cfRule type="expression" priority="131" dxfId="1" stopIfTrue="1">
      <formula>J8-J15-J19&lt;&gt;J11</formula>
    </cfRule>
  </conditionalFormatting>
  <conditionalFormatting sqref="J18">
    <cfRule type="expression" priority="132" dxfId="1" stopIfTrue="1">
      <formula>J15&gt;749000</formula>
    </cfRule>
    <cfRule type="expression" priority="133" dxfId="1" stopIfTrue="1">
      <formula>J19&gt;200000</formula>
    </cfRule>
    <cfRule type="expression" priority="134" dxfId="1" stopIfTrue="1">
      <formula>J8-J15-J19&lt;&gt;J11</formula>
    </cfRule>
  </conditionalFormatting>
  <conditionalFormatting sqref="K18">
    <cfRule type="expression" priority="135" dxfId="1" stopIfTrue="1">
      <formula>J15&gt;749000</formula>
    </cfRule>
    <cfRule type="expression" priority="136" dxfId="1" stopIfTrue="1">
      <formula>J19&gt;200000</formula>
    </cfRule>
    <cfRule type="expression" priority="137" dxfId="1" stopIfTrue="1">
      <formula>J8-J15-J19&lt;&gt;J11</formula>
    </cfRule>
  </conditionalFormatting>
  <conditionalFormatting sqref="J19:K19">
    <cfRule type="expression" priority="138" dxfId="1" stopIfTrue="1">
      <formula>J15&gt;749000</formula>
    </cfRule>
    <cfRule type="expression" priority="139" dxfId="1" stopIfTrue="1">
      <formula>J19&gt;200000</formula>
    </cfRule>
    <cfRule type="expression" priority="140" dxfId="1" stopIfTrue="1">
      <formula>J8-J15-J19&lt;&gt;J11</formula>
    </cfRule>
  </conditionalFormatting>
  <conditionalFormatting sqref="J20:K20">
    <cfRule type="expression" priority="141" dxfId="1" stopIfTrue="1">
      <formula>J15&gt;749000</formula>
    </cfRule>
    <cfRule type="expression" priority="142" dxfId="1" stopIfTrue="1">
      <formula>J19&gt;200000</formula>
    </cfRule>
    <cfRule type="expression" priority="143" dxfId="1" stopIfTrue="1">
      <formula>J8-J15-J19&lt;&gt;J11</formula>
    </cfRule>
  </conditionalFormatting>
  <conditionalFormatting sqref="J21:K21">
    <cfRule type="expression" priority="144" dxfId="1" stopIfTrue="1">
      <formula>J15&gt;749000</formula>
    </cfRule>
    <cfRule type="expression" priority="145" dxfId="1" stopIfTrue="1">
      <formula>J19&gt;200000</formula>
    </cfRule>
    <cfRule type="expression" priority="146" dxfId="1" stopIfTrue="1">
      <formula>J8-J15-J19&lt;&gt;J11</formula>
    </cfRule>
  </conditionalFormatting>
  <conditionalFormatting sqref="J23">
    <cfRule type="expression" priority="147" dxfId="1" stopIfTrue="1">
      <formula>J15&gt;749000</formula>
    </cfRule>
    <cfRule type="expression" priority="148" dxfId="1" stopIfTrue="1">
      <formula>J19&gt;200000</formula>
    </cfRule>
    <cfRule type="expression" priority="149" dxfId="1" stopIfTrue="1">
      <formula>J8-J15-J19&lt;&gt;J11</formula>
    </cfRule>
  </conditionalFormatting>
  <conditionalFormatting sqref="J27:K28">
    <cfRule type="expression" priority="150" dxfId="1" stopIfTrue="1">
      <formula>J15&gt;749000</formula>
    </cfRule>
    <cfRule type="expression" priority="151" dxfId="1" stopIfTrue="1">
      <formula>J19&gt;200000</formula>
    </cfRule>
    <cfRule type="expression" priority="152" dxfId="1" stopIfTrue="1">
      <formula>J8-J15-J19&lt;&gt;J11</formula>
    </cfRule>
  </conditionalFormatting>
  <conditionalFormatting sqref="J29:K30">
    <cfRule type="expression" priority="153" dxfId="1" stopIfTrue="1">
      <formula>J15&gt;749000</formula>
    </cfRule>
    <cfRule type="expression" priority="154" dxfId="1" stopIfTrue="1">
      <formula>J19&gt;200000</formula>
    </cfRule>
    <cfRule type="expression" priority="155" dxfId="1" stopIfTrue="1">
      <formula>J8-J15-J19&lt;&gt;J11</formula>
    </cfRule>
  </conditionalFormatting>
  <conditionalFormatting sqref="J31:K32">
    <cfRule type="expression" priority="156" dxfId="1" stopIfTrue="1">
      <formula>J15&gt;749000</formula>
    </cfRule>
    <cfRule type="expression" priority="157" dxfId="1" stopIfTrue="1">
      <formula>J19&gt;200000</formula>
    </cfRule>
    <cfRule type="expression" priority="158" dxfId="1" stopIfTrue="1">
      <formula>J8-J15-J19&lt;&gt;J11</formula>
    </cfRule>
  </conditionalFormatting>
  <conditionalFormatting sqref="J33:K34">
    <cfRule type="expression" priority="159" dxfId="1" stopIfTrue="1">
      <formula>J15&gt;749000</formula>
    </cfRule>
    <cfRule type="expression" priority="160" dxfId="1" stopIfTrue="1">
      <formula>J19&gt;200000</formula>
    </cfRule>
    <cfRule type="expression" priority="161" dxfId="1" stopIfTrue="1">
      <formula>J8-J15-J19&lt;&gt;J11</formula>
    </cfRule>
  </conditionalFormatting>
  <conditionalFormatting sqref="J35:K36">
    <cfRule type="expression" priority="162" dxfId="1" stopIfTrue="1">
      <formula>J15&gt;749000</formula>
    </cfRule>
    <cfRule type="expression" priority="163" dxfId="1" stopIfTrue="1">
      <formula>J19&gt;200000</formula>
    </cfRule>
    <cfRule type="expression" priority="164" dxfId="1" stopIfTrue="1">
      <formula>J8-J15-J19&lt;&gt;J11</formula>
    </cfRule>
  </conditionalFormatting>
  <conditionalFormatting sqref="J37:K38">
    <cfRule type="expression" priority="165" dxfId="1" stopIfTrue="1">
      <formula>J15&gt;749000</formula>
    </cfRule>
    <cfRule type="expression" priority="166" dxfId="1" stopIfTrue="1">
      <formula>J19&gt;200000</formula>
    </cfRule>
    <cfRule type="expression" priority="167" dxfId="1" stopIfTrue="1">
      <formula>J8-J15-J19&lt;&gt;J11</formula>
    </cfRule>
  </conditionalFormatting>
  <conditionalFormatting sqref="J39:K40">
    <cfRule type="expression" priority="168" dxfId="1" stopIfTrue="1">
      <formula>J15&gt;749000</formula>
    </cfRule>
    <cfRule type="expression" priority="169" dxfId="1" stopIfTrue="1">
      <formula>J19&gt;200000</formula>
    </cfRule>
    <cfRule type="expression" priority="170" dxfId="1" stopIfTrue="1">
      <formula>J8-J15-J19&lt;&gt;J11</formula>
    </cfRule>
  </conditionalFormatting>
  <conditionalFormatting sqref="J41:K42">
    <cfRule type="expression" priority="171" dxfId="1" stopIfTrue="1">
      <formula>J15&gt;749000</formula>
    </cfRule>
    <cfRule type="expression" priority="172" dxfId="1" stopIfTrue="1">
      <formula>J19&gt;200000</formula>
    </cfRule>
    <cfRule type="expression" priority="173" dxfId="1" stopIfTrue="1">
      <formula>J8-J15-J19&lt;&gt;J11</formula>
    </cfRule>
  </conditionalFormatting>
  <conditionalFormatting sqref="J43:K44">
    <cfRule type="expression" priority="174" dxfId="1" stopIfTrue="1">
      <formula>J15&gt;749000</formula>
    </cfRule>
    <cfRule type="expression" priority="175" dxfId="1" stopIfTrue="1">
      <formula>J19&gt;200000</formula>
    </cfRule>
    <cfRule type="expression" priority="176" dxfId="1" stopIfTrue="1">
      <formula>J8-J15-J19&lt;&gt;J11</formula>
    </cfRule>
  </conditionalFormatting>
  <conditionalFormatting sqref="J45:K46">
    <cfRule type="expression" priority="177" dxfId="1" stopIfTrue="1">
      <formula>J15&gt;749000</formula>
    </cfRule>
    <cfRule type="expression" priority="178" dxfId="1" stopIfTrue="1">
      <formula>J19&gt;200000</formula>
    </cfRule>
    <cfRule type="expression" priority="179" dxfId="1" stopIfTrue="1">
      <formula>J8-J15-J19&lt;&gt;J11</formula>
    </cfRule>
  </conditionalFormatting>
  <conditionalFormatting sqref="H6:I6">
    <cfRule type="expression" priority="180" dxfId="1" stopIfTrue="1">
      <formula>H15&gt;749000</formula>
    </cfRule>
    <cfRule type="expression" priority="181" dxfId="1" stopIfTrue="1">
      <formula>H19&gt;200000</formula>
    </cfRule>
  </conditionalFormatting>
  <conditionalFormatting sqref="H8:I8">
    <cfRule type="expression" priority="182" dxfId="1" stopIfTrue="1">
      <formula>H15&gt;749000</formula>
    </cfRule>
    <cfRule type="expression" priority="183" dxfId="1" stopIfTrue="1">
      <formula>H19&gt;200000</formula>
    </cfRule>
  </conditionalFormatting>
  <conditionalFormatting sqref="H7:I7">
    <cfRule type="expression" priority="184" dxfId="1" stopIfTrue="1">
      <formula>H15&gt;749000</formula>
    </cfRule>
    <cfRule type="expression" priority="185" dxfId="1" stopIfTrue="1">
      <formula>H19&gt;200000</formula>
    </cfRule>
  </conditionalFormatting>
  <conditionalFormatting sqref="H14">
    <cfRule type="expression" priority="186" dxfId="1" stopIfTrue="1">
      <formula>H15&gt;749000</formula>
    </cfRule>
    <cfRule type="expression" priority="187" dxfId="1" stopIfTrue="1">
      <formula>H19&gt;200000</formula>
    </cfRule>
  </conditionalFormatting>
  <conditionalFormatting sqref="I14">
    <cfRule type="expression" priority="188" dxfId="1" stopIfTrue="1">
      <formula>H15&gt;749000</formula>
    </cfRule>
    <cfRule type="expression" priority="189" dxfId="1" stopIfTrue="1">
      <formula>H19&gt;200000</formula>
    </cfRule>
  </conditionalFormatting>
  <conditionalFormatting sqref="H15:I15">
    <cfRule type="expression" priority="190" dxfId="1" stopIfTrue="1">
      <formula>H15&gt;749000</formula>
    </cfRule>
    <cfRule type="expression" priority="191" dxfId="1" stopIfTrue="1">
      <formula>H19&gt;200000</formula>
    </cfRule>
  </conditionalFormatting>
  <conditionalFormatting sqref="H16:I16">
    <cfRule type="expression" priority="192" dxfId="1" stopIfTrue="1">
      <formula>H15&gt;749000</formula>
    </cfRule>
    <cfRule type="expression" priority="193" dxfId="1" stopIfTrue="1">
      <formula>H19&gt;200000</formula>
    </cfRule>
  </conditionalFormatting>
  <conditionalFormatting sqref="H17:I17">
    <cfRule type="expression" priority="194" dxfId="1" stopIfTrue="1">
      <formula>H15&gt;749000</formula>
    </cfRule>
    <cfRule type="expression" priority="195" dxfId="1" stopIfTrue="1">
      <formula>H19&gt;200000</formula>
    </cfRule>
  </conditionalFormatting>
  <conditionalFormatting sqref="H18">
    <cfRule type="expression" priority="196" dxfId="1" stopIfTrue="1">
      <formula>H15&gt;749000</formula>
    </cfRule>
    <cfRule type="expression" priority="197" dxfId="1" stopIfTrue="1">
      <formula>H19&gt;200000</formula>
    </cfRule>
  </conditionalFormatting>
  <conditionalFormatting sqref="I18">
    <cfRule type="expression" priority="198" dxfId="1" stopIfTrue="1">
      <formula>H15&gt;749000</formula>
    </cfRule>
    <cfRule type="expression" priority="199" dxfId="1" stopIfTrue="1">
      <formula>H19&gt;200000</formula>
    </cfRule>
  </conditionalFormatting>
  <conditionalFormatting sqref="H19:I19">
    <cfRule type="expression" priority="200" dxfId="1" stopIfTrue="1">
      <formula>H15&gt;749000</formula>
    </cfRule>
    <cfRule type="expression" priority="201" dxfId="1" stopIfTrue="1">
      <formula>H19&gt;200000</formula>
    </cfRule>
  </conditionalFormatting>
  <conditionalFormatting sqref="H20:I20">
    <cfRule type="expression" priority="202" dxfId="1" stopIfTrue="1">
      <formula>H15&gt;749000</formula>
    </cfRule>
    <cfRule type="expression" priority="203" dxfId="1" stopIfTrue="1">
      <formula>H19&gt;200000</formula>
    </cfRule>
  </conditionalFormatting>
  <conditionalFormatting sqref="H21:I21">
    <cfRule type="expression" priority="204" dxfId="1" stopIfTrue="1">
      <formula>H15&gt;749000</formula>
    </cfRule>
    <cfRule type="expression" priority="205" dxfId="1" stopIfTrue="1">
      <formula>H19&gt;200000</formula>
    </cfRule>
  </conditionalFormatting>
  <conditionalFormatting sqref="H23:I23">
    <cfRule type="expression" priority="206" dxfId="1" stopIfTrue="1">
      <formula>H15&gt;749000</formula>
    </cfRule>
    <cfRule type="expression" priority="207" dxfId="1" stopIfTrue="1">
      <formula>H19&gt;200000</formula>
    </cfRule>
  </conditionalFormatting>
  <conditionalFormatting sqref="H27:I28">
    <cfRule type="expression" priority="208" dxfId="1" stopIfTrue="1">
      <formula>H15&gt;749000</formula>
    </cfRule>
    <cfRule type="expression" priority="209" dxfId="1" stopIfTrue="1">
      <formula>H19&gt;200000</formula>
    </cfRule>
  </conditionalFormatting>
  <conditionalFormatting sqref="F6:G6">
    <cfRule type="expression" priority="210" dxfId="1" stopIfTrue="1">
      <formula>A5-A7&gt;400000</formula>
    </cfRule>
  </conditionalFormatting>
  <conditionalFormatting sqref="H29:I30">
    <cfRule type="expression" priority="211" dxfId="1" stopIfTrue="1">
      <formula>H15&gt;749000</formula>
    </cfRule>
    <cfRule type="expression" priority="212" dxfId="1" stopIfTrue="1">
      <formula>H19&gt;200000</formula>
    </cfRule>
  </conditionalFormatting>
  <conditionalFormatting sqref="H31:I32">
    <cfRule type="expression" priority="213" dxfId="1" stopIfTrue="1">
      <formula>H15&gt;749000</formula>
    </cfRule>
    <cfRule type="expression" priority="214" dxfId="1" stopIfTrue="1">
      <formula>H19&gt;200000</formula>
    </cfRule>
  </conditionalFormatting>
  <conditionalFormatting sqref="H33:I34">
    <cfRule type="expression" priority="215" dxfId="1" stopIfTrue="1">
      <formula>H15&gt;749000</formula>
    </cfRule>
    <cfRule type="expression" priority="216" dxfId="1" stopIfTrue="1">
      <formula>H19&gt;200000</formula>
    </cfRule>
  </conditionalFormatting>
  <conditionalFormatting sqref="H35:I36">
    <cfRule type="expression" priority="217" dxfId="1" stopIfTrue="1">
      <formula>H15&gt;749000</formula>
    </cfRule>
    <cfRule type="expression" priority="218" dxfId="1" stopIfTrue="1">
      <formula>H19&gt;200000</formula>
    </cfRule>
  </conditionalFormatting>
  <conditionalFormatting sqref="H37:I38">
    <cfRule type="expression" priority="219" dxfId="1" stopIfTrue="1">
      <formula>H15&gt;749000</formula>
    </cfRule>
    <cfRule type="expression" priority="220" dxfId="1" stopIfTrue="1">
      <formula>H19&gt;200000</formula>
    </cfRule>
  </conditionalFormatting>
  <conditionalFormatting sqref="H39:I40">
    <cfRule type="expression" priority="221" dxfId="1" stopIfTrue="1">
      <formula>H15&gt;749000</formula>
    </cfRule>
    <cfRule type="expression" priority="222" dxfId="1" stopIfTrue="1">
      <formula>H19&gt;200000</formula>
    </cfRule>
  </conditionalFormatting>
  <conditionalFormatting sqref="H43:I44">
    <cfRule type="expression" priority="223" dxfId="1" stopIfTrue="1">
      <formula>H15&gt;749000</formula>
    </cfRule>
    <cfRule type="expression" priority="224" dxfId="1" stopIfTrue="1">
      <formula>H19&gt;200000</formula>
    </cfRule>
  </conditionalFormatting>
  <conditionalFormatting sqref="H41:I42">
    <cfRule type="expression" priority="225" dxfId="1" stopIfTrue="1">
      <formula>H15&gt;749000</formula>
    </cfRule>
    <cfRule type="expression" priority="226" dxfId="1" stopIfTrue="1">
      <formula>H19&gt;200000</formula>
    </cfRule>
  </conditionalFormatting>
  <conditionalFormatting sqref="H45:I46">
    <cfRule type="expression" priority="227" dxfId="1" stopIfTrue="1">
      <formula>H15&gt;749000</formula>
    </cfRule>
    <cfRule type="expression" priority="228" dxfId="1" stopIfTrue="1">
      <formula>H19&gt;200000</formula>
    </cfRule>
  </conditionalFormatting>
  <printOptions/>
  <pageMargins left="0.3" right="0.32" top="0.82" bottom="0.2" header="0.5" footer="0.16"/>
  <pageSetup horizontalDpi="600" verticalDpi="600" orientation="portrait" r:id="rId1"/>
  <headerFooter alignWithMargins="0">
    <oddHeader>&amp;CReal Estate Financing Options Spreadsheet&amp;R&amp;D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michael.walzak</dc:creator>
  <cp:keywords/>
  <dc:description/>
  <cp:lastModifiedBy>michael.walzak</cp:lastModifiedBy>
  <cp:lastPrinted>2007-07-10T20:36:47Z</cp:lastPrinted>
  <dcterms:created xsi:type="dcterms:W3CDTF">2005-10-26T20:59:20Z</dcterms:created>
  <dcterms:modified xsi:type="dcterms:W3CDTF">2007-10-31T17:53:15Z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