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675" tabRatio="485" activeTab="5"/>
  </bookViews>
  <sheets>
    <sheet name="Code V Sys. Tolerances" sheetId="1" r:id="rId1"/>
    <sheet name="Error Budget" sheetId="2" r:id="rId2"/>
    <sheet name="Mech. Tol." sheetId="3" r:id="rId3"/>
    <sheet name="UC Budget" sheetId="4" r:id="rId4"/>
    <sheet name="GSFC Budget" sheetId="5" r:id="rId5"/>
    <sheet name="Opt. Spdsht." sheetId="6" r:id="rId6"/>
  </sheets>
  <definedNames>
    <definedName name="_xlnm.Print_Area" localSheetId="5">'Opt. Spdsht.'!$A$1:$Q$44</definedName>
  </definedNames>
  <calcPr fullCalcOnLoad="1"/>
</workbook>
</file>

<file path=xl/sharedStrings.xml><?xml version="1.0" encoding="utf-8"?>
<sst xmlns="http://schemas.openxmlformats.org/spreadsheetml/2006/main" count="588" uniqueCount="314">
  <si>
    <t>Radius</t>
  </si>
  <si>
    <t>Index</t>
  </si>
  <si>
    <t>Decenter (DEC)</t>
  </si>
  <si>
    <t>Axial Shift</t>
  </si>
  <si>
    <t>Tilt (TIL)</t>
  </si>
  <si>
    <t>Surface, S</t>
  </si>
  <si>
    <t>Name</t>
  </si>
  <si>
    <t>Tolerance</t>
  </si>
  <si>
    <t>Fringes</t>
  </si>
  <si>
    <t>DLX (mm)</t>
  </si>
  <si>
    <t>DLY (mm)</t>
  </si>
  <si>
    <t>DLT (mm)</t>
  </si>
  <si>
    <t>DLA (arcmin)</t>
  </si>
  <si>
    <t>DLB (arcmin)</t>
  </si>
  <si>
    <t>(mm)</t>
  </si>
  <si>
    <t>Power/Irregularity</t>
  </si>
  <si>
    <t>(affects Si+1)</t>
  </si>
  <si>
    <t>(rad.)</t>
  </si>
  <si>
    <t>Primary</t>
  </si>
  <si>
    <t>Secondary</t>
  </si>
  <si>
    <t>10</t>
  </si>
  <si>
    <t>11</t>
  </si>
  <si>
    <t>12</t>
  </si>
  <si>
    <t>13</t>
  </si>
  <si>
    <t>14</t>
  </si>
  <si>
    <t>15</t>
  </si>
  <si>
    <t>Element Decenter (DIS)</t>
  </si>
  <si>
    <t>Element Wedge</t>
  </si>
  <si>
    <t>Element Tilt (BTI)</t>
  </si>
  <si>
    <t>Groups</t>
  </si>
  <si>
    <t>DSX (mm)</t>
  </si>
  <si>
    <t>DSY (mm)</t>
  </si>
  <si>
    <t>Tilt (arcmin)</t>
  </si>
  <si>
    <t>BTX (arcmin)</t>
  </si>
  <si>
    <t>BTY (arcmin)</t>
  </si>
  <si>
    <t>(TIR=total indicator runout)</t>
  </si>
  <si>
    <t>STO (4)</t>
  </si>
  <si>
    <t>16</t>
  </si>
  <si>
    <t>17</t>
  </si>
  <si>
    <t>18</t>
  </si>
  <si>
    <t>19</t>
  </si>
  <si>
    <t>Sec. Obstruction (Back)</t>
  </si>
  <si>
    <t>Tertiary</t>
  </si>
  <si>
    <t>FFM</t>
  </si>
  <si>
    <t>FM</t>
  </si>
  <si>
    <t>Window, Front</t>
  </si>
  <si>
    <t>Window, Back</t>
  </si>
  <si>
    <t>BLF, Front</t>
  </si>
  <si>
    <t>BLF, Back</t>
  </si>
  <si>
    <t>Pupil Image</t>
  </si>
  <si>
    <t>BPF, Front</t>
  </si>
  <si>
    <t>BPF, Back</t>
  </si>
  <si>
    <t>DFM</t>
  </si>
  <si>
    <t>Detector</t>
  </si>
  <si>
    <t>CODE V TOLERANCE INPUT</t>
  </si>
  <si>
    <t>V-NO</t>
  </si>
  <si>
    <t>(%)</t>
  </si>
  <si>
    <t>TIR: TRX, TRY (mm)</t>
  </si>
  <si>
    <t>L2</t>
  </si>
  <si>
    <t>BPF</t>
  </si>
  <si>
    <t>L1</t>
  </si>
  <si>
    <t>BLF</t>
  </si>
  <si>
    <t>Window</t>
  </si>
  <si>
    <t>Component/</t>
  </si>
  <si>
    <t>Axial Spacing</t>
  </si>
  <si>
    <t>Decenter</t>
  </si>
  <si>
    <t>Angular Tilt</t>
  </si>
  <si>
    <t>Subassembly</t>
  </si>
  <si>
    <t>Tolerance (inch)</t>
  </si>
  <si>
    <t>Tolerance (degree)</t>
  </si>
  <si>
    <t>Dewar Window</t>
  </si>
  <si>
    <t>L1 - 1</t>
  </si>
  <si>
    <t>L2 - 1</t>
  </si>
  <si>
    <t>Tolerance (mm)</t>
  </si>
  <si>
    <t>Optics Fabrication Error</t>
  </si>
  <si>
    <t>TOTAL RMS ERROR</t>
  </si>
  <si>
    <t>Optics Mounting Error + Other Mech. Errors</t>
  </si>
  <si>
    <t>R =</t>
  </si>
  <si>
    <t>D =</t>
  </si>
  <si>
    <t>Sag =</t>
  </si>
  <si>
    <t>dR =</t>
  </si>
  <si>
    <t>R1 =</t>
  </si>
  <si>
    <t>R2 =</t>
  </si>
  <si>
    <t>Sag 1 =</t>
  </si>
  <si>
    <t>Sag 2 =</t>
  </si>
  <si>
    <t>dSag 1=</t>
  </si>
  <si>
    <t>dSag 2=</t>
  </si>
  <si>
    <t>WINDOW</t>
  </si>
  <si>
    <t>±</t>
  </si>
  <si>
    <t>w.r.t. each other when deformed.  Window center of curvature</t>
  </si>
  <si>
    <t>*</t>
  </si>
  <si>
    <t>*Note: Filter Mount OD Fabrication Tolerance is +0.5mm.</t>
  </si>
  <si>
    <t>Element</t>
  </si>
  <si>
    <t>Material</t>
  </si>
  <si>
    <t>Focal Length</t>
  </si>
  <si>
    <t>R1</t>
  </si>
  <si>
    <t>R2</t>
  </si>
  <si>
    <t>Shape</t>
  </si>
  <si>
    <t>Diameter/Aperture</t>
  </si>
  <si>
    <t>Clear Aperture</t>
  </si>
  <si>
    <t>Central Thickness</t>
  </si>
  <si>
    <t>Edge Thickness</t>
  </si>
  <si>
    <t>Coating Material</t>
  </si>
  <si>
    <t>AR Thickness</t>
  </si>
  <si>
    <t>mm</t>
  </si>
  <si>
    <t>um</t>
  </si>
  <si>
    <t>Aluminum</t>
  </si>
  <si>
    <t>Square</t>
  </si>
  <si>
    <t>152.4X152.4</t>
  </si>
  <si>
    <t>137.2X137.2</t>
  </si>
  <si>
    <t>TFP-1</t>
  </si>
  <si>
    <t>TFP-2</t>
  </si>
  <si>
    <t>TFP-3</t>
  </si>
  <si>
    <t>TFP-4</t>
  </si>
  <si>
    <t>137X137</t>
  </si>
  <si>
    <t>Window-1</t>
  </si>
  <si>
    <t>Circular</t>
  </si>
  <si>
    <t>Window-2</t>
  </si>
  <si>
    <t>Window-3</t>
  </si>
  <si>
    <t>Window-4</t>
  </si>
  <si>
    <t>Pupil-1</t>
  </si>
  <si>
    <t>Pupil-2</t>
  </si>
  <si>
    <t>Pupil-3</t>
  </si>
  <si>
    <t>Pupil-4</t>
  </si>
  <si>
    <t>L1-1</t>
  </si>
  <si>
    <t>Silicon</t>
  </si>
  <si>
    <t>Bi-convex</t>
  </si>
  <si>
    <t>Parylene</t>
  </si>
  <si>
    <t>L1-2</t>
  </si>
  <si>
    <t>Infinity</t>
  </si>
  <si>
    <t>Plano-convex</t>
  </si>
  <si>
    <t>L1-3</t>
  </si>
  <si>
    <t>L1-4</t>
  </si>
  <si>
    <t>L2-1</t>
  </si>
  <si>
    <t>Meniscus</t>
  </si>
  <si>
    <t>L2-2</t>
  </si>
  <si>
    <t>6.5 (mount assembly)</t>
  </si>
  <si>
    <t>PRL-1</t>
  </si>
  <si>
    <t>PRL-2</t>
  </si>
  <si>
    <t>PRL-3</t>
  </si>
  <si>
    <t>PRL-4</t>
  </si>
  <si>
    <r>
      <t>T</t>
    </r>
    <r>
      <rPr>
        <vertAlign val="subscript"/>
        <sz val="12"/>
        <rFont val="Geneva"/>
        <family val="0"/>
      </rPr>
      <t>abs</t>
    </r>
  </si>
  <si>
    <r>
      <t>T</t>
    </r>
    <r>
      <rPr>
        <vertAlign val="subscript"/>
        <sz val="12"/>
        <rFont val="Geneva"/>
        <family val="0"/>
      </rPr>
      <t>total</t>
    </r>
  </si>
  <si>
    <t>Tolerance (arcmin)</t>
  </si>
  <si>
    <t>Note, Filter models are not physical: used a t=0.2mm</t>
  </si>
  <si>
    <t>piece of polyethylene to optically model the filters.</t>
  </si>
  <si>
    <t>Mechanical Tolerances</t>
  </si>
  <si>
    <t>± 0.02"</t>
  </si>
  <si>
    <t>*See note</t>
  </si>
  <si>
    <t>± 0.197"</t>
  </si>
  <si>
    <t>30/10</t>
  </si>
  <si>
    <t>(deg.)</t>
  </si>
  <si>
    <t>(1 um)</t>
  </si>
  <si>
    <t>10/3</t>
  </si>
  <si>
    <t>*Front &amp; Back of Window needs to be centered ±0.23mm</t>
  </si>
  <si>
    <t>needs to be within ±10mm from the O.A.</t>
  </si>
  <si>
    <t>Lens OD ±0.1mm, surface dec. ±0.1mm.</t>
  </si>
  <si>
    <t>± 0.016"</t>
  </si>
  <si>
    <t>± 0.094"</t>
  </si>
  <si>
    <t>±0.3 deg.</t>
  </si>
  <si>
    <t>± 0.071"</t>
  </si>
  <si>
    <t>± 0.075"</t>
  </si>
  <si>
    <t>± 0.091"</t>
  </si>
  <si>
    <t>± 0.189"</t>
  </si>
  <si>
    <t>*Front &amp; Back of Window needs to be centered ±0.23mm w.r.t. each other when deformed.  Window</t>
  </si>
  <si>
    <t>center of curvature needs to be within ±10mm from the O.A.</t>
  </si>
  <si>
    <t>Telescope-Dewar Align.</t>
  </si>
  <si>
    <t>Compensators:  Telescope Focus (CMP DLZ S2, S3, S4) + FFM Tip/Tilt (DLA S6, DLB S6)</t>
  </si>
  <si>
    <t>Warm - Cold Optics Align.</t>
  </si>
  <si>
    <t>± 0.025 deg.</t>
  </si>
  <si>
    <t>± 3 deg.</t>
  </si>
  <si>
    <t>FFM Mount Adj. Range</t>
  </si>
  <si>
    <t>FFM Mount Adj. Resolution</t>
  </si>
  <si>
    <t>Telescope to HAWC</t>
  </si>
  <si>
    <t>± 0.5 deg.</t>
  </si>
  <si>
    <t>Warm Optics Outside Dewar</t>
  </si>
  <si>
    <t xml:space="preserve">  to Cold Optics Inside Dewar</t>
  </si>
  <si>
    <t>Pupil Stop</t>
  </si>
  <si>
    <t>±1 deg.</t>
  </si>
  <si>
    <t>f/#</t>
  </si>
  <si>
    <t>Conic</t>
  </si>
  <si>
    <t>Constant</t>
  </si>
  <si>
    <t>DLS 0.15</t>
  </si>
  <si>
    <t>20</t>
  </si>
  <si>
    <t>IMG (21)</t>
  </si>
  <si>
    <t>18 to 19</t>
  </si>
  <si>
    <t>16 to 17</t>
  </si>
  <si>
    <t>14 to 15</t>
  </si>
  <si>
    <t>11 to 12</t>
  </si>
  <si>
    <t>9 to 10</t>
  </si>
  <si>
    <t>6 to 21</t>
  </si>
  <si>
    <t>(Compensator)</t>
  </si>
  <si>
    <t>11 to 21</t>
  </si>
  <si>
    <t>± 0.022"</t>
  </si>
  <si>
    <t>± 0.01"</t>
  </si>
  <si>
    <t>L1-1, Front</t>
  </si>
  <si>
    <t>L1-2, Back</t>
  </si>
  <si>
    <t>L1-2, Front</t>
  </si>
  <si>
    <t>L1-1, Back</t>
  </si>
  <si>
    <t>L1-3, Front</t>
  </si>
  <si>
    <t>L1-3, Back</t>
  </si>
  <si>
    <t>L1-4, Front</t>
  </si>
  <si>
    <t>L1-4, Back</t>
  </si>
  <si>
    <t>L2-2, Front</t>
  </si>
  <si>
    <t>L2-2, Back</t>
  </si>
  <si>
    <t>L2-1, Front</t>
  </si>
  <si>
    <t>L2-1, Back</t>
  </si>
  <si>
    <t>PRL, Front</t>
  </si>
  <si>
    <t>PRL, Back</t>
  </si>
  <si>
    <t>Tolerance of HAWC Optics, All BandS.</t>
  </si>
  <si>
    <t>Optics File: hawchdpeb1-4.zms in Zemax, hdpeb1c-4.len in Code V.</t>
  </si>
  <si>
    <t>Probable (97.7%) maximum rms wavefront error is 0.025 waves (lambda/40) in imaging mode.</t>
  </si>
  <si>
    <t>0.02</t>
  </si>
  <si>
    <t>PRL</t>
  </si>
  <si>
    <t>.5 for PRL</t>
  </si>
  <si>
    <t>.05 for PRL</t>
  </si>
  <si>
    <t>135.5X135.5</t>
  </si>
  <si>
    <t>Crystal Quartz</t>
  </si>
  <si>
    <t>PE/PP</t>
  </si>
  <si>
    <t>114.3x114.3</t>
  </si>
  <si>
    <t>Resolution 0.025 deg.</t>
  </si>
  <si>
    <t>Compensator.  Adjustment Range ±6 deg.,</t>
  </si>
  <si>
    <t>Thickness tol = ±0.2mm.</t>
  </si>
  <si>
    <t>± 0.1 deg.</t>
  </si>
  <si>
    <t>± 6 deg.</t>
  </si>
  <si>
    <t>±0.45 deg.</t>
  </si>
  <si>
    <t>±0.33 deg.</t>
  </si>
  <si>
    <t>±1.86 deg.</t>
  </si>
  <si>
    <t>±0.127 deg.</t>
  </si>
  <si>
    <t>± 0.193"</t>
  </si>
  <si>
    <t>± 0.008"</t>
  </si>
  <si>
    <t>± 0.1"</t>
  </si>
  <si>
    <t>± 1.5 deg.</t>
  </si>
  <si>
    <t>Telescope to HAWC Alignment</t>
  </si>
  <si>
    <t>About half of original budget was given</t>
  </si>
  <si>
    <t>to telescope uncertainties.</t>
  </si>
  <si>
    <t>± 0.099"</t>
  </si>
  <si>
    <t>± 0.15 deg.</t>
  </si>
  <si>
    <t>± 1.86 deg.</t>
  </si>
  <si>
    <t>± 0.036"</t>
  </si>
  <si>
    <t>± 0.005"</t>
  </si>
  <si>
    <t>± 0.225 deg.</t>
  </si>
  <si>
    <t>± 0.038"</t>
  </si>
  <si>
    <t>± 0.04"</t>
  </si>
  <si>
    <t>± 0.046"</t>
  </si>
  <si>
    <t>± 0.165 deg.</t>
  </si>
  <si>
    <t>± 0.064 deg.</t>
  </si>
  <si>
    <t>± 0.095"</t>
  </si>
  <si>
    <t>± 0.097"</t>
  </si>
  <si>
    <t>± 0.004"</t>
  </si>
  <si>
    <t>± 0.05"</t>
  </si>
  <si>
    <t>GSFC Mechanical Tolerances</t>
  </si>
  <si>
    <t>UC Mechanical Tolerances</t>
  </si>
  <si>
    <t>Focus Adjustment Range ±5mm, 0.15mm Resolution.</t>
  </si>
  <si>
    <t>PRL Mount Adj. Range</t>
  </si>
  <si>
    <t>PRL Mount Adj. Resolution</t>
  </si>
  <si>
    <t>± 0.2"</t>
  </si>
  <si>
    <t>0.006"</t>
  </si>
  <si>
    <t>Bi-concave</t>
  </si>
  <si>
    <t>Group Elements</t>
  </si>
  <si>
    <t>Fused Silica</t>
  </si>
  <si>
    <t>± 0.012"</t>
  </si>
  <si>
    <t>± 0.167"</t>
  </si>
  <si>
    <t>HDPE</t>
  </si>
  <si>
    <t>101.2x101.2</t>
  </si>
  <si>
    <t>Protected Silver</t>
  </si>
  <si>
    <t>CB2</t>
  </si>
  <si>
    <t>CB3</t>
  </si>
  <si>
    <t>ED_B1</t>
  </si>
  <si>
    <t>ED_B2.1</t>
  </si>
  <si>
    <t>ED_B2.2</t>
  </si>
  <si>
    <t>B_B2</t>
  </si>
  <si>
    <t>ED_B3.1</t>
  </si>
  <si>
    <t>ED_B3.2</t>
  </si>
  <si>
    <t>B_B3</t>
  </si>
  <si>
    <t>ED_B4.1</t>
  </si>
  <si>
    <t>ED_B4.2</t>
  </si>
  <si>
    <t>B_B4</t>
  </si>
  <si>
    <t>Hot-press</t>
  </si>
  <si>
    <t>Air-gap</t>
  </si>
  <si>
    <t>Custom</t>
  </si>
  <si>
    <t>7.01 (mount assembly)</t>
  </si>
  <si>
    <t>30.804x20.014</t>
  </si>
  <si>
    <t>30.811 x 30.811</t>
  </si>
  <si>
    <t>49.266 x 32.481</t>
  </si>
  <si>
    <t>49.283 x 49.283</t>
  </si>
  <si>
    <t>86.402x57.622</t>
  </si>
  <si>
    <t>86.454x86.454</t>
  </si>
  <si>
    <t>119.088x80.710</t>
  </si>
  <si>
    <t>119.185x119.185</t>
  </si>
  <si>
    <t>B4:  59.266x87.795</t>
  </si>
  <si>
    <t>B4:  59.221x68.559</t>
  </si>
  <si>
    <t>B4:  56.2822</t>
  </si>
  <si>
    <t>B4:  59.926</t>
  </si>
  <si>
    <t>B4:  126.239x90.321</t>
  </si>
  <si>
    <t>B4:  126.251x127.856</t>
  </si>
  <si>
    <t>B4:  134.717x96.088</t>
  </si>
  <si>
    <t>B4:  134.977x136.257</t>
  </si>
  <si>
    <t>Beam Dia. (5Airy*, 12x32)</t>
  </si>
  <si>
    <t>Beam Dia. (5Airy*, 32x32)</t>
  </si>
  <si>
    <t>*5-Airy field size is calcualted for the FWHM long wavelength.</t>
  </si>
  <si>
    <t>63.996**</t>
  </si>
  <si>
    <t>74.0472**</t>
  </si>
  <si>
    <t>**PRL clear aperture is the stop.  In reality beam will fill the C.A.</t>
  </si>
  <si>
    <t>47.2952**</t>
  </si>
  <si>
    <t>51.7498**</t>
  </si>
  <si>
    <t>70.9352**</t>
  </si>
  <si>
    <t>55.9222**</t>
  </si>
  <si>
    <t>60.4206**</t>
  </si>
  <si>
    <t>80.3842**</t>
  </si>
  <si>
    <t>B4:  46.04</t>
  </si>
  <si>
    <t>B4:  44.647</t>
  </si>
  <si>
    <t>Beam Diameters are the maximum encircled, cold beam sizes.</t>
  </si>
  <si>
    <t>Diameter/Aperture &amp; Clear Aperture are the warm mechanical dimensions.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</si>
</sst>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sz val="12"/>
      <name val="Geneva"/>
      <family val="0"/>
    </font>
    <font>
      <vertAlign val="subscript"/>
      <sz val="12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4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4" fillId="0" borderId="4" xfId="21" applyBorder="1" applyAlignment="1">
      <alignment horizontal="center"/>
      <protection/>
    </xf>
    <xf numFmtId="166" fontId="4" fillId="0" borderId="4" xfId="21" applyNumberFormat="1" applyBorder="1" applyAlignment="1">
      <alignment horizontal="center"/>
      <protection/>
    </xf>
    <xf numFmtId="167" fontId="4" fillId="0" borderId="4" xfId="21" applyNumberFormat="1" applyBorder="1" applyAlignment="1">
      <alignment horizontal="center"/>
      <protection/>
    </xf>
    <xf numFmtId="2" fontId="4" fillId="0" borderId="4" xfId="21" applyNumberFormat="1" applyBorder="1" applyAlignment="1">
      <alignment horizontal="center"/>
      <protection/>
    </xf>
    <xf numFmtId="0" fontId="4" fillId="0" borderId="0" xfId="21" applyAlignment="1">
      <alignment horizontal="center" vertical="center"/>
      <protection/>
    </xf>
    <xf numFmtId="0" fontId="4" fillId="0" borderId="0" xfId="21" applyAlignment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21" applyFont="1" applyAlignment="1">
      <alignment horizontal="left"/>
      <protection/>
    </xf>
    <xf numFmtId="0" fontId="4" fillId="0" borderId="4" xfId="21" applyFont="1" applyBorder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2" fontId="4" fillId="0" borderId="4" xfId="21" applyNumberFormat="1" applyFont="1" applyBorder="1" applyAlignment="1">
      <alignment horizontal="center"/>
      <protection/>
    </xf>
    <xf numFmtId="166" fontId="4" fillId="0" borderId="4" xfId="21" applyNumberFormat="1" applyFont="1" applyBorder="1" applyAlignment="1">
      <alignment horizontal="center"/>
      <protection/>
    </xf>
    <xf numFmtId="167" fontId="4" fillId="0" borderId="4" xfId="21" applyNumberFormat="1" applyFont="1" applyBorder="1" applyAlignment="1">
      <alignment horizontal="center"/>
      <protection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4" fillId="0" borderId="4" xfId="21" applyNumberFormat="1" applyBorder="1" applyAlignment="1">
      <alignment horizontal="center"/>
      <protection/>
    </xf>
    <xf numFmtId="0" fontId="4" fillId="0" borderId="4" xfId="21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ns_and_filter_specs12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0">
      <selection activeCell="B57" sqref="B57"/>
    </sheetView>
  </sheetViews>
  <sheetFormatPr defaultColWidth="9.140625" defaultRowHeight="12.75"/>
  <cols>
    <col min="1" max="1" width="14.8515625" style="1" customWidth="1"/>
    <col min="2" max="2" width="22.7109375" style="1" customWidth="1"/>
    <col min="3" max="3" width="12.00390625" style="1" customWidth="1"/>
    <col min="4" max="4" width="15.8515625" style="1" customWidth="1"/>
    <col min="5" max="5" width="17.7109375" style="1" customWidth="1"/>
    <col min="6" max="6" width="11.28125" style="1" customWidth="1"/>
    <col min="7" max="8" width="11.8515625" style="1" customWidth="1"/>
    <col min="9" max="9" width="12.8515625" style="1" customWidth="1"/>
    <col min="10" max="10" width="12.421875" style="1" customWidth="1"/>
    <col min="11" max="11" width="12.57421875" style="1" customWidth="1"/>
    <col min="12" max="16384" width="9.140625" style="1" customWidth="1"/>
  </cols>
  <sheetData>
    <row r="1" s="7" customFormat="1" ht="12.75">
      <c r="A1" s="8" t="s">
        <v>209</v>
      </c>
    </row>
    <row r="2" s="7" customFormat="1" ht="12.75">
      <c r="A2" s="8" t="s">
        <v>210</v>
      </c>
    </row>
    <row r="3" s="7" customFormat="1" ht="12.75">
      <c r="A3" s="8" t="s">
        <v>211</v>
      </c>
    </row>
    <row r="4" s="7" customFormat="1" ht="12.75">
      <c r="A4" s="8" t="s">
        <v>167</v>
      </c>
    </row>
    <row r="5" s="7" customFormat="1" ht="12.75">
      <c r="A5" s="8"/>
    </row>
    <row r="6" s="7" customFormat="1" ht="12.75">
      <c r="A6" s="8" t="s">
        <v>54</v>
      </c>
    </row>
    <row r="7" spans="3:12" ht="12.75">
      <c r="C7" s="1" t="s">
        <v>0</v>
      </c>
      <c r="D7" s="1" t="s">
        <v>8</v>
      </c>
      <c r="E7" s="1" t="s">
        <v>180</v>
      </c>
      <c r="F7" s="1" t="s">
        <v>1</v>
      </c>
      <c r="G7" s="1" t="s">
        <v>55</v>
      </c>
      <c r="H7" s="2" t="s">
        <v>2</v>
      </c>
      <c r="I7" s="2"/>
      <c r="J7" s="1" t="s">
        <v>3</v>
      </c>
      <c r="K7" s="2" t="s">
        <v>4</v>
      </c>
      <c r="L7" s="2"/>
    </row>
    <row r="8" spans="1:12" ht="12.75">
      <c r="A8" s="1" t="s">
        <v>5</v>
      </c>
      <c r="B8" s="1" t="s">
        <v>6</v>
      </c>
      <c r="C8" s="1" t="s">
        <v>7</v>
      </c>
      <c r="D8" s="1" t="s">
        <v>15</v>
      </c>
      <c r="E8" s="1" t="s">
        <v>181</v>
      </c>
      <c r="F8" s="1" t="s">
        <v>7</v>
      </c>
      <c r="G8" s="1" t="s">
        <v>56</v>
      </c>
      <c r="H8" s="1" t="s">
        <v>9</v>
      </c>
      <c r="I8" s="2" t="s">
        <v>10</v>
      </c>
      <c r="J8" s="1" t="s">
        <v>11</v>
      </c>
      <c r="K8" s="1" t="s">
        <v>12</v>
      </c>
      <c r="L8" s="1" t="s">
        <v>13</v>
      </c>
    </row>
    <row r="9" spans="3:12" ht="12.75">
      <c r="C9" s="1" t="s">
        <v>14</v>
      </c>
      <c r="D9" s="1" t="s">
        <v>152</v>
      </c>
      <c r="J9" s="1" t="s">
        <v>16</v>
      </c>
      <c r="K9" s="2"/>
      <c r="L9" s="2"/>
    </row>
    <row r="10" spans="1:13" ht="12.75">
      <c r="A10" s="1">
        <v>1</v>
      </c>
      <c r="B10" s="1" t="s">
        <v>41</v>
      </c>
      <c r="C10" s="4"/>
      <c r="D10" s="6"/>
      <c r="E10" s="6"/>
      <c r="M10" s="1" t="s">
        <v>17</v>
      </c>
    </row>
    <row r="11" spans="1:13" ht="12.75">
      <c r="A11" s="1">
        <v>2</v>
      </c>
      <c r="B11" s="1" t="s">
        <v>41</v>
      </c>
      <c r="C11" s="4"/>
      <c r="D11" s="6"/>
      <c r="E11" s="6"/>
      <c r="M11" s="5"/>
    </row>
    <row r="12" spans="1:13" ht="12.75">
      <c r="A12" s="1">
        <v>3</v>
      </c>
      <c r="B12" s="1" t="s">
        <v>18</v>
      </c>
      <c r="C12" s="35">
        <v>7</v>
      </c>
      <c r="D12" s="6"/>
      <c r="E12" s="6"/>
      <c r="M12" s="5"/>
    </row>
    <row r="13" spans="1:13" ht="12.75">
      <c r="A13" s="1" t="s">
        <v>36</v>
      </c>
      <c r="B13" s="1" t="s">
        <v>19</v>
      </c>
      <c r="C13" s="35">
        <v>1</v>
      </c>
      <c r="D13" s="6"/>
      <c r="E13" s="6" t="s">
        <v>212</v>
      </c>
      <c r="M13" s="5"/>
    </row>
    <row r="14" spans="1:13" ht="12.75">
      <c r="A14" s="1">
        <v>5</v>
      </c>
      <c r="B14" s="1" t="s">
        <v>42</v>
      </c>
      <c r="C14" s="11"/>
      <c r="D14" s="6"/>
      <c r="E14" s="6"/>
      <c r="H14" s="10"/>
      <c r="I14" s="10"/>
      <c r="J14" s="1">
        <v>0.5</v>
      </c>
      <c r="M14" s="5"/>
    </row>
    <row r="15" spans="1:13" ht="12.75">
      <c r="A15" s="1">
        <v>6</v>
      </c>
      <c r="B15" s="1" t="s">
        <v>43</v>
      </c>
      <c r="C15" s="11"/>
      <c r="D15" s="6" t="s">
        <v>153</v>
      </c>
      <c r="E15" s="6"/>
      <c r="J15" s="1">
        <v>0.5</v>
      </c>
      <c r="K15" s="1" t="s">
        <v>191</v>
      </c>
      <c r="M15" s="5"/>
    </row>
    <row r="16" spans="1:13" ht="12.75">
      <c r="A16" s="1">
        <v>7</v>
      </c>
      <c r="B16" s="1" t="s">
        <v>44</v>
      </c>
      <c r="C16" s="10">
        <v>6.65</v>
      </c>
      <c r="D16" s="6" t="s">
        <v>150</v>
      </c>
      <c r="E16" s="6"/>
      <c r="H16" s="10">
        <v>1</v>
      </c>
      <c r="I16" s="10">
        <f>H16</f>
        <v>1</v>
      </c>
      <c r="J16" s="1">
        <v>0.5</v>
      </c>
      <c r="K16" s="1">
        <v>6.9</v>
      </c>
      <c r="L16" s="1">
        <f>K16</f>
        <v>6.9</v>
      </c>
      <c r="M16" s="5">
        <f>(K16/60)*PI()/180</f>
        <v>0.002007128639793479</v>
      </c>
    </row>
    <row r="17" spans="1:13" ht="12.75">
      <c r="A17" s="1">
        <v>9</v>
      </c>
      <c r="B17" s="3" t="s">
        <v>45</v>
      </c>
      <c r="C17" s="9" t="s">
        <v>182</v>
      </c>
      <c r="D17" s="6" t="s">
        <v>150</v>
      </c>
      <c r="E17" s="6"/>
      <c r="F17" s="3">
        <v>0.02</v>
      </c>
      <c r="G17" s="3">
        <v>10</v>
      </c>
      <c r="H17" s="10">
        <v>0.23</v>
      </c>
      <c r="I17" s="10">
        <f aca="true" t="shared" si="0" ref="I17:I39">H17</f>
        <v>0.23</v>
      </c>
      <c r="J17" s="1">
        <v>0.5</v>
      </c>
      <c r="M17" s="5"/>
    </row>
    <row r="18" spans="1:13" ht="12.75">
      <c r="A18" s="6" t="s">
        <v>20</v>
      </c>
      <c r="B18" s="3" t="s">
        <v>46</v>
      </c>
      <c r="C18" s="9"/>
      <c r="D18" s="6" t="s">
        <v>150</v>
      </c>
      <c r="E18" s="6"/>
      <c r="F18" s="3"/>
      <c r="G18" s="3"/>
      <c r="H18" s="10">
        <v>0.23</v>
      </c>
      <c r="I18" s="10">
        <f t="shared" si="0"/>
        <v>0.23</v>
      </c>
      <c r="J18" s="1">
        <v>0.5</v>
      </c>
      <c r="M18" s="5"/>
    </row>
    <row r="19" spans="1:13" ht="12.75">
      <c r="A19" s="6"/>
      <c r="B19" s="3"/>
      <c r="C19" s="9"/>
      <c r="D19" s="6"/>
      <c r="E19" s="6"/>
      <c r="F19" s="3"/>
      <c r="G19" s="3"/>
      <c r="H19" s="10" t="s">
        <v>215</v>
      </c>
      <c r="I19" s="10"/>
      <c r="M19" s="5"/>
    </row>
    <row r="20" spans="1:13" ht="12.75">
      <c r="A20" s="6" t="s">
        <v>21</v>
      </c>
      <c r="B20" s="3" t="s">
        <v>47</v>
      </c>
      <c r="C20" s="9"/>
      <c r="D20" s="6" t="s">
        <v>153</v>
      </c>
      <c r="E20" s="6"/>
      <c r="F20" s="3">
        <v>0.05</v>
      </c>
      <c r="G20" s="3">
        <v>10</v>
      </c>
      <c r="H20" s="10"/>
      <c r="I20" s="10"/>
      <c r="J20" s="1">
        <v>0.5</v>
      </c>
      <c r="M20" s="5"/>
    </row>
    <row r="21" spans="1:13" ht="12.75">
      <c r="A21" s="6" t="s">
        <v>22</v>
      </c>
      <c r="B21" s="3" t="s">
        <v>48</v>
      </c>
      <c r="C21" s="9"/>
      <c r="D21" s="6" t="s">
        <v>153</v>
      </c>
      <c r="E21" s="6"/>
      <c r="F21" s="3"/>
      <c r="G21" s="3"/>
      <c r="H21" s="10"/>
      <c r="I21" s="10"/>
      <c r="J21" s="1">
        <v>0.5</v>
      </c>
      <c r="M21" s="5"/>
    </row>
    <row r="22" spans="1:13" ht="12.75">
      <c r="A22" s="6" t="s">
        <v>23</v>
      </c>
      <c r="B22" s="3" t="s">
        <v>49</v>
      </c>
      <c r="C22" s="9"/>
      <c r="D22" s="13"/>
      <c r="E22" s="13"/>
      <c r="F22" s="3"/>
      <c r="G22" s="3"/>
      <c r="H22" s="10"/>
      <c r="I22" s="10"/>
      <c r="J22" s="1">
        <v>2</v>
      </c>
      <c r="M22" s="5"/>
    </row>
    <row r="23" spans="1:13" ht="12.75">
      <c r="A23" s="6" t="s">
        <v>24</v>
      </c>
      <c r="B23" s="3" t="s">
        <v>195</v>
      </c>
      <c r="C23" s="38">
        <v>15</v>
      </c>
      <c r="D23" s="13" t="s">
        <v>153</v>
      </c>
      <c r="E23" s="13"/>
      <c r="F23" s="3">
        <v>0.05</v>
      </c>
      <c r="G23" s="3">
        <v>10</v>
      </c>
      <c r="H23" s="10">
        <v>0.5</v>
      </c>
      <c r="I23" s="10">
        <f t="shared" si="0"/>
        <v>0.5</v>
      </c>
      <c r="J23" s="1">
        <v>1</v>
      </c>
      <c r="M23" s="5"/>
    </row>
    <row r="24" spans="1:13" ht="12.75">
      <c r="A24" s="6" t="s">
        <v>25</v>
      </c>
      <c r="B24" s="3" t="s">
        <v>198</v>
      </c>
      <c r="C24" s="38">
        <v>15</v>
      </c>
      <c r="D24" s="6" t="s">
        <v>153</v>
      </c>
      <c r="E24" s="6"/>
      <c r="H24" s="10">
        <v>0.5</v>
      </c>
      <c r="I24" s="10">
        <f t="shared" si="0"/>
        <v>0.5</v>
      </c>
      <c r="J24" s="1">
        <v>2</v>
      </c>
      <c r="M24" s="5"/>
    </row>
    <row r="25" spans="1:13" ht="12.75">
      <c r="A25" s="6"/>
      <c r="B25" s="3" t="s">
        <v>197</v>
      </c>
      <c r="C25" s="38">
        <v>15</v>
      </c>
      <c r="D25" s="13" t="s">
        <v>153</v>
      </c>
      <c r="E25" s="13"/>
      <c r="F25" s="3">
        <v>0.05</v>
      </c>
      <c r="G25" s="3">
        <v>10</v>
      </c>
      <c r="H25" s="10">
        <v>0.5</v>
      </c>
      <c r="I25" s="10">
        <f t="shared" si="0"/>
        <v>0.5</v>
      </c>
      <c r="J25" s="1">
        <v>1</v>
      </c>
      <c r="M25" s="5"/>
    </row>
    <row r="26" spans="1:13" ht="12.75">
      <c r="A26" s="6"/>
      <c r="B26" s="3" t="s">
        <v>196</v>
      </c>
      <c r="C26" s="38">
        <v>15</v>
      </c>
      <c r="D26" s="6" t="s">
        <v>153</v>
      </c>
      <c r="E26" s="6"/>
      <c r="H26" s="10">
        <v>0.5</v>
      </c>
      <c r="I26" s="10">
        <f t="shared" si="0"/>
        <v>0.5</v>
      </c>
      <c r="J26" s="1">
        <v>2</v>
      </c>
      <c r="M26" s="5"/>
    </row>
    <row r="27" spans="1:13" ht="12.75">
      <c r="A27" s="6"/>
      <c r="B27" s="3" t="s">
        <v>199</v>
      </c>
      <c r="C27" s="38">
        <v>20</v>
      </c>
      <c r="D27" s="13" t="s">
        <v>153</v>
      </c>
      <c r="E27" s="13"/>
      <c r="F27" s="3">
        <v>0.05</v>
      </c>
      <c r="G27" s="3">
        <v>10</v>
      </c>
      <c r="H27" s="10">
        <v>0.5</v>
      </c>
      <c r="I27" s="10">
        <f t="shared" si="0"/>
        <v>0.5</v>
      </c>
      <c r="J27" s="1">
        <v>1</v>
      </c>
      <c r="M27" s="5"/>
    </row>
    <row r="28" spans="1:13" ht="12.75">
      <c r="A28" s="6"/>
      <c r="B28" s="3" t="s">
        <v>200</v>
      </c>
      <c r="C28" s="38">
        <v>20</v>
      </c>
      <c r="D28" s="6" t="s">
        <v>153</v>
      </c>
      <c r="E28" s="6"/>
      <c r="H28" s="10">
        <v>0.5</v>
      </c>
      <c r="I28" s="10">
        <f t="shared" si="0"/>
        <v>0.5</v>
      </c>
      <c r="J28" s="1">
        <v>2</v>
      </c>
      <c r="M28" s="5"/>
    </row>
    <row r="29" spans="1:13" ht="12.75">
      <c r="A29" s="6"/>
      <c r="B29" s="3" t="s">
        <v>201</v>
      </c>
      <c r="C29" s="38">
        <v>7</v>
      </c>
      <c r="D29" s="13" t="s">
        <v>150</v>
      </c>
      <c r="E29" s="13"/>
      <c r="F29" s="3">
        <v>0.05</v>
      </c>
      <c r="G29" s="3">
        <v>10</v>
      </c>
      <c r="H29" s="10">
        <v>0.3</v>
      </c>
      <c r="I29" s="10">
        <f t="shared" si="0"/>
        <v>0.3</v>
      </c>
      <c r="J29" s="1">
        <v>1</v>
      </c>
      <c r="M29" s="5"/>
    </row>
    <row r="30" spans="1:13" ht="12.75">
      <c r="A30" s="6"/>
      <c r="B30" s="3" t="s">
        <v>202</v>
      </c>
      <c r="C30" s="38">
        <v>7</v>
      </c>
      <c r="D30" s="6" t="s">
        <v>150</v>
      </c>
      <c r="E30" s="6"/>
      <c r="H30" s="10">
        <v>0.3</v>
      </c>
      <c r="I30" s="10">
        <f t="shared" si="0"/>
        <v>0.3</v>
      </c>
      <c r="J30" s="1">
        <v>2</v>
      </c>
      <c r="M30" s="5"/>
    </row>
    <row r="31" spans="1:13" ht="12.75">
      <c r="A31" s="6" t="s">
        <v>37</v>
      </c>
      <c r="B31" s="3" t="s">
        <v>50</v>
      </c>
      <c r="C31" s="9"/>
      <c r="D31" s="6" t="s">
        <v>153</v>
      </c>
      <c r="E31" s="6"/>
      <c r="F31" s="1">
        <v>0.05</v>
      </c>
      <c r="G31" s="1">
        <v>10</v>
      </c>
      <c r="H31" s="10"/>
      <c r="I31" s="10"/>
      <c r="J31" s="1">
        <v>0.5</v>
      </c>
      <c r="M31" s="5"/>
    </row>
    <row r="32" spans="1:13" ht="12.75">
      <c r="A32" s="6" t="s">
        <v>38</v>
      </c>
      <c r="B32" s="3" t="s">
        <v>51</v>
      </c>
      <c r="C32" s="9"/>
      <c r="D32" s="6" t="s">
        <v>153</v>
      </c>
      <c r="E32" s="6"/>
      <c r="H32" s="10"/>
      <c r="I32" s="10"/>
      <c r="J32" s="1">
        <v>2.5</v>
      </c>
      <c r="M32" s="5"/>
    </row>
    <row r="33" spans="1:13" ht="12.75">
      <c r="A33" s="6" t="s">
        <v>39</v>
      </c>
      <c r="B33" s="3" t="s">
        <v>205</v>
      </c>
      <c r="C33" s="9">
        <v>0.5</v>
      </c>
      <c r="D33" s="6" t="s">
        <v>150</v>
      </c>
      <c r="E33" s="6"/>
      <c r="F33" s="1">
        <v>0.025</v>
      </c>
      <c r="G33" s="1">
        <v>10</v>
      </c>
      <c r="H33" s="10">
        <v>0.3</v>
      </c>
      <c r="I33" s="10">
        <f t="shared" si="0"/>
        <v>0.3</v>
      </c>
      <c r="J33" s="1">
        <v>0.2</v>
      </c>
      <c r="M33" s="5"/>
    </row>
    <row r="34" spans="1:13" ht="12.75">
      <c r="A34" s="6" t="s">
        <v>40</v>
      </c>
      <c r="B34" s="3" t="s">
        <v>206</v>
      </c>
      <c r="C34" s="9">
        <v>1</v>
      </c>
      <c r="D34" s="6" t="s">
        <v>150</v>
      </c>
      <c r="E34" s="6"/>
      <c r="H34" s="10">
        <v>0.3</v>
      </c>
      <c r="I34" s="10">
        <f t="shared" si="0"/>
        <v>0.3</v>
      </c>
      <c r="J34" s="1">
        <v>5</v>
      </c>
      <c r="M34" s="5"/>
    </row>
    <row r="35" spans="1:13" ht="12.75">
      <c r="A35" s="6"/>
      <c r="B35" s="3" t="s">
        <v>203</v>
      </c>
      <c r="C35" s="9">
        <v>1.3</v>
      </c>
      <c r="D35" s="6" t="s">
        <v>150</v>
      </c>
      <c r="E35" s="6"/>
      <c r="F35" s="1">
        <v>0.025</v>
      </c>
      <c r="G35" s="1">
        <v>10</v>
      </c>
      <c r="H35" s="10">
        <v>0.3</v>
      </c>
      <c r="I35" s="10">
        <f t="shared" si="0"/>
        <v>0.3</v>
      </c>
      <c r="J35" s="1">
        <v>0.2</v>
      </c>
      <c r="M35" s="5"/>
    </row>
    <row r="36" spans="1:13" ht="12.75">
      <c r="A36" s="6"/>
      <c r="B36" s="3" t="s">
        <v>204</v>
      </c>
      <c r="C36" s="9">
        <v>6.2</v>
      </c>
      <c r="D36" s="6" t="s">
        <v>150</v>
      </c>
      <c r="E36" s="6"/>
      <c r="H36" s="10">
        <v>0.3</v>
      </c>
      <c r="I36" s="10">
        <f t="shared" si="0"/>
        <v>0.3</v>
      </c>
      <c r="J36" s="1">
        <v>2.5</v>
      </c>
      <c r="M36" s="5"/>
    </row>
    <row r="37" spans="1:13" ht="12.75">
      <c r="A37" s="6" t="s">
        <v>183</v>
      </c>
      <c r="B37" s="3" t="s">
        <v>52</v>
      </c>
      <c r="C37" s="12"/>
      <c r="D37" s="6" t="s">
        <v>150</v>
      </c>
      <c r="E37" s="6"/>
      <c r="H37" s="10"/>
      <c r="I37" s="10"/>
      <c r="J37" s="1">
        <v>2.5</v>
      </c>
      <c r="K37" s="4">
        <v>8.6</v>
      </c>
      <c r="L37" s="4">
        <f>K37</f>
        <v>8.6</v>
      </c>
      <c r="M37" s="5">
        <f>(K37/60)*PI()/180</f>
        <v>0.0025016385945252056</v>
      </c>
    </row>
    <row r="38" spans="1:13" ht="12.75">
      <c r="A38" s="6"/>
      <c r="B38" s="3" t="s">
        <v>207</v>
      </c>
      <c r="C38" s="9">
        <v>1</v>
      </c>
      <c r="D38" s="6" t="s">
        <v>153</v>
      </c>
      <c r="E38" s="6"/>
      <c r="F38" s="1">
        <v>0.025</v>
      </c>
      <c r="G38" s="1">
        <v>10</v>
      </c>
      <c r="H38" s="10">
        <v>0.2</v>
      </c>
      <c r="I38" s="10">
        <f t="shared" si="0"/>
        <v>0.2</v>
      </c>
      <c r="J38" s="1">
        <v>0.2</v>
      </c>
      <c r="M38" s="5"/>
    </row>
    <row r="39" spans="1:13" ht="12.75">
      <c r="A39" s="6"/>
      <c r="B39" s="3" t="s">
        <v>208</v>
      </c>
      <c r="C39" s="9">
        <v>3</v>
      </c>
      <c r="D39" s="6" t="s">
        <v>153</v>
      </c>
      <c r="E39" s="6"/>
      <c r="H39" s="10">
        <v>0.2</v>
      </c>
      <c r="I39" s="10">
        <f t="shared" si="0"/>
        <v>0.2</v>
      </c>
      <c r="J39" s="1">
        <v>1</v>
      </c>
      <c r="M39" s="5"/>
    </row>
    <row r="40" spans="1:9" ht="12.75">
      <c r="A40" s="1" t="s">
        <v>184</v>
      </c>
      <c r="B40" s="1" t="s">
        <v>53</v>
      </c>
      <c r="C40" s="4"/>
      <c r="D40" s="6"/>
      <c r="E40" s="6"/>
      <c r="H40" s="10"/>
      <c r="I40" s="10"/>
    </row>
    <row r="41" spans="7:8" ht="12.75">
      <c r="G41"/>
      <c r="H41" s="5"/>
    </row>
    <row r="42" spans="2:11" ht="12.75">
      <c r="B42" s="1" t="s">
        <v>259</v>
      </c>
      <c r="C42" s="2" t="s">
        <v>26</v>
      </c>
      <c r="D42" s="2"/>
      <c r="E42" s="2" t="s">
        <v>27</v>
      </c>
      <c r="F42" s="2"/>
      <c r="G42" s="2" t="s">
        <v>28</v>
      </c>
      <c r="H42" s="2"/>
      <c r="I42" s="5"/>
      <c r="K42" s="1" t="s">
        <v>3</v>
      </c>
    </row>
    <row r="43" spans="1:11" ht="12.75">
      <c r="A43" s="1" t="s">
        <v>29</v>
      </c>
      <c r="C43" s="1" t="s">
        <v>30</v>
      </c>
      <c r="D43" s="1" t="s">
        <v>31</v>
      </c>
      <c r="E43" s="1" t="s">
        <v>57</v>
      </c>
      <c r="F43" s="1" t="s">
        <v>32</v>
      </c>
      <c r="G43" s="1" t="s">
        <v>33</v>
      </c>
      <c r="H43" s="1" t="s">
        <v>34</v>
      </c>
      <c r="I43" s="5" t="s">
        <v>17</v>
      </c>
      <c r="J43" s="1" t="s">
        <v>151</v>
      </c>
      <c r="K43" s="1" t="s">
        <v>14</v>
      </c>
    </row>
    <row r="44" spans="1:10" ht="12.75">
      <c r="A44" s="1" t="s">
        <v>190</v>
      </c>
      <c r="B44" s="1" t="s">
        <v>166</v>
      </c>
      <c r="C44" s="1">
        <v>5</v>
      </c>
      <c r="D44" s="1">
        <v>5</v>
      </c>
      <c r="G44" s="35">
        <f>J44*60</f>
        <v>180</v>
      </c>
      <c r="H44" s="35">
        <f aca="true" t="shared" si="1" ref="H44:H56">G44</f>
        <v>180</v>
      </c>
      <c r="I44" s="14">
        <f>J44*PI()/180</f>
        <v>0.05235987755982988</v>
      </c>
      <c r="J44" s="35">
        <v>3</v>
      </c>
    </row>
    <row r="45" spans="7:10" ht="12.75">
      <c r="G45" s="35"/>
      <c r="H45" s="35"/>
      <c r="I45" s="14"/>
      <c r="J45" s="35" t="s">
        <v>214</v>
      </c>
    </row>
    <row r="46" spans="1:11" ht="12.75">
      <c r="A46" s="1" t="s">
        <v>192</v>
      </c>
      <c r="B46" s="1" t="s">
        <v>168</v>
      </c>
      <c r="C46" s="1">
        <v>10</v>
      </c>
      <c r="D46" s="1">
        <v>10</v>
      </c>
      <c r="G46" s="35">
        <f>J46*60</f>
        <v>30</v>
      </c>
      <c r="H46" s="35">
        <f t="shared" si="1"/>
        <v>30</v>
      </c>
      <c r="I46" s="5">
        <f>J46*PI()/180</f>
        <v>0.008726646259971648</v>
      </c>
      <c r="J46" s="4">
        <v>0.5</v>
      </c>
      <c r="K46" s="1">
        <v>0.5</v>
      </c>
    </row>
    <row r="47" spans="1:10" ht="12.75">
      <c r="A47" s="1" t="s">
        <v>189</v>
      </c>
      <c r="B47" s="1" t="s">
        <v>62</v>
      </c>
      <c r="C47" s="1">
        <v>10</v>
      </c>
      <c r="D47" s="1">
        <f>C47</f>
        <v>10</v>
      </c>
      <c r="E47" s="1">
        <v>0.25</v>
      </c>
      <c r="F47" s="1">
        <v>10.4</v>
      </c>
      <c r="G47" s="1">
        <f>2*60</f>
        <v>120</v>
      </c>
      <c r="H47" s="1">
        <f t="shared" si="1"/>
        <v>120</v>
      </c>
      <c r="I47" s="5">
        <f aca="true" t="shared" si="2" ref="I47:I56">(G47/60)*PI()/180</f>
        <v>0.03490658503988659</v>
      </c>
      <c r="J47" s="1">
        <f aca="true" t="shared" si="3" ref="J47:J56">G47/60</f>
        <v>2</v>
      </c>
    </row>
    <row r="48" spans="1:10" ht="12.75">
      <c r="A48" s="1" t="s">
        <v>188</v>
      </c>
      <c r="B48" s="1" t="s">
        <v>61</v>
      </c>
      <c r="E48" s="1">
        <v>0.14</v>
      </c>
      <c r="F48" s="1">
        <v>8.6</v>
      </c>
      <c r="G48" s="1">
        <v>30</v>
      </c>
      <c r="H48" s="1">
        <f t="shared" si="1"/>
        <v>30</v>
      </c>
      <c r="I48" s="5">
        <f t="shared" si="2"/>
        <v>0.008726646259971648</v>
      </c>
      <c r="J48" s="1">
        <f t="shared" si="3"/>
        <v>0.5</v>
      </c>
    </row>
    <row r="49" spans="1:10" ht="12.75">
      <c r="A49" s="6" t="s">
        <v>187</v>
      </c>
      <c r="B49" s="1" t="s">
        <v>124</v>
      </c>
      <c r="C49" s="1">
        <v>0.4</v>
      </c>
      <c r="D49" s="1">
        <f>C49</f>
        <v>0.4</v>
      </c>
      <c r="E49" s="1">
        <v>0.04</v>
      </c>
      <c r="F49" s="1">
        <v>2.8</v>
      </c>
      <c r="G49" s="1">
        <v>30</v>
      </c>
      <c r="H49" s="1">
        <f t="shared" si="1"/>
        <v>30</v>
      </c>
      <c r="I49" s="5">
        <f t="shared" si="2"/>
        <v>0.008726646259971648</v>
      </c>
      <c r="J49" s="1">
        <f t="shared" si="3"/>
        <v>0.5</v>
      </c>
    </row>
    <row r="50" spans="1:10" ht="12.75">
      <c r="A50" s="6" t="s">
        <v>187</v>
      </c>
      <c r="B50" s="1" t="s">
        <v>128</v>
      </c>
      <c r="C50" s="1">
        <v>0.5</v>
      </c>
      <c r="D50" s="1">
        <f>C50</f>
        <v>0.5</v>
      </c>
      <c r="E50" s="1">
        <v>0.04</v>
      </c>
      <c r="F50" s="1">
        <v>2.8</v>
      </c>
      <c r="G50" s="1">
        <v>30</v>
      </c>
      <c r="H50" s="1">
        <f t="shared" si="1"/>
        <v>30</v>
      </c>
      <c r="I50" s="5">
        <f t="shared" si="2"/>
        <v>0.008726646259971648</v>
      </c>
      <c r="J50" s="1">
        <f t="shared" si="3"/>
        <v>0.5</v>
      </c>
    </row>
    <row r="51" spans="1:10" ht="12.75">
      <c r="A51" s="6" t="s">
        <v>187</v>
      </c>
      <c r="B51" s="1" t="s">
        <v>131</v>
      </c>
      <c r="C51" s="1">
        <v>0.5</v>
      </c>
      <c r="D51" s="1">
        <f>C51</f>
        <v>0.5</v>
      </c>
      <c r="E51" s="1">
        <v>0.04</v>
      </c>
      <c r="F51" s="1">
        <v>2.8</v>
      </c>
      <c r="G51" s="1">
        <v>30</v>
      </c>
      <c r="H51" s="1">
        <f t="shared" si="1"/>
        <v>30</v>
      </c>
      <c r="I51" s="5">
        <f t="shared" si="2"/>
        <v>0.008726646259971648</v>
      </c>
      <c r="J51" s="1">
        <f t="shared" si="3"/>
        <v>0.5</v>
      </c>
    </row>
    <row r="52" spans="1:10" ht="12.75">
      <c r="A52" s="6" t="s">
        <v>187</v>
      </c>
      <c r="B52" s="1" t="s">
        <v>132</v>
      </c>
      <c r="C52" s="1">
        <v>0.4</v>
      </c>
      <c r="D52" s="1">
        <f>C52</f>
        <v>0.4</v>
      </c>
      <c r="E52" s="1">
        <v>0.28</v>
      </c>
      <c r="F52" s="1">
        <v>11.7</v>
      </c>
      <c r="G52" s="1">
        <v>30</v>
      </c>
      <c r="H52" s="1">
        <f t="shared" si="1"/>
        <v>30</v>
      </c>
      <c r="I52" s="5">
        <f t="shared" si="2"/>
        <v>0.008726646259971648</v>
      </c>
      <c r="J52" s="1">
        <f t="shared" si="3"/>
        <v>0.5</v>
      </c>
    </row>
    <row r="53" spans="1:10" ht="12.75">
      <c r="A53" s="1" t="s">
        <v>186</v>
      </c>
      <c r="B53" s="1" t="s">
        <v>59</v>
      </c>
      <c r="E53" s="1">
        <v>0.14</v>
      </c>
      <c r="F53" s="1">
        <v>8.6</v>
      </c>
      <c r="G53" s="1">
        <v>30</v>
      </c>
      <c r="H53" s="1">
        <f t="shared" si="1"/>
        <v>30</v>
      </c>
      <c r="I53" s="5">
        <f t="shared" si="2"/>
        <v>0.008726646259971648</v>
      </c>
      <c r="J53" s="1">
        <f t="shared" si="3"/>
        <v>0.5</v>
      </c>
    </row>
    <row r="54" spans="1:10" ht="12.75">
      <c r="A54" s="1" t="s">
        <v>185</v>
      </c>
      <c r="B54" s="1" t="s">
        <v>133</v>
      </c>
      <c r="C54" s="1">
        <v>0.4</v>
      </c>
      <c r="D54" s="1">
        <f>C54</f>
        <v>0.4</v>
      </c>
      <c r="E54" s="2">
        <v>0.14</v>
      </c>
      <c r="F54" s="2">
        <v>14.2</v>
      </c>
      <c r="G54" s="1">
        <v>30</v>
      </c>
      <c r="H54" s="1">
        <f t="shared" si="1"/>
        <v>30</v>
      </c>
      <c r="I54" s="5">
        <f t="shared" si="2"/>
        <v>0.008726646259971648</v>
      </c>
      <c r="J54" s="1">
        <f t="shared" si="3"/>
        <v>0.5</v>
      </c>
    </row>
    <row r="55" spans="1:10" ht="12.75">
      <c r="A55" s="1" t="s">
        <v>185</v>
      </c>
      <c r="B55" s="1" t="s">
        <v>135</v>
      </c>
      <c r="C55" s="1">
        <v>0.5</v>
      </c>
      <c r="D55" s="1">
        <f>C55</f>
        <v>0.5</v>
      </c>
      <c r="E55" s="2">
        <v>0.14</v>
      </c>
      <c r="F55" s="2">
        <v>14.2</v>
      </c>
      <c r="G55" s="1">
        <v>30</v>
      </c>
      <c r="H55" s="1">
        <f t="shared" si="1"/>
        <v>30</v>
      </c>
      <c r="I55" s="5">
        <f t="shared" si="2"/>
        <v>0.008726646259971648</v>
      </c>
      <c r="J55" s="1">
        <f t="shared" si="3"/>
        <v>0.5</v>
      </c>
    </row>
    <row r="56" spans="2:10" ht="12.75">
      <c r="B56" s="1" t="s">
        <v>213</v>
      </c>
      <c r="C56" s="1">
        <v>0.35</v>
      </c>
      <c r="D56" s="1">
        <v>0.35</v>
      </c>
      <c r="E56" s="1">
        <v>0.28</v>
      </c>
      <c r="F56" s="1">
        <v>12.6</v>
      </c>
      <c r="G56" s="1">
        <v>30</v>
      </c>
      <c r="H56" s="1">
        <f t="shared" si="1"/>
        <v>30</v>
      </c>
      <c r="I56" s="5">
        <f t="shared" si="2"/>
        <v>0.008726646259971648</v>
      </c>
      <c r="J56" s="1">
        <f t="shared" si="3"/>
        <v>0.5</v>
      </c>
    </row>
    <row r="58" ht="12.75">
      <c r="E58" s="1" t="s">
        <v>35</v>
      </c>
    </row>
  </sheetData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pane ySplit="1005" topLeftCell="BM1" activePane="bottomLeft" state="split"/>
      <selection pane="topLeft" activeCell="B57" sqref="B57"/>
      <selection pane="bottomLeft" activeCell="C40" sqref="C40"/>
    </sheetView>
  </sheetViews>
  <sheetFormatPr defaultColWidth="9.140625" defaultRowHeight="12.75"/>
  <cols>
    <col min="1" max="1" width="37.7109375" style="15" customWidth="1"/>
    <col min="2" max="2" width="17.00390625" style="34" customWidth="1"/>
    <col min="3" max="3" width="17.421875" style="34" customWidth="1"/>
    <col min="4" max="4" width="19.8515625" style="34" customWidth="1"/>
    <col min="5" max="5" width="23.140625" style="15" customWidth="1"/>
    <col min="6" max="6" width="11.00390625" style="15" customWidth="1"/>
    <col min="7" max="16384" width="9.140625" style="15" customWidth="1"/>
  </cols>
  <sheetData>
    <row r="1" spans="2:4" ht="12.75">
      <c r="B1" s="34" t="s">
        <v>88</v>
      </c>
      <c r="C1" s="34" t="s">
        <v>88</v>
      </c>
      <c r="D1" s="34" t="s">
        <v>88</v>
      </c>
    </row>
    <row r="2" spans="2:4" ht="12.75">
      <c r="B2" s="34" t="s">
        <v>64</v>
      </c>
      <c r="C2" s="34" t="s">
        <v>65</v>
      </c>
      <c r="D2" s="34" t="s">
        <v>66</v>
      </c>
    </row>
    <row r="3" spans="2:4" ht="12.75">
      <c r="B3" s="34" t="s">
        <v>73</v>
      </c>
      <c r="C3" s="34" t="s">
        <v>73</v>
      </c>
      <c r="D3" s="34" t="s">
        <v>143</v>
      </c>
    </row>
    <row r="4" ht="12.75">
      <c r="A4" s="23" t="s">
        <v>43</v>
      </c>
    </row>
    <row r="5" spans="1:4" ht="12.75">
      <c r="A5" s="15" t="s">
        <v>74</v>
      </c>
      <c r="B5" s="34">
        <v>0.2</v>
      </c>
      <c r="C5" s="34">
        <v>0.25</v>
      </c>
      <c r="D5" s="34">
        <v>1</v>
      </c>
    </row>
    <row r="6" spans="1:5" ht="12.75">
      <c r="A6" s="15" t="s">
        <v>76</v>
      </c>
      <c r="B6" s="34">
        <f>B7-B5</f>
        <v>0.3</v>
      </c>
      <c r="C6" s="34">
        <f>C7-C5</f>
        <v>4.25</v>
      </c>
      <c r="D6" s="34">
        <f>D7-D5</f>
        <v>5.9</v>
      </c>
      <c r="E6" s="15" t="s">
        <v>221</v>
      </c>
    </row>
    <row r="7" spans="1:5" ht="12.75">
      <c r="A7" s="15" t="s">
        <v>75</v>
      </c>
      <c r="B7" s="34">
        <v>0.5</v>
      </c>
      <c r="C7" s="34">
        <v>4.5</v>
      </c>
      <c r="D7" s="34">
        <v>6.9</v>
      </c>
      <c r="E7" s="15" t="s">
        <v>220</v>
      </c>
    </row>
    <row r="10" spans="1:8" ht="12.75">
      <c r="A10" s="23" t="s">
        <v>44</v>
      </c>
      <c r="E10" s="15" t="s">
        <v>77</v>
      </c>
      <c r="F10" s="43">
        <v>1330</v>
      </c>
      <c r="G10" s="15" t="s">
        <v>80</v>
      </c>
      <c r="H10" s="43">
        <v>6.65</v>
      </c>
    </row>
    <row r="11" spans="1:8" ht="12.75">
      <c r="A11" s="15" t="s">
        <v>74</v>
      </c>
      <c r="B11" s="44">
        <v>0.1</v>
      </c>
      <c r="C11" s="34">
        <v>0.1</v>
      </c>
      <c r="D11" s="34">
        <v>1</v>
      </c>
      <c r="E11" s="15" t="s">
        <v>78</v>
      </c>
      <c r="F11" s="43">
        <v>97</v>
      </c>
      <c r="G11" s="15" t="s">
        <v>81</v>
      </c>
      <c r="H11" s="43">
        <f>F10+H10</f>
        <v>1336.65</v>
      </c>
    </row>
    <row r="12" spans="1:8" ht="12.75">
      <c r="A12" s="15" t="s">
        <v>76</v>
      </c>
      <c r="B12" s="44">
        <f>B13-B11</f>
        <v>0.4</v>
      </c>
      <c r="C12" s="34">
        <f>C13-C11</f>
        <v>0.65</v>
      </c>
      <c r="D12" s="34">
        <f>D13-D11</f>
        <v>5.9</v>
      </c>
      <c r="E12" s="15" t="s">
        <v>79</v>
      </c>
      <c r="F12" s="43">
        <f>F10-0.5*SQRT(4*F10^2-$F$11^2)</f>
        <v>0.8845986897902094</v>
      </c>
      <c r="G12" s="15" t="s">
        <v>82</v>
      </c>
      <c r="H12" s="43">
        <f>F10-H10</f>
        <v>1323.35</v>
      </c>
    </row>
    <row r="13" spans="1:8" ht="12.75">
      <c r="A13" s="15" t="s">
        <v>75</v>
      </c>
      <c r="B13" s="34">
        <v>0.5</v>
      </c>
      <c r="C13" s="34">
        <f>(135-133.5)/2</f>
        <v>0.75</v>
      </c>
      <c r="D13" s="34">
        <v>6.9</v>
      </c>
      <c r="E13" s="15" t="s">
        <v>85</v>
      </c>
      <c r="F13" s="43">
        <f>ABS(F12-H13)</f>
        <v>0.004403895761925014</v>
      </c>
      <c r="G13" s="15" t="s">
        <v>83</v>
      </c>
      <c r="H13" s="43">
        <f>H11-0.5*SQRT(4*H11^2-$F$11^2)</f>
        <v>0.8801947940282844</v>
      </c>
    </row>
    <row r="14" spans="5:8" ht="12.75">
      <c r="E14" s="15" t="s">
        <v>86</v>
      </c>
      <c r="F14" s="43">
        <f>ABS(F12-H14)</f>
        <v>0.004448200440265282</v>
      </c>
      <c r="G14" s="15" t="s">
        <v>84</v>
      </c>
      <c r="H14" s="43">
        <f>H12-0.5*SQRT(4*H12^2-$F$11^2)</f>
        <v>0.8890468902304747</v>
      </c>
    </row>
    <row r="16" spans="1:3" ht="12.75">
      <c r="A16" s="23" t="s">
        <v>87</v>
      </c>
      <c r="C16" s="34" t="s">
        <v>90</v>
      </c>
    </row>
    <row r="17" spans="1:5" ht="12.75">
      <c r="A17" s="15" t="s">
        <v>74</v>
      </c>
      <c r="B17" s="34">
        <v>0.1</v>
      </c>
      <c r="C17" s="34">
        <v>0.1</v>
      </c>
      <c r="D17" s="34">
        <v>8.3</v>
      </c>
      <c r="E17" s="15" t="s">
        <v>154</v>
      </c>
    </row>
    <row r="18" spans="1:5" ht="12.75">
      <c r="A18" s="15" t="s">
        <v>76</v>
      </c>
      <c r="B18" s="34">
        <f>B19-B17</f>
        <v>0.4</v>
      </c>
      <c r="C18" s="34">
        <f>C19-C17</f>
        <v>2.4</v>
      </c>
      <c r="D18" s="34">
        <f>D19-D17</f>
        <v>111.7</v>
      </c>
      <c r="E18" s="15" t="s">
        <v>89</v>
      </c>
    </row>
    <row r="19" spans="1:5" ht="12.75">
      <c r="A19" s="15" t="s">
        <v>75</v>
      </c>
      <c r="B19" s="34">
        <v>0.5</v>
      </c>
      <c r="C19" s="34">
        <v>2.5</v>
      </c>
      <c r="D19" s="34">
        <v>120</v>
      </c>
      <c r="E19" s="15" t="s">
        <v>155</v>
      </c>
    </row>
    <row r="22" spans="1:3" ht="12.75">
      <c r="A22" s="23" t="s">
        <v>61</v>
      </c>
      <c r="C22" s="34" t="s">
        <v>91</v>
      </c>
    </row>
    <row r="23" spans="1:5" ht="12.75">
      <c r="A23" s="15" t="s">
        <v>74</v>
      </c>
      <c r="B23" s="34">
        <v>0.1</v>
      </c>
      <c r="C23" s="34">
        <v>0.5</v>
      </c>
      <c r="D23" s="34">
        <f>0.2*60</f>
        <v>12</v>
      </c>
      <c r="E23" s="15" t="s">
        <v>144</v>
      </c>
    </row>
    <row r="24" spans="1:5" ht="12.75">
      <c r="A24" s="15" t="s">
        <v>76</v>
      </c>
      <c r="B24" s="34">
        <f>B25-B23</f>
        <v>0.4</v>
      </c>
      <c r="C24" s="34">
        <f>C25-C23</f>
        <v>5</v>
      </c>
      <c r="D24" s="34">
        <f>D25-D23</f>
        <v>18</v>
      </c>
      <c r="E24" s="15" t="s">
        <v>145</v>
      </c>
    </row>
    <row r="25" spans="1:4" ht="12.75">
      <c r="A25" s="15" t="s">
        <v>75</v>
      </c>
      <c r="B25" s="34">
        <v>0.5</v>
      </c>
      <c r="C25" s="34">
        <v>5.5</v>
      </c>
      <c r="D25" s="34">
        <v>30</v>
      </c>
    </row>
    <row r="28" ht="12.75">
      <c r="A28" s="23" t="s">
        <v>60</v>
      </c>
    </row>
    <row r="29" spans="1:5" ht="12.75">
      <c r="A29" s="15" t="s">
        <v>74</v>
      </c>
      <c r="B29" s="34">
        <v>0.2</v>
      </c>
      <c r="C29" s="33">
        <f>SQRT(0.1^2+0.1^2)</f>
        <v>0.14142135623730953</v>
      </c>
      <c r="D29" s="34">
        <v>3</v>
      </c>
      <c r="E29" s="15" t="s">
        <v>156</v>
      </c>
    </row>
    <row r="30" spans="1:5" ht="12.75">
      <c r="A30" s="15" t="s">
        <v>76</v>
      </c>
      <c r="B30" s="34">
        <f>B31-B29</f>
        <v>1.8</v>
      </c>
      <c r="C30" s="33">
        <f>C31-C29</f>
        <v>0.25857864376269046</v>
      </c>
      <c r="D30" s="34">
        <f>D31-D29</f>
        <v>27</v>
      </c>
      <c r="E30" s="15" t="s">
        <v>222</v>
      </c>
    </row>
    <row r="31" spans="1:4" ht="12.75">
      <c r="A31" s="15" t="s">
        <v>75</v>
      </c>
      <c r="B31" s="34">
        <v>2</v>
      </c>
      <c r="C31" s="34">
        <v>0.4</v>
      </c>
      <c r="D31" s="34">
        <v>30</v>
      </c>
    </row>
    <row r="34" spans="1:3" ht="12.75">
      <c r="A34" s="23" t="s">
        <v>59</v>
      </c>
      <c r="C34" s="34" t="s">
        <v>91</v>
      </c>
    </row>
    <row r="35" spans="1:5" ht="12.75">
      <c r="A35" s="15" t="s">
        <v>74</v>
      </c>
      <c r="B35" s="34">
        <v>0.1</v>
      </c>
      <c r="C35" s="34">
        <v>0.5</v>
      </c>
      <c r="D35" s="34">
        <v>12</v>
      </c>
      <c r="E35" s="15" t="s">
        <v>144</v>
      </c>
    </row>
    <row r="36" spans="1:5" ht="12.75">
      <c r="A36" s="15" t="s">
        <v>76</v>
      </c>
      <c r="B36" s="34">
        <f>B37-B35</f>
        <v>1.9</v>
      </c>
      <c r="C36" s="34">
        <f>C37-C35</f>
        <v>1</v>
      </c>
      <c r="D36" s="34">
        <f>D37-D35</f>
        <v>18</v>
      </c>
      <c r="E36" s="15" t="s">
        <v>145</v>
      </c>
    </row>
    <row r="37" spans="1:4" ht="12.75">
      <c r="A37" s="15" t="s">
        <v>75</v>
      </c>
      <c r="B37" s="34">
        <v>2</v>
      </c>
      <c r="C37" s="34">
        <v>1.5</v>
      </c>
      <c r="D37" s="34">
        <v>30</v>
      </c>
    </row>
    <row r="40" ht="12.75">
      <c r="A40" s="23" t="s">
        <v>58</v>
      </c>
    </row>
    <row r="41" spans="1:5" ht="12.75">
      <c r="A41" s="15" t="s">
        <v>74</v>
      </c>
      <c r="B41" s="34">
        <v>0.2</v>
      </c>
      <c r="C41" s="33">
        <f>SQRT(0.1^2+0.1^2)</f>
        <v>0.14142135623730953</v>
      </c>
      <c r="D41" s="34">
        <v>10</v>
      </c>
      <c r="E41" s="15" t="s">
        <v>156</v>
      </c>
    </row>
    <row r="42" spans="1:5" ht="12.75">
      <c r="A42" s="15" t="s">
        <v>76</v>
      </c>
      <c r="B42" s="34">
        <f>B43-B41</f>
        <v>2.3</v>
      </c>
      <c r="C42" s="33">
        <f>C43-C41</f>
        <v>0.25857864376269046</v>
      </c>
      <c r="D42" s="34">
        <f>D43-D41</f>
        <v>20</v>
      </c>
      <c r="E42" s="15" t="s">
        <v>222</v>
      </c>
    </row>
    <row r="43" spans="1:4" ht="12.75">
      <c r="A43" s="15" t="s">
        <v>75</v>
      </c>
      <c r="B43" s="34">
        <v>2.5</v>
      </c>
      <c r="C43" s="34">
        <v>0.4</v>
      </c>
      <c r="D43" s="34">
        <v>30</v>
      </c>
    </row>
    <row r="46" ht="12.75">
      <c r="A46" s="23" t="s">
        <v>52</v>
      </c>
    </row>
    <row r="47" spans="1:4" ht="12.75">
      <c r="A47" s="15" t="s">
        <v>74</v>
      </c>
      <c r="B47" s="34">
        <v>0.1</v>
      </c>
      <c r="C47" s="34">
        <v>0.2</v>
      </c>
      <c r="D47" s="34">
        <v>1</v>
      </c>
    </row>
    <row r="48" spans="1:4" ht="12.75">
      <c r="A48" s="15" t="s">
        <v>76</v>
      </c>
      <c r="B48" s="34">
        <f>B49-B47</f>
        <v>4.9</v>
      </c>
      <c r="C48" s="34">
        <f>C49-C47</f>
        <v>4.8</v>
      </c>
      <c r="D48" s="34">
        <f>D49-D47</f>
        <v>7.6</v>
      </c>
    </row>
    <row r="49" spans="1:4" ht="12.75">
      <c r="A49" s="15" t="s">
        <v>75</v>
      </c>
      <c r="B49" s="34">
        <v>5</v>
      </c>
      <c r="C49" s="34">
        <v>5</v>
      </c>
      <c r="D49" s="34">
        <v>8.6</v>
      </c>
    </row>
    <row r="52" ht="12.75">
      <c r="A52" s="23" t="s">
        <v>213</v>
      </c>
    </row>
    <row r="53" spans="1:5" ht="12.75">
      <c r="A53" s="15" t="s">
        <v>74</v>
      </c>
      <c r="B53" s="34">
        <v>0.2</v>
      </c>
      <c r="C53" s="33">
        <f>SQRT(0.1^2+0.1^2)</f>
        <v>0.14142135623730953</v>
      </c>
      <c r="D53" s="34">
        <v>10</v>
      </c>
      <c r="E53" s="15" t="s">
        <v>156</v>
      </c>
    </row>
    <row r="54" spans="1:5" ht="12.75">
      <c r="A54" s="15" t="s">
        <v>76</v>
      </c>
      <c r="B54" s="34">
        <f>B55-B53</f>
        <v>2.3</v>
      </c>
      <c r="C54" s="33">
        <f>C55-C53</f>
        <v>0.20857864376269045</v>
      </c>
      <c r="D54" s="34">
        <f>D55-D53</f>
        <v>20</v>
      </c>
      <c r="E54" s="15" t="s">
        <v>222</v>
      </c>
    </row>
    <row r="55" spans="1:5" ht="12.75">
      <c r="A55" s="15" t="s">
        <v>75</v>
      </c>
      <c r="B55" s="34">
        <v>2.5</v>
      </c>
      <c r="C55" s="34">
        <v>0.35</v>
      </c>
      <c r="D55" s="34">
        <v>30</v>
      </c>
      <c r="E55" s="15" t="s">
        <v>253</v>
      </c>
    </row>
  </sheetData>
  <printOptions/>
  <pageMargins left="0.75" right="0.75" top="1" bottom="1" header="0.5" footer="0.5"/>
  <pageSetup fitToHeight="1" fitToWidth="1" horizontalDpi="600" verticalDpi="600" orientation="portrait" scale="63" r:id="rId1"/>
  <headerFooter alignWithMargins="0">
    <oddHeader>&amp;C&amp;F, 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F26" sqref="F26"/>
    </sheetView>
  </sheetViews>
  <sheetFormatPr defaultColWidth="9.140625" defaultRowHeight="12.75"/>
  <cols>
    <col min="1" max="1" width="29.8515625" style="0" customWidth="1"/>
    <col min="2" max="2" width="17.421875" style="1" customWidth="1"/>
    <col min="3" max="3" width="18.00390625" style="1" customWidth="1"/>
    <col min="4" max="4" width="20.140625" style="1" customWidth="1"/>
  </cols>
  <sheetData>
    <row r="1" spans="1:4" ht="12.75">
      <c r="A1" s="15" t="s">
        <v>146</v>
      </c>
      <c r="B1" s="16"/>
      <c r="C1" s="16"/>
      <c r="D1" s="16"/>
    </row>
    <row r="2" spans="1:4" ht="12.75">
      <c r="A2" s="17"/>
      <c r="B2" s="18"/>
      <c r="C2" s="18"/>
      <c r="D2" s="18"/>
    </row>
    <row r="3" spans="1:4" ht="12.75">
      <c r="A3" s="19" t="s">
        <v>63</v>
      </c>
      <c r="B3" s="20" t="s">
        <v>64</v>
      </c>
      <c r="C3" s="20" t="s">
        <v>65</v>
      </c>
      <c r="D3" s="20" t="s">
        <v>66</v>
      </c>
    </row>
    <row r="4" spans="1:4" ht="12.75">
      <c r="A4" s="21" t="s">
        <v>67</v>
      </c>
      <c r="B4" s="22" t="s">
        <v>68</v>
      </c>
      <c r="C4" s="22" t="s">
        <v>68</v>
      </c>
      <c r="D4" s="22" t="s">
        <v>69</v>
      </c>
    </row>
    <row r="5" spans="1:4" ht="12.75">
      <c r="A5" s="19" t="s">
        <v>173</v>
      </c>
      <c r="B5" s="20" t="s">
        <v>147</v>
      </c>
      <c r="C5" s="20" t="s">
        <v>149</v>
      </c>
      <c r="D5" s="20" t="s">
        <v>170</v>
      </c>
    </row>
    <row r="6" spans="1:4" ht="12.75">
      <c r="A6" s="21"/>
      <c r="B6" s="22"/>
      <c r="C6" s="22"/>
      <c r="D6" s="22"/>
    </row>
    <row r="7" spans="1:4" ht="12.75">
      <c r="A7" s="19" t="s">
        <v>175</v>
      </c>
      <c r="B7" s="20" t="s">
        <v>147</v>
      </c>
      <c r="C7" s="20" t="s">
        <v>147</v>
      </c>
      <c r="D7" s="20" t="s">
        <v>174</v>
      </c>
    </row>
    <row r="8" spans="1:4" ht="12.75">
      <c r="A8" s="21" t="s">
        <v>176</v>
      </c>
      <c r="B8" s="22"/>
      <c r="C8" s="22"/>
      <c r="D8" s="22"/>
    </row>
    <row r="9" spans="1:4" ht="12.75">
      <c r="A9" s="19" t="s">
        <v>43</v>
      </c>
      <c r="B9" s="20" t="s">
        <v>261</v>
      </c>
      <c r="C9" s="20" t="s">
        <v>262</v>
      </c>
      <c r="D9" s="20" t="s">
        <v>223</v>
      </c>
    </row>
    <row r="10" spans="1:4" ht="12.75">
      <c r="A10" s="19" t="s">
        <v>171</v>
      </c>
      <c r="B10" s="20"/>
      <c r="C10" s="20"/>
      <c r="D10" s="20" t="s">
        <v>224</v>
      </c>
    </row>
    <row r="11" spans="1:4" ht="12.75">
      <c r="A11" s="21" t="s">
        <v>172</v>
      </c>
      <c r="B11" s="22"/>
      <c r="C11" s="22"/>
      <c r="D11" s="22" t="s">
        <v>169</v>
      </c>
    </row>
    <row r="12" spans="1:4" ht="12.75">
      <c r="A12" s="19" t="s">
        <v>44</v>
      </c>
      <c r="B12" s="20" t="s">
        <v>157</v>
      </c>
      <c r="C12" s="20" t="s">
        <v>193</v>
      </c>
      <c r="D12" s="20" t="s">
        <v>223</v>
      </c>
    </row>
    <row r="13" spans="1:4" ht="12.75">
      <c r="A13" s="21"/>
      <c r="B13" s="22"/>
      <c r="C13" s="22"/>
      <c r="D13" s="22"/>
    </row>
    <row r="14" spans="1:4" ht="12.75">
      <c r="A14" s="19" t="s">
        <v>70</v>
      </c>
      <c r="B14" s="20" t="s">
        <v>157</v>
      </c>
      <c r="C14" s="20" t="s">
        <v>158</v>
      </c>
      <c r="D14" s="20" t="s">
        <v>227</v>
      </c>
    </row>
    <row r="15" spans="1:4" ht="12.75">
      <c r="A15" s="21"/>
      <c r="B15" s="22"/>
      <c r="C15" s="22" t="s">
        <v>148</v>
      </c>
      <c r="D15" s="22"/>
    </row>
    <row r="16" spans="1:4" ht="12.75">
      <c r="A16" s="19" t="s">
        <v>61</v>
      </c>
      <c r="B16" s="20" t="s">
        <v>157</v>
      </c>
      <c r="C16" s="20" t="s">
        <v>149</v>
      </c>
      <c r="D16" s="20" t="s">
        <v>159</v>
      </c>
    </row>
    <row r="17" spans="1:4" ht="12.75">
      <c r="A17" s="21"/>
      <c r="B17" s="22"/>
      <c r="C17" s="22"/>
      <c r="D17" s="22"/>
    </row>
    <row r="18" spans="1:4" ht="12.75">
      <c r="A18" s="19" t="s">
        <v>177</v>
      </c>
      <c r="B18" s="20" t="s">
        <v>147</v>
      </c>
      <c r="C18" s="20" t="s">
        <v>147</v>
      </c>
      <c r="D18" s="20" t="s">
        <v>178</v>
      </c>
    </row>
    <row r="19" spans="1:4" ht="12.75">
      <c r="A19" s="21"/>
      <c r="B19" s="22"/>
      <c r="C19" s="22"/>
      <c r="D19" s="22"/>
    </row>
    <row r="20" spans="1:4" ht="12.75">
      <c r="A20" s="19" t="s">
        <v>71</v>
      </c>
      <c r="B20" s="20" t="s">
        <v>160</v>
      </c>
      <c r="C20" s="20" t="s">
        <v>194</v>
      </c>
      <c r="D20" s="20" t="s">
        <v>225</v>
      </c>
    </row>
    <row r="21" spans="1:4" ht="12.75">
      <c r="A21" s="21"/>
      <c r="B21" s="22"/>
      <c r="C21" s="22"/>
      <c r="D21" s="22"/>
    </row>
    <row r="22" spans="1:4" ht="12.75">
      <c r="A22" s="19" t="s">
        <v>59</v>
      </c>
      <c r="B22" s="20" t="s">
        <v>161</v>
      </c>
      <c r="C22" s="20" t="s">
        <v>243</v>
      </c>
      <c r="D22" s="20" t="s">
        <v>159</v>
      </c>
    </row>
    <row r="23" spans="1:4" ht="12.75">
      <c r="A23" s="21"/>
      <c r="B23" s="22"/>
      <c r="C23" s="22"/>
      <c r="D23" s="22"/>
    </row>
    <row r="24" spans="1:4" ht="12.75">
      <c r="A24" s="19" t="s">
        <v>72</v>
      </c>
      <c r="B24" s="20" t="s">
        <v>162</v>
      </c>
      <c r="C24" s="20" t="s">
        <v>194</v>
      </c>
      <c r="D24" s="20" t="s">
        <v>226</v>
      </c>
    </row>
    <row r="25" spans="1:4" ht="12.75">
      <c r="A25" s="21"/>
      <c r="B25" s="22"/>
      <c r="C25" s="22"/>
      <c r="D25" s="22"/>
    </row>
    <row r="26" spans="1:4" ht="12.75">
      <c r="A26" s="19" t="s">
        <v>52</v>
      </c>
      <c r="B26" s="20" t="s">
        <v>229</v>
      </c>
      <c r="C26" s="20" t="s">
        <v>163</v>
      </c>
      <c r="D26" s="20" t="s">
        <v>228</v>
      </c>
    </row>
    <row r="27" spans="1:4" ht="12.75">
      <c r="A27" s="21"/>
      <c r="B27" s="22"/>
      <c r="C27" s="22"/>
      <c r="D27" s="22"/>
    </row>
    <row r="28" spans="1:4" ht="12.75">
      <c r="A28" s="19" t="s">
        <v>213</v>
      </c>
      <c r="B28" s="20" t="s">
        <v>162</v>
      </c>
      <c r="C28" s="20" t="s">
        <v>230</v>
      </c>
      <c r="D28" s="20" t="s">
        <v>226</v>
      </c>
    </row>
    <row r="29" spans="1:4" ht="12.75">
      <c r="A29" s="19" t="s">
        <v>254</v>
      </c>
      <c r="B29" s="20" t="s">
        <v>256</v>
      </c>
      <c r="C29" s="20"/>
      <c r="D29" s="20"/>
    </row>
    <row r="30" spans="1:4" ht="12.75">
      <c r="A30" s="21" t="s">
        <v>255</v>
      </c>
      <c r="B30" s="22" t="s">
        <v>257</v>
      </c>
      <c r="C30" s="22"/>
      <c r="D30" s="22"/>
    </row>
    <row r="32" ht="12.75">
      <c r="A32" s="15" t="s">
        <v>164</v>
      </c>
    </row>
    <row r="33" ht="12.75">
      <c r="A33" s="15" t="s">
        <v>165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&amp;C&amp;F, 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E21" sqref="E21"/>
    </sheetView>
  </sheetViews>
  <sheetFormatPr defaultColWidth="9.140625" defaultRowHeight="12.75"/>
  <cols>
    <col min="1" max="1" width="29.8515625" style="0" customWidth="1"/>
    <col min="2" max="2" width="17.421875" style="1" customWidth="1"/>
    <col min="3" max="3" width="18.00390625" style="1" customWidth="1"/>
    <col min="4" max="4" width="20.140625" style="1" customWidth="1"/>
    <col min="5" max="5" width="9.140625" style="7" customWidth="1"/>
  </cols>
  <sheetData>
    <row r="1" spans="1:4" ht="12.75">
      <c r="A1" s="15" t="s">
        <v>252</v>
      </c>
      <c r="B1" s="16"/>
      <c r="C1" s="16"/>
      <c r="D1" s="16"/>
    </row>
    <row r="2" spans="1:4" ht="12.75">
      <c r="A2" s="17"/>
      <c r="B2" s="18"/>
      <c r="C2" s="18"/>
      <c r="D2" s="18"/>
    </row>
    <row r="3" spans="1:4" ht="12.75">
      <c r="A3" s="19" t="s">
        <v>63</v>
      </c>
      <c r="B3" s="20" t="s">
        <v>64</v>
      </c>
      <c r="C3" s="20" t="s">
        <v>65</v>
      </c>
      <c r="D3" s="20" t="s">
        <v>66</v>
      </c>
    </row>
    <row r="4" spans="1:4" ht="12.75">
      <c r="A4" s="21" t="s">
        <v>67</v>
      </c>
      <c r="B4" s="22" t="s">
        <v>68</v>
      </c>
      <c r="C4" s="22" t="s">
        <v>68</v>
      </c>
      <c r="D4" s="22" t="s">
        <v>69</v>
      </c>
    </row>
    <row r="5" spans="1:5" ht="12.75">
      <c r="A5" s="19" t="s">
        <v>233</v>
      </c>
      <c r="B5" s="20" t="s">
        <v>194</v>
      </c>
      <c r="C5" s="20" t="s">
        <v>231</v>
      </c>
      <c r="D5" s="20" t="s">
        <v>232</v>
      </c>
      <c r="E5" s="42" t="s">
        <v>234</v>
      </c>
    </row>
    <row r="6" spans="1:5" ht="12.75">
      <c r="A6" s="21"/>
      <c r="B6" s="22"/>
      <c r="C6" s="22"/>
      <c r="D6" s="22"/>
      <c r="E6" s="7" t="s">
        <v>235</v>
      </c>
    </row>
    <row r="7" spans="1:4" ht="12.75">
      <c r="A7" s="19" t="s">
        <v>175</v>
      </c>
      <c r="B7" s="20" t="s">
        <v>147</v>
      </c>
      <c r="C7" s="20" t="s">
        <v>147</v>
      </c>
      <c r="D7" s="20" t="s">
        <v>174</v>
      </c>
    </row>
    <row r="8" spans="1:4" ht="12.75">
      <c r="A8" s="21" t="s">
        <v>176</v>
      </c>
      <c r="B8" s="22"/>
      <c r="C8" s="22"/>
      <c r="D8" s="22"/>
    </row>
    <row r="9" spans="1:4" ht="12.75">
      <c r="A9" s="19" t="s">
        <v>43</v>
      </c>
      <c r="B9" s="20" t="s">
        <v>261</v>
      </c>
      <c r="C9" s="20" t="s">
        <v>262</v>
      </c>
      <c r="D9" s="20" t="s">
        <v>223</v>
      </c>
    </row>
    <row r="10" spans="1:4" ht="12.75">
      <c r="A10" s="19" t="s">
        <v>171</v>
      </c>
      <c r="B10" s="20"/>
      <c r="C10" s="20"/>
      <c r="D10" s="20" t="s">
        <v>224</v>
      </c>
    </row>
    <row r="11" spans="1:4" ht="12.75">
      <c r="A11" s="21" t="s">
        <v>172</v>
      </c>
      <c r="B11" s="22"/>
      <c r="C11" s="22"/>
      <c r="D11" s="22" t="s">
        <v>169</v>
      </c>
    </row>
    <row r="12" spans="1:4" ht="12.75">
      <c r="A12" s="19" t="s">
        <v>44</v>
      </c>
      <c r="B12" s="20" t="s">
        <v>157</v>
      </c>
      <c r="C12" s="20" t="s">
        <v>193</v>
      </c>
      <c r="D12" s="20" t="s">
        <v>223</v>
      </c>
    </row>
    <row r="13" spans="1:4" ht="12.75">
      <c r="A13" s="21"/>
      <c r="B13" s="22"/>
      <c r="C13" s="22"/>
      <c r="D13" s="22"/>
    </row>
    <row r="14" spans="1:4" ht="12.75">
      <c r="A14" s="19" t="s">
        <v>70</v>
      </c>
      <c r="B14" s="20" t="s">
        <v>157</v>
      </c>
      <c r="C14" s="20" t="s">
        <v>158</v>
      </c>
      <c r="D14" s="20" t="s">
        <v>238</v>
      </c>
    </row>
    <row r="15" spans="1:4" ht="12.75">
      <c r="A15" s="21"/>
      <c r="B15" s="22"/>
      <c r="C15" s="22" t="s">
        <v>148</v>
      </c>
      <c r="D15" s="22"/>
    </row>
    <row r="16" spans="1:4" ht="12.75">
      <c r="A16" s="19" t="s">
        <v>61</v>
      </c>
      <c r="B16" s="20" t="s">
        <v>230</v>
      </c>
      <c r="C16" s="20" t="s">
        <v>236</v>
      </c>
      <c r="D16" s="20" t="s">
        <v>237</v>
      </c>
    </row>
    <row r="17" spans="1:4" ht="12.75">
      <c r="A17" s="21"/>
      <c r="B17" s="22"/>
      <c r="C17" s="22"/>
      <c r="D17" s="22"/>
    </row>
    <row r="18" spans="1:4" ht="12.75">
      <c r="A18" s="19" t="s">
        <v>177</v>
      </c>
      <c r="B18" s="20" t="s">
        <v>194</v>
      </c>
      <c r="C18" s="20" t="s">
        <v>194</v>
      </c>
      <c r="D18" s="20" t="s">
        <v>174</v>
      </c>
    </row>
    <row r="19" spans="1:4" ht="12.75">
      <c r="A19" s="21"/>
      <c r="B19" s="22"/>
      <c r="C19" s="22"/>
      <c r="D19" s="22"/>
    </row>
    <row r="20" spans="1:4" ht="12.75">
      <c r="A20" s="19" t="s">
        <v>71</v>
      </c>
      <c r="B20" s="20" t="s">
        <v>239</v>
      </c>
      <c r="C20" s="20" t="s">
        <v>240</v>
      </c>
      <c r="D20" s="20" t="s">
        <v>241</v>
      </c>
    </row>
    <row r="21" spans="1:4" ht="12.75">
      <c r="A21" s="21"/>
      <c r="B21" s="22"/>
      <c r="C21" s="22"/>
      <c r="D21" s="22"/>
    </row>
    <row r="22" spans="1:4" ht="12.75">
      <c r="A22" s="19" t="s">
        <v>59</v>
      </c>
      <c r="B22" s="20" t="s">
        <v>242</v>
      </c>
      <c r="C22" s="20" t="s">
        <v>147</v>
      </c>
      <c r="D22" s="20" t="s">
        <v>237</v>
      </c>
    </row>
    <row r="23" spans="1:4" ht="12.75">
      <c r="A23" s="21"/>
      <c r="B23" s="22"/>
      <c r="C23" s="22"/>
      <c r="D23" s="22"/>
    </row>
    <row r="24" spans="1:4" ht="12.75">
      <c r="A24" s="19" t="s">
        <v>72</v>
      </c>
      <c r="B24" s="20" t="s">
        <v>244</v>
      </c>
      <c r="C24" s="20" t="s">
        <v>240</v>
      </c>
      <c r="D24" s="20" t="s">
        <v>245</v>
      </c>
    </row>
    <row r="25" spans="1:4" ht="12.75">
      <c r="A25" s="21"/>
      <c r="B25" s="22"/>
      <c r="C25" s="22"/>
      <c r="D25" s="22"/>
    </row>
    <row r="26" spans="1:4" ht="12.75">
      <c r="A26" s="19" t="s">
        <v>52</v>
      </c>
      <c r="B26" s="20" t="s">
        <v>248</v>
      </c>
      <c r="C26" s="20" t="s">
        <v>247</v>
      </c>
      <c r="D26" s="20" t="s">
        <v>246</v>
      </c>
    </row>
    <row r="27" spans="1:4" ht="12.75">
      <c r="A27" s="21"/>
      <c r="B27" s="22"/>
      <c r="C27" s="22"/>
      <c r="D27" s="22"/>
    </row>
    <row r="28" spans="1:4" ht="12.75">
      <c r="A28" s="19" t="s">
        <v>213</v>
      </c>
      <c r="B28" s="20" t="s">
        <v>244</v>
      </c>
      <c r="C28" s="20" t="s">
        <v>249</v>
      </c>
      <c r="D28" s="20" t="s">
        <v>245</v>
      </c>
    </row>
    <row r="29" spans="1:4" ht="12.75">
      <c r="A29" s="19" t="s">
        <v>254</v>
      </c>
      <c r="B29" s="20" t="s">
        <v>256</v>
      </c>
      <c r="C29" s="20"/>
      <c r="D29" s="20"/>
    </row>
    <row r="30" spans="1:4" ht="12.75">
      <c r="A30" s="21" t="s">
        <v>255</v>
      </c>
      <c r="B30" s="22" t="s">
        <v>257</v>
      </c>
      <c r="C30" s="22"/>
      <c r="D30" s="22"/>
    </row>
    <row r="31" spans="1:4" ht="12.75">
      <c r="A31" s="19" t="s">
        <v>53</v>
      </c>
      <c r="B31" s="20" t="s">
        <v>250</v>
      </c>
      <c r="C31" s="20"/>
      <c r="D31" s="20"/>
    </row>
    <row r="32" spans="1:4" ht="12.75">
      <c r="A32" s="21"/>
      <c r="B32" s="22"/>
      <c r="C32" s="22"/>
      <c r="D32" s="22"/>
    </row>
    <row r="34" ht="12.75">
      <c r="A34" s="15" t="s">
        <v>164</v>
      </c>
    </row>
    <row r="35" ht="12.75">
      <c r="A35" s="15" t="s">
        <v>165</v>
      </c>
    </row>
  </sheetData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&amp;C&amp;F, 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E15" sqref="E15"/>
    </sheetView>
  </sheetViews>
  <sheetFormatPr defaultColWidth="9.140625" defaultRowHeight="12.75"/>
  <cols>
    <col min="1" max="1" width="29.8515625" style="0" customWidth="1"/>
    <col min="2" max="2" width="17.421875" style="1" customWidth="1"/>
    <col min="3" max="3" width="18.00390625" style="1" customWidth="1"/>
    <col min="4" max="4" width="20.140625" style="1" customWidth="1"/>
    <col min="5" max="5" width="9.140625" style="7" customWidth="1"/>
  </cols>
  <sheetData>
    <row r="1" spans="1:4" ht="12.75">
      <c r="A1" s="15" t="s">
        <v>251</v>
      </c>
      <c r="B1" s="16"/>
      <c r="C1" s="16"/>
      <c r="D1" s="16"/>
    </row>
    <row r="2" spans="1:4" ht="12.75">
      <c r="A2" s="17"/>
      <c r="B2" s="18"/>
      <c r="C2" s="18"/>
      <c r="D2" s="18"/>
    </row>
    <row r="3" spans="1:4" ht="12.75">
      <c r="A3" s="19" t="s">
        <v>63</v>
      </c>
      <c r="B3" s="20" t="s">
        <v>64</v>
      </c>
      <c r="C3" s="20" t="s">
        <v>65</v>
      </c>
      <c r="D3" s="20" t="s">
        <v>66</v>
      </c>
    </row>
    <row r="4" spans="1:4" ht="12.75">
      <c r="A4" s="21" t="s">
        <v>67</v>
      </c>
      <c r="B4" s="22" t="s">
        <v>68</v>
      </c>
      <c r="C4" s="22" t="s">
        <v>68</v>
      </c>
      <c r="D4" s="22" t="s">
        <v>69</v>
      </c>
    </row>
    <row r="5" spans="1:4" ht="12.75">
      <c r="A5" s="19" t="s">
        <v>61</v>
      </c>
      <c r="B5" s="20" t="s">
        <v>230</v>
      </c>
      <c r="C5" s="20" t="s">
        <v>236</v>
      </c>
      <c r="D5" s="20" t="s">
        <v>237</v>
      </c>
    </row>
    <row r="6" spans="1:4" ht="12.75">
      <c r="A6" s="21"/>
      <c r="B6" s="22"/>
      <c r="C6" s="22"/>
      <c r="D6" s="22"/>
    </row>
    <row r="7" spans="1:4" ht="12.75">
      <c r="A7" s="19" t="s">
        <v>177</v>
      </c>
      <c r="B7" s="20" t="s">
        <v>194</v>
      </c>
      <c r="C7" s="20" t="s">
        <v>194</v>
      </c>
      <c r="D7" s="20" t="s">
        <v>174</v>
      </c>
    </row>
    <row r="8" spans="1:4" ht="12.75">
      <c r="A8" s="21"/>
      <c r="B8" s="22"/>
      <c r="C8" s="22"/>
      <c r="D8" s="22"/>
    </row>
    <row r="9" spans="1:4" ht="12.75">
      <c r="A9" s="19" t="s">
        <v>71</v>
      </c>
      <c r="B9" s="20" t="s">
        <v>239</v>
      </c>
      <c r="C9" s="20" t="s">
        <v>240</v>
      </c>
      <c r="D9" s="20" t="s">
        <v>241</v>
      </c>
    </row>
    <row r="10" spans="1:4" ht="12.75">
      <c r="A10" s="21"/>
      <c r="B10" s="22"/>
      <c r="C10" s="22"/>
      <c r="D10" s="22"/>
    </row>
    <row r="11" spans="1:4" ht="12.75">
      <c r="A11" s="19" t="s">
        <v>59</v>
      </c>
      <c r="B11" s="20" t="s">
        <v>242</v>
      </c>
      <c r="C11" s="20" t="s">
        <v>147</v>
      </c>
      <c r="D11" s="20" t="s">
        <v>237</v>
      </c>
    </row>
    <row r="12" spans="1:4" ht="12.75">
      <c r="A12" s="21"/>
      <c r="B12" s="22"/>
      <c r="C12" s="22"/>
      <c r="D12" s="22"/>
    </row>
    <row r="13" spans="1:4" ht="12.75">
      <c r="A13" s="19" t="s">
        <v>72</v>
      </c>
      <c r="B13" s="20" t="s">
        <v>244</v>
      </c>
      <c r="C13" s="20" t="s">
        <v>240</v>
      </c>
      <c r="D13" s="20" t="s">
        <v>245</v>
      </c>
    </row>
    <row r="14" spans="1:4" ht="12.75">
      <c r="A14" s="21"/>
      <c r="B14" s="22"/>
      <c r="C14" s="22"/>
      <c r="D14" s="22"/>
    </row>
    <row r="15" spans="1:4" ht="12.75">
      <c r="A15" s="19" t="s">
        <v>52</v>
      </c>
      <c r="B15" s="20" t="s">
        <v>248</v>
      </c>
      <c r="C15" s="20" t="s">
        <v>247</v>
      </c>
      <c r="D15" s="20" t="s">
        <v>246</v>
      </c>
    </row>
    <row r="16" spans="1:4" ht="12.75">
      <c r="A16" s="21"/>
      <c r="B16" s="22"/>
      <c r="C16" s="22"/>
      <c r="D16" s="22"/>
    </row>
    <row r="17" spans="1:4" ht="12.75">
      <c r="A17" s="19" t="s">
        <v>213</v>
      </c>
      <c r="B17" s="20" t="s">
        <v>244</v>
      </c>
      <c r="C17" s="20" t="s">
        <v>249</v>
      </c>
      <c r="D17" s="20" t="s">
        <v>245</v>
      </c>
    </row>
    <row r="18" spans="1:4" ht="12.75">
      <c r="A18" s="21"/>
      <c r="B18" s="22"/>
      <c r="C18" s="22"/>
      <c r="D18" s="22"/>
    </row>
    <row r="19" spans="1:4" ht="12.75">
      <c r="A19" s="19" t="s">
        <v>53</v>
      </c>
      <c r="B19" s="20" t="s">
        <v>250</v>
      </c>
      <c r="C19" s="20"/>
      <c r="D19" s="20"/>
    </row>
    <row r="20" spans="1:4" ht="12.75">
      <c r="A20" s="21"/>
      <c r="B20" s="22"/>
      <c r="C20" s="22"/>
      <c r="D20" s="22"/>
    </row>
    <row r="22" ht="12.75">
      <c r="A22" s="15" t="s">
        <v>164</v>
      </c>
    </row>
    <row r="23" ht="12.75">
      <c r="A23" s="15" t="s">
        <v>165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&amp;C&amp;F, 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 topLeftCell="A1">
      <pane ySplit="1335" topLeftCell="BM1" activePane="bottomLeft" state="split"/>
      <selection pane="topLeft" activeCell="A1" sqref="A1"/>
      <selection pane="bottomLeft" activeCell="A16" sqref="A16"/>
    </sheetView>
  </sheetViews>
  <sheetFormatPr defaultColWidth="9.140625" defaultRowHeight="12.75"/>
  <cols>
    <col min="1" max="1" width="15.57421875" style="32" customWidth="1"/>
    <col min="2" max="2" width="14.7109375" style="31" customWidth="1"/>
    <col min="3" max="3" width="16.421875" style="32" customWidth="1"/>
    <col min="4" max="4" width="11.8515625" style="32" customWidth="1"/>
    <col min="5" max="5" width="12.421875" style="32" customWidth="1"/>
    <col min="6" max="6" width="13.140625" style="32" customWidth="1"/>
    <col min="7" max="7" width="23.00390625" style="32" customWidth="1"/>
    <col min="8" max="8" width="18.7109375" style="32" customWidth="1"/>
    <col min="9" max="9" width="27.7109375" style="32" customWidth="1"/>
    <col min="10" max="10" width="27.8515625" style="32" customWidth="1"/>
    <col min="11" max="11" width="13.57421875" style="32" customWidth="1"/>
    <col min="12" max="12" width="22.00390625" style="32" customWidth="1"/>
    <col min="13" max="13" width="20.57421875" style="31" customWidth="1"/>
    <col min="14" max="14" width="21.7109375" style="31" customWidth="1"/>
    <col min="15" max="15" width="18.00390625" style="32" customWidth="1"/>
    <col min="16" max="16" width="11.421875" style="32" customWidth="1"/>
    <col min="17" max="17" width="12.00390625" style="32" customWidth="1"/>
    <col min="18" max="16384" width="11.421875" style="32" customWidth="1"/>
  </cols>
  <sheetData>
    <row r="1" spans="1:17" s="25" customFormat="1" ht="36" customHeight="1">
      <c r="A1" s="24" t="s">
        <v>92</v>
      </c>
      <c r="B1" s="24" t="s">
        <v>93</v>
      </c>
      <c r="C1" s="24" t="s">
        <v>94</v>
      </c>
      <c r="D1" s="24" t="s">
        <v>95</v>
      </c>
      <c r="E1" s="24" t="s">
        <v>96</v>
      </c>
      <c r="F1" s="24" t="s">
        <v>97</v>
      </c>
      <c r="G1" s="24" t="s">
        <v>98</v>
      </c>
      <c r="H1" s="24" t="s">
        <v>99</v>
      </c>
      <c r="I1" s="24" t="s">
        <v>298</v>
      </c>
      <c r="J1" s="24" t="s">
        <v>299</v>
      </c>
      <c r="K1" s="24" t="s">
        <v>179</v>
      </c>
      <c r="L1" s="24" t="s">
        <v>100</v>
      </c>
      <c r="M1" s="24" t="s">
        <v>101</v>
      </c>
      <c r="N1" s="24" t="s">
        <v>102</v>
      </c>
      <c r="O1" s="24" t="s">
        <v>103</v>
      </c>
      <c r="P1" s="24" t="s">
        <v>141</v>
      </c>
      <c r="Q1" s="24" t="s">
        <v>142</v>
      </c>
    </row>
    <row r="2" spans="1:17" s="25" customFormat="1" ht="19.5" customHeight="1">
      <c r="A2" s="26"/>
      <c r="B2" s="26"/>
      <c r="C2" s="26" t="s">
        <v>104</v>
      </c>
      <c r="D2" s="26" t="s">
        <v>104</v>
      </c>
      <c r="E2" s="26" t="s">
        <v>104</v>
      </c>
      <c r="F2" s="26"/>
      <c r="G2" s="26" t="s">
        <v>104</v>
      </c>
      <c r="H2" s="26" t="s">
        <v>104</v>
      </c>
      <c r="I2" s="26" t="s">
        <v>104</v>
      </c>
      <c r="J2" s="26" t="s">
        <v>104</v>
      </c>
      <c r="K2" s="26"/>
      <c r="L2" s="26" t="s">
        <v>104</v>
      </c>
      <c r="M2" s="26" t="s">
        <v>104</v>
      </c>
      <c r="N2" s="26"/>
      <c r="O2" s="26" t="s">
        <v>105</v>
      </c>
      <c r="P2" s="26"/>
      <c r="Q2" s="26"/>
    </row>
    <row r="3" spans="1:17" s="27" customFormat="1" ht="19.5" customHeight="1">
      <c r="A3" s="37" t="s">
        <v>43</v>
      </c>
      <c r="B3" s="37" t="s">
        <v>260</v>
      </c>
      <c r="F3" s="27" t="s">
        <v>107</v>
      </c>
      <c r="G3" s="27" t="s">
        <v>108</v>
      </c>
      <c r="H3" s="27" t="s">
        <v>109</v>
      </c>
      <c r="I3" s="37" t="s">
        <v>294</v>
      </c>
      <c r="J3" s="37" t="s">
        <v>295</v>
      </c>
      <c r="L3" s="27">
        <v>25.4</v>
      </c>
      <c r="M3" s="27">
        <v>25.4</v>
      </c>
      <c r="N3" s="37" t="s">
        <v>265</v>
      </c>
      <c r="Q3" s="27">
        <v>0.95</v>
      </c>
    </row>
    <row r="4" spans="1:11" s="27" customFormat="1" ht="19.5" customHeight="1">
      <c r="A4" s="27" t="s">
        <v>110</v>
      </c>
      <c r="F4" s="27" t="s">
        <v>107</v>
      </c>
      <c r="I4" s="41" t="s">
        <v>282</v>
      </c>
      <c r="J4" s="41" t="s">
        <v>283</v>
      </c>
      <c r="K4" s="29"/>
    </row>
    <row r="5" spans="1:11" s="27" customFormat="1" ht="19.5" customHeight="1">
      <c r="A5" s="27" t="s">
        <v>111</v>
      </c>
      <c r="F5" s="27" t="s">
        <v>107</v>
      </c>
      <c r="I5" s="41" t="s">
        <v>284</v>
      </c>
      <c r="J5" s="41" t="s">
        <v>285</v>
      </c>
      <c r="K5" s="29"/>
    </row>
    <row r="6" spans="1:11" s="27" customFormat="1" ht="19.5" customHeight="1">
      <c r="A6" s="27" t="s">
        <v>112</v>
      </c>
      <c r="F6" s="27" t="s">
        <v>107</v>
      </c>
      <c r="I6" s="41" t="s">
        <v>286</v>
      </c>
      <c r="J6" s="41" t="s">
        <v>287</v>
      </c>
      <c r="K6" s="29"/>
    </row>
    <row r="7" spans="1:11" s="27" customFormat="1" ht="19.5" customHeight="1">
      <c r="A7" s="27" t="s">
        <v>113</v>
      </c>
      <c r="F7" s="27" t="s">
        <v>107</v>
      </c>
      <c r="I7" s="41" t="s">
        <v>288</v>
      </c>
      <c r="J7" s="41" t="s">
        <v>289</v>
      </c>
      <c r="K7" s="29"/>
    </row>
    <row r="8" spans="1:17" s="27" customFormat="1" ht="19.5" customHeight="1">
      <c r="A8" s="37" t="s">
        <v>44</v>
      </c>
      <c r="B8" s="37" t="s">
        <v>260</v>
      </c>
      <c r="C8" s="27">
        <f>D8/2</f>
        <v>665</v>
      </c>
      <c r="D8" s="27">
        <v>1330</v>
      </c>
      <c r="F8" s="27" t="s">
        <v>107</v>
      </c>
      <c r="G8" s="27" t="s">
        <v>114</v>
      </c>
      <c r="H8" s="27" t="s">
        <v>216</v>
      </c>
      <c r="I8" s="37" t="s">
        <v>296</v>
      </c>
      <c r="J8" s="37" t="s">
        <v>297</v>
      </c>
      <c r="K8" s="30">
        <f>C8/SQRT(137^2+137^2)</f>
        <v>3.432306638606234</v>
      </c>
      <c r="L8" s="27">
        <v>22.8</v>
      </c>
      <c r="N8" s="37" t="s">
        <v>265</v>
      </c>
      <c r="Q8" s="27">
        <v>0.95</v>
      </c>
    </row>
    <row r="9" spans="1:17" s="27" customFormat="1" ht="19.5" customHeight="1">
      <c r="A9" s="27" t="s">
        <v>115</v>
      </c>
      <c r="B9" s="37" t="s">
        <v>263</v>
      </c>
      <c r="F9" s="27" t="s">
        <v>116</v>
      </c>
      <c r="G9" s="27">
        <v>82.55</v>
      </c>
      <c r="H9" s="27">
        <v>76.2</v>
      </c>
      <c r="I9" s="28">
        <f>2*19.5605</f>
        <v>39.121</v>
      </c>
      <c r="J9" s="28">
        <f>40.44</f>
        <v>40.44</v>
      </c>
      <c r="K9" s="30"/>
      <c r="L9" s="27">
        <v>0.84</v>
      </c>
      <c r="M9" s="27">
        <v>0.84</v>
      </c>
      <c r="P9" s="27">
        <v>0.85</v>
      </c>
      <c r="Q9" s="27">
        <v>0.8</v>
      </c>
    </row>
    <row r="10" spans="1:17" s="27" customFormat="1" ht="19.5" customHeight="1">
      <c r="A10" s="27" t="s">
        <v>117</v>
      </c>
      <c r="I10" s="28">
        <f>2*22.044</f>
        <v>44.088</v>
      </c>
      <c r="J10" s="28">
        <f>2*23.1146</f>
        <v>46.2292</v>
      </c>
      <c r="K10" s="30"/>
      <c r="P10" s="27">
        <v>0.94</v>
      </c>
      <c r="Q10" s="27">
        <v>0.87</v>
      </c>
    </row>
    <row r="11" spans="1:17" s="27" customFormat="1" ht="19.5" customHeight="1">
      <c r="A11" s="27" t="s">
        <v>118</v>
      </c>
      <c r="I11" s="28">
        <f>2*27.2026</f>
        <v>54.4052</v>
      </c>
      <c r="J11" s="28">
        <f>2*29.1646</f>
        <v>58.3292</v>
      </c>
      <c r="K11" s="30"/>
      <c r="P11" s="27">
        <v>0.92</v>
      </c>
      <c r="Q11" s="27">
        <v>0.85</v>
      </c>
    </row>
    <row r="12" spans="1:17" s="27" customFormat="1" ht="19.5" customHeight="1">
      <c r="A12" s="27" t="s">
        <v>119</v>
      </c>
      <c r="I12" s="28">
        <f>2*31.9728</f>
        <v>63.9456</v>
      </c>
      <c r="J12" s="28">
        <f>2*34.7332</f>
        <v>69.4664</v>
      </c>
      <c r="K12" s="30"/>
      <c r="P12" s="27">
        <v>0.98</v>
      </c>
      <c r="Q12" s="27">
        <v>0.91</v>
      </c>
    </row>
    <row r="13" spans="1:17" s="27" customFormat="1" ht="19.5" customHeight="1">
      <c r="A13" s="27" t="s">
        <v>120</v>
      </c>
      <c r="F13" s="27" t="s">
        <v>116</v>
      </c>
      <c r="H13" s="29"/>
      <c r="I13" s="28">
        <f>2*18.3944</f>
        <v>36.7888</v>
      </c>
      <c r="J13" s="28">
        <v>36.897</v>
      </c>
      <c r="K13" s="30"/>
      <c r="Q13" s="30"/>
    </row>
    <row r="14" spans="1:17" s="27" customFormat="1" ht="19.5" customHeight="1">
      <c r="A14" s="27" t="s">
        <v>121</v>
      </c>
      <c r="F14" s="27" t="s">
        <v>116</v>
      </c>
      <c r="H14" s="29"/>
      <c r="I14" s="28">
        <f>2*18.5767</f>
        <v>37.1534</v>
      </c>
      <c r="J14" s="28">
        <f>2*18.6903</f>
        <v>37.3806</v>
      </c>
      <c r="K14" s="30"/>
      <c r="Q14" s="30"/>
    </row>
    <row r="15" spans="1:17" s="27" customFormat="1" ht="19.5" customHeight="1">
      <c r="A15" s="27" t="s">
        <v>122</v>
      </c>
      <c r="F15" s="27" t="s">
        <v>116</v>
      </c>
      <c r="H15" s="29"/>
      <c r="I15" s="28">
        <f>2*18.9874</f>
        <v>37.9748</v>
      </c>
      <c r="J15" s="28">
        <f>2*19.2704</f>
        <v>38.5408</v>
      </c>
      <c r="K15" s="30"/>
      <c r="Q15" s="30"/>
    </row>
    <row r="16" spans="1:17" s="27" customFormat="1" ht="19.5" customHeight="1">
      <c r="A16" s="27" t="s">
        <v>123</v>
      </c>
      <c r="F16" s="27" t="s">
        <v>116</v>
      </c>
      <c r="H16" s="29"/>
      <c r="I16" s="28">
        <f>2*19.3957</f>
        <v>38.7914</v>
      </c>
      <c r="J16" s="28">
        <f>2*19.9317</f>
        <v>39.8634</v>
      </c>
      <c r="K16" s="30"/>
      <c r="Q16" s="30"/>
    </row>
    <row r="17" spans="1:18" s="27" customFormat="1" ht="19.5" customHeight="1">
      <c r="A17" s="27" t="s">
        <v>124</v>
      </c>
      <c r="B17" s="27" t="s">
        <v>125</v>
      </c>
      <c r="C17" s="30">
        <f>1/((3.4198267-1)*(1/D17-1/E17+L17*(3.4198267-1)/(D17*E17*3.4198267)))</f>
        <v>225.7422675419692</v>
      </c>
      <c r="D17" s="45">
        <v>1091.7</v>
      </c>
      <c r="E17" s="45">
        <f>-D17</f>
        <v>-1091.7</v>
      </c>
      <c r="F17" s="27" t="s">
        <v>126</v>
      </c>
      <c r="G17" s="27">
        <v>52</v>
      </c>
      <c r="H17" s="27">
        <f>G17-10</f>
        <v>42</v>
      </c>
      <c r="I17" s="28">
        <f>2*18.6782</f>
        <v>37.3564</v>
      </c>
      <c r="J17" s="28">
        <f>2*18.8742</f>
        <v>37.7484</v>
      </c>
      <c r="K17" s="30">
        <f aca="true" t="shared" si="0" ref="K17:K22">ABS(C17/G17)</f>
        <v>4.341197452730177</v>
      </c>
      <c r="L17" s="45">
        <v>2.3</v>
      </c>
      <c r="M17" s="28">
        <v>1.680694</v>
      </c>
      <c r="N17" s="27" t="s">
        <v>127</v>
      </c>
      <c r="O17" s="27">
        <v>9.5</v>
      </c>
      <c r="P17" s="39">
        <f>1-0.1364</f>
        <v>0.8636</v>
      </c>
      <c r="Q17" s="30">
        <v>0.788</v>
      </c>
      <c r="R17" s="30"/>
    </row>
    <row r="18" spans="1:18" s="27" customFormat="1" ht="19.5" customHeight="1">
      <c r="A18" s="27" t="s">
        <v>128</v>
      </c>
      <c r="B18" s="37" t="s">
        <v>217</v>
      </c>
      <c r="C18" s="30">
        <f>1/((2.13597026-1)*(1/D18))</f>
        <v>237.2421263915835</v>
      </c>
      <c r="D18" s="45">
        <v>269.5</v>
      </c>
      <c r="E18" s="45" t="s">
        <v>129</v>
      </c>
      <c r="F18" s="27" t="s">
        <v>130</v>
      </c>
      <c r="G18" s="27">
        <f>2*26</f>
        <v>52</v>
      </c>
      <c r="H18" s="27">
        <v>45</v>
      </c>
      <c r="I18" s="28">
        <f>2*20.1193</f>
        <v>40.2386</v>
      </c>
      <c r="J18" s="28">
        <f>2*20.6372</f>
        <v>41.2744</v>
      </c>
      <c r="K18" s="30">
        <f t="shared" si="0"/>
        <v>4.562348584453529</v>
      </c>
      <c r="L18" s="45">
        <v>3.2</v>
      </c>
      <c r="M18" s="28">
        <v>1.942893</v>
      </c>
      <c r="N18" s="37" t="s">
        <v>218</v>
      </c>
      <c r="O18" s="27">
        <v>14.8</v>
      </c>
      <c r="P18" s="30">
        <f>1-0.0187</f>
        <v>0.9813</v>
      </c>
      <c r="Q18" s="30">
        <v>0.9762</v>
      </c>
      <c r="R18" s="30"/>
    </row>
    <row r="19" spans="1:18" s="27" customFormat="1" ht="19.5" customHeight="1">
      <c r="A19" s="27" t="s">
        <v>131</v>
      </c>
      <c r="B19" s="37" t="s">
        <v>217</v>
      </c>
      <c r="C19" s="30">
        <f>1/((2.1147291835-1)*(1/D19-1/E19+L19*(2.1147291835-1)/(D19*E19*2.1147291835)))</f>
        <v>335.8625292584948</v>
      </c>
      <c r="D19" s="45">
        <v>748</v>
      </c>
      <c r="E19" s="45">
        <f>-D19</f>
        <v>-748</v>
      </c>
      <c r="F19" s="27" t="s">
        <v>126</v>
      </c>
      <c r="G19" s="27">
        <f>2*27</f>
        <v>54</v>
      </c>
      <c r="H19" s="27">
        <v>45</v>
      </c>
      <c r="I19" s="28">
        <f>2*19.6715</f>
        <v>39.343</v>
      </c>
      <c r="J19" s="28">
        <f>2*20.4053</f>
        <v>40.8106</v>
      </c>
      <c r="K19" s="30">
        <f t="shared" si="0"/>
        <v>6.219676467749904</v>
      </c>
      <c r="L19" s="45">
        <v>3</v>
      </c>
      <c r="M19" s="28">
        <v>2.0251</v>
      </c>
      <c r="N19" s="37" t="s">
        <v>218</v>
      </c>
      <c r="O19" s="27">
        <v>25</v>
      </c>
      <c r="P19" s="30">
        <f>1-0.0107</f>
        <v>0.9893</v>
      </c>
      <c r="Q19" s="30">
        <v>0.981</v>
      </c>
      <c r="R19" s="30"/>
    </row>
    <row r="20" spans="1:18" s="27" customFormat="1" ht="19.5" customHeight="1">
      <c r="A20" s="27" t="s">
        <v>132</v>
      </c>
      <c r="B20" s="37" t="s">
        <v>217</v>
      </c>
      <c r="C20" s="30">
        <f>1/((2.1102279798-1)*(1/D20-1/E20+L20*(2.1102279798-1)/(D20*E20*2.1102279798)))</f>
        <v>296.1490410700212</v>
      </c>
      <c r="D20" s="45">
        <v>656.4</v>
      </c>
      <c r="E20" s="45">
        <f>-D20</f>
        <v>-656.4</v>
      </c>
      <c r="F20" s="27" t="s">
        <v>126</v>
      </c>
      <c r="G20" s="27">
        <f>2*40.5</f>
        <v>81</v>
      </c>
      <c r="H20" s="27">
        <v>72</v>
      </c>
      <c r="I20" s="28">
        <f>2*31.3176</f>
        <v>62.6352</v>
      </c>
      <c r="J20" s="28">
        <f>2*34.1831</f>
        <v>68.3662</v>
      </c>
      <c r="K20" s="30">
        <f t="shared" si="0"/>
        <v>3.6561610008644596</v>
      </c>
      <c r="L20" s="45">
        <v>4.5</v>
      </c>
      <c r="M20" s="28">
        <v>1.99876</v>
      </c>
      <c r="N20" s="37" t="s">
        <v>218</v>
      </c>
      <c r="O20" s="27">
        <v>34.7</v>
      </c>
      <c r="P20" s="30">
        <f>1-0.0119</f>
        <v>0.9881</v>
      </c>
      <c r="Q20" s="30">
        <v>0.979</v>
      </c>
      <c r="R20" s="30"/>
    </row>
    <row r="21" spans="1:18" s="27" customFormat="1" ht="19.5" customHeight="1">
      <c r="A21" s="27" t="s">
        <v>133</v>
      </c>
      <c r="B21" s="27" t="s">
        <v>125</v>
      </c>
      <c r="C21" s="30">
        <f>1/((3.4198267-1)*(1/D21-1/E21+L21*(3.4198267-1)/(D21*E21*3.4198267)))</f>
        <v>-74.36381707865121</v>
      </c>
      <c r="D21" s="45">
        <v>-54.4</v>
      </c>
      <c r="E21" s="46">
        <v>-80</v>
      </c>
      <c r="F21" s="37" t="s">
        <v>134</v>
      </c>
      <c r="G21" s="27">
        <f>H21+10</f>
        <v>40</v>
      </c>
      <c r="H21" s="27">
        <v>30</v>
      </c>
      <c r="I21" s="28">
        <f>2*9.608</f>
        <v>19.216</v>
      </c>
      <c r="J21" s="28">
        <f>2*10.7246</f>
        <v>21.4492</v>
      </c>
      <c r="K21" s="30">
        <f t="shared" si="0"/>
        <v>1.8590954269662803</v>
      </c>
      <c r="L21" s="45">
        <v>2</v>
      </c>
      <c r="M21" s="28">
        <v>3.26955</v>
      </c>
      <c r="N21" s="27" t="s">
        <v>127</v>
      </c>
      <c r="O21" s="27">
        <v>9.6</v>
      </c>
      <c r="P21" s="30">
        <f>1-0.01574</f>
        <v>0.98426</v>
      </c>
      <c r="Q21" s="30">
        <v>0.968</v>
      </c>
      <c r="R21" s="30"/>
    </row>
    <row r="22" spans="1:18" s="27" customFormat="1" ht="19.5" customHeight="1">
      <c r="A22" s="27" t="s">
        <v>135</v>
      </c>
      <c r="B22" s="37" t="s">
        <v>217</v>
      </c>
      <c r="C22" s="30">
        <f>1/((2.13597026-1)*(1/D22-1/E22+L22*(2.13597026-1)/(D22*E22*2.13597026)))</f>
        <v>-144.9813720883934</v>
      </c>
      <c r="D22" s="45">
        <v>-213.9</v>
      </c>
      <c r="E22" s="45">
        <v>719.5</v>
      </c>
      <c r="F22" s="37" t="s">
        <v>258</v>
      </c>
      <c r="G22" s="27">
        <f>2*22.5</f>
        <v>45</v>
      </c>
      <c r="H22" s="27">
        <v>37</v>
      </c>
      <c r="I22" s="28">
        <f>2*14.7799</f>
        <v>29.5598</v>
      </c>
      <c r="J22" s="28">
        <f>2*16.4469</f>
        <v>32.8938</v>
      </c>
      <c r="K22" s="30">
        <f t="shared" si="0"/>
        <v>3.221808268630965</v>
      </c>
      <c r="L22" s="45">
        <v>2</v>
      </c>
      <c r="M22" s="28">
        <v>3.538565</v>
      </c>
      <c r="N22" s="37" t="s">
        <v>218</v>
      </c>
      <c r="O22" s="27">
        <v>14.8</v>
      </c>
      <c r="P22" s="30">
        <f>1-0.0186</f>
        <v>0.9814</v>
      </c>
      <c r="Q22" s="30">
        <v>0.9762</v>
      </c>
      <c r="R22" s="30"/>
    </row>
    <row r="23" spans="1:13" s="27" customFormat="1" ht="19.5" customHeight="1">
      <c r="A23" s="37" t="s">
        <v>266</v>
      </c>
      <c r="B23" s="37" t="s">
        <v>278</v>
      </c>
      <c r="F23" s="27" t="s">
        <v>116</v>
      </c>
      <c r="G23" s="27">
        <v>76.9874</v>
      </c>
      <c r="H23" s="27">
        <v>64.9986</v>
      </c>
      <c r="I23" s="40" t="s">
        <v>292</v>
      </c>
      <c r="J23" s="40" t="s">
        <v>293</v>
      </c>
      <c r="K23" s="29"/>
      <c r="L23" s="37" t="s">
        <v>281</v>
      </c>
      <c r="M23" s="37" t="s">
        <v>281</v>
      </c>
    </row>
    <row r="24" spans="1:13" s="27" customFormat="1" ht="19.5" customHeight="1">
      <c r="A24" s="37" t="s">
        <v>267</v>
      </c>
      <c r="B24" s="37" t="s">
        <v>278</v>
      </c>
      <c r="F24" s="37" t="s">
        <v>116</v>
      </c>
      <c r="G24" s="27">
        <v>65.608</v>
      </c>
      <c r="H24" s="27">
        <v>55.804</v>
      </c>
      <c r="I24" s="40" t="s">
        <v>311</v>
      </c>
      <c r="J24" s="40" t="s">
        <v>310</v>
      </c>
      <c r="K24" s="29"/>
      <c r="L24" s="27" t="s">
        <v>136</v>
      </c>
      <c r="M24" s="27" t="s">
        <v>136</v>
      </c>
    </row>
    <row r="25" spans="1:13" s="27" customFormat="1" ht="19.5" customHeight="1">
      <c r="A25" s="37" t="s">
        <v>268</v>
      </c>
      <c r="B25" s="37" t="s">
        <v>279</v>
      </c>
      <c r="F25" s="37" t="s">
        <v>116</v>
      </c>
      <c r="G25" s="27">
        <v>65.608</v>
      </c>
      <c r="H25" s="27">
        <v>55.804</v>
      </c>
      <c r="I25" s="28">
        <f>2*18.1594</f>
        <v>36.3188</v>
      </c>
      <c r="J25" s="28">
        <f>2*18.3991</f>
        <v>36.7982</v>
      </c>
      <c r="K25" s="29"/>
      <c r="L25" s="27" t="s">
        <v>136</v>
      </c>
      <c r="M25" s="27" t="s">
        <v>136</v>
      </c>
    </row>
    <row r="26" spans="1:13" s="27" customFormat="1" ht="19.5" customHeight="1">
      <c r="A26" s="37" t="s">
        <v>269</v>
      </c>
      <c r="B26" s="37" t="s">
        <v>279</v>
      </c>
      <c r="F26" s="37" t="s">
        <v>116</v>
      </c>
      <c r="G26" s="27">
        <v>65.608</v>
      </c>
      <c r="H26" s="27">
        <v>55.804</v>
      </c>
      <c r="I26" s="28">
        <v>39.3548</v>
      </c>
      <c r="J26" s="28">
        <v>40.3266</v>
      </c>
      <c r="K26" s="29"/>
      <c r="L26" s="27" t="s">
        <v>136</v>
      </c>
      <c r="M26" s="27" t="s">
        <v>136</v>
      </c>
    </row>
    <row r="27" spans="1:13" s="27" customFormat="1" ht="19.5" customHeight="1">
      <c r="A27" s="37" t="s">
        <v>270</v>
      </c>
      <c r="B27" s="37" t="s">
        <v>279</v>
      </c>
      <c r="F27" s="27" t="s">
        <v>116</v>
      </c>
      <c r="G27" s="27">
        <v>65.608</v>
      </c>
      <c r="H27" s="27">
        <v>55.804</v>
      </c>
      <c r="I27" s="40">
        <f>2*19.3757</f>
        <v>38.7514</v>
      </c>
      <c r="J27" s="40">
        <f>2*20.1697</f>
        <v>40.3394</v>
      </c>
      <c r="K27" s="29"/>
      <c r="L27" s="27" t="s">
        <v>136</v>
      </c>
      <c r="M27" s="27" t="s">
        <v>136</v>
      </c>
    </row>
    <row r="28" spans="1:13" s="27" customFormat="1" ht="19.5" customHeight="1">
      <c r="A28" s="37" t="s">
        <v>271</v>
      </c>
      <c r="B28" s="37" t="s">
        <v>278</v>
      </c>
      <c r="F28" s="27" t="s">
        <v>116</v>
      </c>
      <c r="G28" s="27">
        <v>65.608</v>
      </c>
      <c r="H28" s="37">
        <v>55.804</v>
      </c>
      <c r="I28" s="40">
        <f>2*18.2059</f>
        <v>36.4118</v>
      </c>
      <c r="J28" s="40">
        <f>2*19.2113</f>
        <v>38.4226</v>
      </c>
      <c r="K28" s="29"/>
      <c r="L28" s="27" t="s">
        <v>136</v>
      </c>
      <c r="M28" s="27" t="s">
        <v>136</v>
      </c>
    </row>
    <row r="29" spans="1:13" s="27" customFormat="1" ht="19.5" customHeight="1">
      <c r="A29" s="37" t="s">
        <v>272</v>
      </c>
      <c r="B29" s="37" t="s">
        <v>279</v>
      </c>
      <c r="F29" s="27" t="s">
        <v>116</v>
      </c>
      <c r="G29" s="27">
        <v>65.608</v>
      </c>
      <c r="H29" s="27">
        <v>55.804</v>
      </c>
      <c r="I29" s="40">
        <f>2*20.5039</f>
        <v>41.0078</v>
      </c>
      <c r="J29" s="40">
        <f>2*21.5488</f>
        <v>43.0976</v>
      </c>
      <c r="K29" s="29"/>
      <c r="L29" s="27" t="s">
        <v>136</v>
      </c>
      <c r="M29" s="27" t="s">
        <v>136</v>
      </c>
    </row>
    <row r="30" spans="1:13" s="27" customFormat="1" ht="19.5" customHeight="1">
      <c r="A30" s="37" t="s">
        <v>273</v>
      </c>
      <c r="B30" s="37" t="s">
        <v>279</v>
      </c>
      <c r="F30" s="27" t="s">
        <v>116</v>
      </c>
      <c r="G30" s="27">
        <v>65.608</v>
      </c>
      <c r="H30" s="27">
        <v>55.804</v>
      </c>
      <c r="I30" s="40">
        <f>2*22.0029</f>
        <v>44.0058</v>
      </c>
      <c r="J30" s="40">
        <f>2*23.5745</f>
        <v>47.149</v>
      </c>
      <c r="K30" s="29"/>
      <c r="L30" s="27" t="s">
        <v>136</v>
      </c>
      <c r="M30" s="27" t="s">
        <v>136</v>
      </c>
    </row>
    <row r="31" spans="1:13" s="27" customFormat="1" ht="19.5" customHeight="1">
      <c r="A31" s="37" t="s">
        <v>274</v>
      </c>
      <c r="B31" s="37" t="s">
        <v>278</v>
      </c>
      <c r="F31" s="37" t="s">
        <v>116</v>
      </c>
      <c r="G31" s="37" t="s">
        <v>280</v>
      </c>
      <c r="H31" s="27">
        <v>76.2</v>
      </c>
      <c r="I31" s="40">
        <v>55.3792</v>
      </c>
      <c r="J31" s="40">
        <v>62.5736</v>
      </c>
      <c r="K31" s="29"/>
      <c r="L31" s="37" t="s">
        <v>280</v>
      </c>
      <c r="M31" s="37" t="s">
        <v>280</v>
      </c>
    </row>
    <row r="32" spans="1:13" s="27" customFormat="1" ht="19.5" customHeight="1">
      <c r="A32" s="37" t="s">
        <v>275</v>
      </c>
      <c r="B32" s="37" t="s">
        <v>279</v>
      </c>
      <c r="F32" s="37" t="s">
        <v>116</v>
      </c>
      <c r="G32" s="27">
        <v>76.9874</v>
      </c>
      <c r="H32" s="27">
        <v>64.9986</v>
      </c>
      <c r="I32" s="40">
        <f>2*23.2545</f>
        <v>46.509</v>
      </c>
      <c r="J32" s="40">
        <f>2*24.9638</f>
        <v>49.9276</v>
      </c>
      <c r="K32" s="29"/>
      <c r="L32" s="37" t="s">
        <v>281</v>
      </c>
      <c r="M32" s="37" t="s">
        <v>281</v>
      </c>
    </row>
    <row r="33" spans="1:13" s="27" customFormat="1" ht="19.5" customHeight="1">
      <c r="A33" s="37" t="s">
        <v>276</v>
      </c>
      <c r="B33" s="37" t="s">
        <v>279</v>
      </c>
      <c r="F33" s="37" t="s">
        <v>116</v>
      </c>
      <c r="G33" s="37" t="s">
        <v>280</v>
      </c>
      <c r="H33" s="27">
        <f>3*25.4</f>
        <v>76.19999999999999</v>
      </c>
      <c r="I33" s="40">
        <f>2*28.8263</f>
        <v>57.6526</v>
      </c>
      <c r="J33" s="40">
        <f>2*31.2457</f>
        <v>62.4914</v>
      </c>
      <c r="K33" s="29"/>
      <c r="L33" s="37" t="s">
        <v>280</v>
      </c>
      <c r="M33" s="37" t="s">
        <v>280</v>
      </c>
    </row>
    <row r="34" spans="1:13" s="27" customFormat="1" ht="19.5" customHeight="1">
      <c r="A34" s="37" t="s">
        <v>277</v>
      </c>
      <c r="B34" s="37" t="s">
        <v>278</v>
      </c>
      <c r="F34" s="37" t="s">
        <v>116</v>
      </c>
      <c r="G34" s="37" t="s">
        <v>280</v>
      </c>
      <c r="H34" s="37">
        <f>3.25*25.4</f>
        <v>82.55</v>
      </c>
      <c r="I34" s="40">
        <v>69.886</v>
      </c>
      <c r="J34" s="40">
        <v>76.0344</v>
      </c>
      <c r="K34" s="29"/>
      <c r="L34" s="37" t="s">
        <v>280</v>
      </c>
      <c r="M34" s="37" t="s">
        <v>280</v>
      </c>
    </row>
    <row r="35" spans="1:17" s="27" customFormat="1" ht="19.5" customHeight="1">
      <c r="A35" s="37" t="s">
        <v>52</v>
      </c>
      <c r="B35" s="27" t="s">
        <v>106</v>
      </c>
      <c r="F35" s="37" t="s">
        <v>107</v>
      </c>
      <c r="G35" s="37" t="s">
        <v>219</v>
      </c>
      <c r="H35" s="37" t="s">
        <v>264</v>
      </c>
      <c r="I35" s="40" t="s">
        <v>291</v>
      </c>
      <c r="J35" s="40" t="s">
        <v>290</v>
      </c>
      <c r="K35" s="28"/>
      <c r="L35" s="27">
        <v>19.05</v>
      </c>
      <c r="M35" s="27">
        <v>19.05</v>
      </c>
      <c r="N35" s="37" t="s">
        <v>265</v>
      </c>
      <c r="Q35" s="27">
        <v>0.95</v>
      </c>
    </row>
    <row r="36" spans="1:17" s="27" customFormat="1" ht="19.5" customHeight="1">
      <c r="A36" s="27" t="s">
        <v>137</v>
      </c>
      <c r="B36" s="27" t="s">
        <v>125</v>
      </c>
      <c r="C36" s="30">
        <f>1/((3.41982671-1)*(1/D$36-1/E$36+L$36*(3.41982671-1)/(D$36*E$36*3.41982671)))</f>
        <v>91.50577080900094</v>
      </c>
      <c r="D36" s="45">
        <v>138.6</v>
      </c>
      <c r="E36" s="45">
        <v>360.5</v>
      </c>
      <c r="F36" s="37" t="s">
        <v>134</v>
      </c>
      <c r="G36" s="27">
        <f>2*38.1</f>
        <v>76.2</v>
      </c>
      <c r="H36" s="27">
        <v>66.2</v>
      </c>
      <c r="I36" s="40" t="s">
        <v>304</v>
      </c>
      <c r="J36" s="40" t="s">
        <v>307</v>
      </c>
      <c r="K36" s="39">
        <f>C36/H$36</f>
        <v>1.3822623989275065</v>
      </c>
      <c r="L36" s="45">
        <v>5.3</v>
      </c>
      <c r="M36" s="45">
        <v>1.979</v>
      </c>
      <c r="N36" s="27" t="s">
        <v>127</v>
      </c>
      <c r="O36" s="27">
        <v>25.8</v>
      </c>
      <c r="P36" s="30">
        <f>1-0.278</f>
        <v>0.722</v>
      </c>
      <c r="Q36" s="30">
        <v>0.551</v>
      </c>
    </row>
    <row r="37" spans="1:17" s="27" customFormat="1" ht="19.5" customHeight="1">
      <c r="A37" s="27" t="s">
        <v>138</v>
      </c>
      <c r="C37" s="30">
        <f>1/((3.41870148-1)*(1/D$36-1/E$36+L$36*(3.41870148-1)/(D$36*E$36*3.41870148)))</f>
        <v>91.5485481389521</v>
      </c>
      <c r="I37" s="40" t="s">
        <v>305</v>
      </c>
      <c r="J37" s="40" t="s">
        <v>308</v>
      </c>
      <c r="K37" s="39">
        <f>C37/H$36</f>
        <v>1.3829085821593972</v>
      </c>
      <c r="P37" s="30">
        <f>1-0.1752</f>
        <v>0.8248</v>
      </c>
      <c r="Q37" s="30">
        <v>0.4674</v>
      </c>
    </row>
    <row r="38" spans="1:17" s="27" customFormat="1" ht="19.5" customHeight="1">
      <c r="A38" s="27" t="s">
        <v>139</v>
      </c>
      <c r="C38" s="30">
        <f>1/((3.4171159421-1)*(1/D$36-1/E$36+L$36*(3.4171159421-1)/(D$36*E$36*3.4171159421)))</f>
        <v>91.6088926064927</v>
      </c>
      <c r="I38" s="40" t="s">
        <v>301</v>
      </c>
      <c r="J38" s="40" t="s">
        <v>302</v>
      </c>
      <c r="K38" s="39">
        <f>C38/H$36</f>
        <v>1.3838201300074426</v>
      </c>
      <c r="P38" s="30">
        <f>1-0.1015</f>
        <v>0.8985</v>
      </c>
      <c r="Q38" s="30">
        <v>0.8216</v>
      </c>
    </row>
    <row r="39" spans="1:17" s="27" customFormat="1" ht="19.5" customHeight="1">
      <c r="A39" s="27" t="s">
        <v>140</v>
      </c>
      <c r="C39" s="30">
        <f>1/((3.41645438-1)*(1/D$36-1/E$36+L$36*(3.41645438-1)/(D$36*E$36*3.41645438)))</f>
        <v>91.63409469368591</v>
      </c>
      <c r="I39" s="40" t="s">
        <v>306</v>
      </c>
      <c r="J39" s="40" t="s">
        <v>309</v>
      </c>
      <c r="K39" s="39">
        <f>C39/H$36</f>
        <v>1.384200826188609</v>
      </c>
      <c r="P39" s="30">
        <f>1-0.0827</f>
        <v>0.9173</v>
      </c>
      <c r="Q39" s="30">
        <v>0.7503</v>
      </c>
    </row>
    <row r="40" ht="12">
      <c r="A40" s="36" t="s">
        <v>300</v>
      </c>
    </row>
    <row r="41" spans="1:23" ht="12">
      <c r="A41" s="47" t="s">
        <v>303</v>
      </c>
      <c r="B41" s="47"/>
      <c r="C41" s="47"/>
      <c r="D41" s="47"/>
      <c r="E41" s="48"/>
      <c r="F41" s="48"/>
      <c r="G41" s="48"/>
      <c r="H41" s="48"/>
      <c r="I41" s="48"/>
      <c r="J41" s="48"/>
      <c r="K41" s="48"/>
      <c r="L41" s="49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">
      <c r="A42" s="47" t="s">
        <v>313</v>
      </c>
      <c r="B42" s="47"/>
      <c r="C42" s="47"/>
      <c r="D42" s="47"/>
      <c r="E42" s="48"/>
      <c r="F42" s="48"/>
      <c r="G42" s="48"/>
      <c r="H42" s="48"/>
      <c r="I42" s="48"/>
      <c r="J42" s="48"/>
      <c r="K42" s="48"/>
      <c r="L42" s="49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2.75">
      <c r="A43" s="47" t="s">
        <v>312</v>
      </c>
      <c r="B43" s="47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ht="12">
      <c r="A44" s="36"/>
    </row>
  </sheetData>
  <printOptions/>
  <pageMargins left="0.7" right="0.5" top="0.75" bottom="0.75" header="0.5" footer="0.5"/>
  <pageSetup fitToHeight="1" fitToWidth="1" orientation="landscape" scale="42" r:id="rId1"/>
  <headerFooter alignWithMargins="0">
    <oddHeader>&amp;C&amp;F, 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Wang</cp:lastModifiedBy>
  <cp:lastPrinted>2001-03-27T20:58:48Z</cp:lastPrinted>
  <dcterms:created xsi:type="dcterms:W3CDTF">1996-11-15T05:51:36Z</dcterms:created>
  <dcterms:modified xsi:type="dcterms:W3CDTF">2001-07-27T15:04:33Z</dcterms:modified>
  <cp:category/>
  <cp:version/>
  <cp:contentType/>
  <cp:contentStatus/>
</cp:coreProperties>
</file>