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1100" windowHeight="7620" firstSheet="10" activeTab="15"/>
  </bookViews>
  <sheets>
    <sheet name="Cover Page" sheetId="1" r:id="rId1"/>
    <sheet name="Description" sheetId="2" r:id="rId2"/>
    <sheet name="MCS07 Pieces" sheetId="3" r:id="rId3"/>
    <sheet name="MCS07 Bundles" sheetId="4" r:id="rId4"/>
    <sheet name="MCS07 Containers" sheetId="5" r:id="rId5"/>
    <sheet name="Billing Determinants" sheetId="6" r:id="rId6"/>
    <sheet name="Editorial Pounds" sheetId="7" r:id="rId7"/>
    <sheet name="Interim Data" sheetId="8" r:id="rId8"/>
    <sheet name="Pieces Adj." sheetId="9" r:id="rId9"/>
    <sheet name="Adjusted Data" sheetId="10" r:id="rId10"/>
    <sheet name="Regular Rate" sheetId="11" r:id="rId11"/>
    <sheet name="Nonprofit" sheetId="12" r:id="rId12"/>
    <sheet name="Classroom" sheetId="13" r:id="rId13"/>
    <sheet name="Outside County" sheetId="14" r:id="rId14"/>
    <sheet name="Within County" sheetId="15" r:id="rId15"/>
    <sheet name="Summary" sheetId="16" r:id="rId16"/>
  </sheets>
  <definedNames>
    <definedName name="_xlnm.Print_Area" localSheetId="9">'Adjusted Data'!$A$3:$H$121</definedName>
    <definedName name="_xlnm.Print_Area" localSheetId="12">'Classroom'!$A$3:$J$131</definedName>
    <definedName name="_xlnm.Print_Area" localSheetId="0">'Cover Page'!$A$1:$L$16</definedName>
    <definedName name="_xlnm.Print_Area" localSheetId="11">'Nonprofit'!$A$3:$J$131</definedName>
    <definedName name="_xlnm.Print_Area" localSheetId="13">'Outside County'!$A$3:$J$139</definedName>
    <definedName name="_xlnm.Print_Area" localSheetId="10">'Regular Rate'!$A$3:$I$140</definedName>
    <definedName name="_xlnm.Print_Titles" localSheetId="9">'Adjusted Data'!$3:$3</definedName>
    <definedName name="_xlnm.Print_Titles" localSheetId="12">'Classroom'!$3:$3</definedName>
    <definedName name="_xlnm.Print_Titles" localSheetId="7">'Interim Data'!$1:$1</definedName>
    <definedName name="_xlnm.Print_Titles" localSheetId="11">'Nonprofit'!$3:$3</definedName>
    <definedName name="_xlnm.Print_Titles" localSheetId="13">'Outside County'!$3:$3</definedName>
    <definedName name="_xlnm.Print_Titles" localSheetId="10">'Regular Rate'!$3:$3</definedName>
  </definedNames>
  <calcPr fullCalcOnLoad="1"/>
</workbook>
</file>

<file path=xl/sharedStrings.xml><?xml version="1.0" encoding="utf-8"?>
<sst xmlns="http://schemas.openxmlformats.org/spreadsheetml/2006/main" count="1779" uniqueCount="257">
  <si>
    <t>Rate Element</t>
  </si>
  <si>
    <t>Type</t>
  </si>
  <si>
    <t>Pound Rates</t>
  </si>
  <si>
    <t xml:space="preserve">Advertising Pounds </t>
  </si>
  <si>
    <t>POUNDS</t>
  </si>
  <si>
    <t>Destinating Delivery Unit</t>
  </si>
  <si>
    <t>Destinating SCF</t>
  </si>
  <si>
    <t>Destinating ADC</t>
  </si>
  <si>
    <t>Zones 1&amp;2</t>
  </si>
  <si>
    <t xml:space="preserve">Zone 3 </t>
  </si>
  <si>
    <t xml:space="preserve">Zone 4 </t>
  </si>
  <si>
    <t xml:space="preserve">Zone 5 </t>
  </si>
  <si>
    <t xml:space="preserve">Zone 6 </t>
  </si>
  <si>
    <t xml:space="preserve">Zone 7 </t>
  </si>
  <si>
    <t xml:space="preserve">Zone 8 </t>
  </si>
  <si>
    <t>Editorial Pounds</t>
  </si>
  <si>
    <t>Other (Zone 1&amp;2 and up)</t>
  </si>
  <si>
    <t>PIECE RATES</t>
  </si>
  <si>
    <t>PIECES</t>
  </si>
  <si>
    <t>MIXED ADC BUNDLE PIECES</t>
  </si>
  <si>
    <t>Nonautomation Nonmachinable</t>
  </si>
  <si>
    <t>Nonautomation Machinable</t>
  </si>
  <si>
    <t>Automation Nonmachinable</t>
  </si>
  <si>
    <t>Automation Machinable</t>
  </si>
  <si>
    <t>Automation Letter</t>
  </si>
  <si>
    <t>ADC BUNDLE PIECES</t>
  </si>
  <si>
    <t>SCF/3-DIGIT BUNDLE PIECES</t>
  </si>
  <si>
    <t>5-DIGIT BUNDLE PIECES</t>
  </si>
  <si>
    <t>CARRIER ROUTE BUNDLE PIECES</t>
  </si>
  <si>
    <t>Basic</t>
  </si>
  <si>
    <t>High Density</t>
  </si>
  <si>
    <t>Saturation</t>
  </si>
  <si>
    <t>Firm Bundle</t>
  </si>
  <si>
    <t>PERCENTAGE EDITORIAL DISCOUNT(per-piece)</t>
  </si>
  <si>
    <t>PC DISC</t>
  </si>
  <si>
    <t>BUNDLE RATES</t>
  </si>
  <si>
    <t>BUNDLES</t>
  </si>
  <si>
    <t>Mixed ADC Sack</t>
  </si>
  <si>
    <t>Mixed ADC bundle</t>
  </si>
  <si>
    <t>ADC bundle</t>
  </si>
  <si>
    <t>3-Digit/SCF bundle</t>
  </si>
  <si>
    <t>5-Digit Bundle</t>
  </si>
  <si>
    <t>ADC Sack or Pallet</t>
  </si>
  <si>
    <t>Carrier Route bundle</t>
  </si>
  <si>
    <t>3-Digit/SCF Sack or Pallet</t>
  </si>
  <si>
    <t>5-Digit Sack or Pallet</t>
  </si>
  <si>
    <t>SACK RATES</t>
  </si>
  <si>
    <t>SACKS</t>
  </si>
  <si>
    <t>OSCF Entry</t>
  </si>
  <si>
    <t>OADC Entry</t>
  </si>
  <si>
    <t>ADC Sack</t>
  </si>
  <si>
    <t>OBMC Entry</t>
  </si>
  <si>
    <t>DBMC Entry</t>
  </si>
  <si>
    <t>DADC Entry</t>
  </si>
  <si>
    <t>3-Digit/SCF Sack</t>
  </si>
  <si>
    <t>DSCF Entry</t>
  </si>
  <si>
    <t>5-Digit/Carrier Route Sack</t>
  </si>
  <si>
    <t>DDU Entry</t>
  </si>
  <si>
    <t>PALLET RATES</t>
  </si>
  <si>
    <t>PALLETS</t>
  </si>
  <si>
    <t>ADC Pallet</t>
  </si>
  <si>
    <t>3-Digit/SCF Pallet</t>
  </si>
  <si>
    <t>5-Digit Pallet</t>
  </si>
  <si>
    <t>Calculated Revenue</t>
  </si>
  <si>
    <t>Ride-along Revenue</t>
  </si>
  <si>
    <t>RPN Revenue</t>
  </si>
  <si>
    <t>Total Revenue with Ride-along &amp; RPN</t>
  </si>
  <si>
    <t>Regular Rate</t>
  </si>
  <si>
    <t>Nonprofit</t>
  </si>
  <si>
    <t>Classroom</t>
  </si>
  <si>
    <t>SOA</t>
  </si>
  <si>
    <t>Editorial Pound Distribution</t>
  </si>
  <si>
    <t>Editorial Distribution</t>
  </si>
  <si>
    <t>Editorial</t>
  </si>
  <si>
    <t>Advertising</t>
  </si>
  <si>
    <t>Total</t>
  </si>
  <si>
    <t>FY 07</t>
  </si>
  <si>
    <t>DDU</t>
  </si>
  <si>
    <t>DSCF</t>
  </si>
  <si>
    <t>DADC</t>
  </si>
  <si>
    <t>Zone 1&amp;2</t>
  </si>
  <si>
    <t>Zone 3</t>
  </si>
  <si>
    <t>Zone 4</t>
  </si>
  <si>
    <t>Zone 5</t>
  </si>
  <si>
    <t>Zone 6</t>
  </si>
  <si>
    <t>Zone 7</t>
  </si>
  <si>
    <t>Zone 8</t>
  </si>
  <si>
    <t>Non AD</t>
  </si>
  <si>
    <t>Qtr 1</t>
  </si>
  <si>
    <t>Qtr 2</t>
  </si>
  <si>
    <t>Qtr 3</t>
  </si>
  <si>
    <t>Qtr 4 BR</t>
  </si>
  <si>
    <t>Regular</t>
  </si>
  <si>
    <t>Flats</t>
  </si>
  <si>
    <t>Basic Automation Letters</t>
  </si>
  <si>
    <t>3-Digit Automation Letters</t>
  </si>
  <si>
    <t>5-Digit Automation Letters</t>
  </si>
  <si>
    <t>Old Structure Letter-Shaped Pieces from Billing Determinants</t>
  </si>
  <si>
    <t>New Structure Letter Shaped Pieces from Billing Determinants</t>
  </si>
  <si>
    <t>MADC Automation Letters</t>
  </si>
  <si>
    <t>ADC Automation Letters</t>
  </si>
  <si>
    <t>Total Pieces</t>
  </si>
  <si>
    <t>RPW Pieces</t>
  </si>
  <si>
    <t>Difference</t>
  </si>
  <si>
    <t>The difference is nonbarcoded letter-shaped pieces and some parcel shaped pieces which may or may not be barcoded.</t>
  </si>
  <si>
    <t>Distribution of Nonautomation letter-shaped pieces plus parcel shaped pieces - RPW by Shape</t>
  </si>
  <si>
    <t>MADC BC Letters</t>
  </si>
  <si>
    <t>MADC Letters</t>
  </si>
  <si>
    <t>ADC BC Letters</t>
  </si>
  <si>
    <t>ADC Letters</t>
  </si>
  <si>
    <t>3D BC Letters</t>
  </si>
  <si>
    <t>3D Letters</t>
  </si>
  <si>
    <t>5D BC Letters</t>
  </si>
  <si>
    <t>5D Letters</t>
  </si>
  <si>
    <t>Non-Mach MADC BC Parcels</t>
  </si>
  <si>
    <t>Non-Mach MADC Parcels</t>
  </si>
  <si>
    <t>Non-Mach ADC BC Parcels</t>
  </si>
  <si>
    <t>Non-Mach ADC Parcels</t>
  </si>
  <si>
    <t>Non-Mach 3D BC Parcels</t>
  </si>
  <si>
    <t>Non-Mach 3D Parcels</t>
  </si>
  <si>
    <t>Non-Mach 5D BC Parcels</t>
  </si>
  <si>
    <t>Non-Mach 5D Parcels</t>
  </si>
  <si>
    <t>RR&amp;SOA</t>
  </si>
  <si>
    <t>NP</t>
  </si>
  <si>
    <t>CR</t>
  </si>
  <si>
    <t>RR &amp; SOA</t>
  </si>
  <si>
    <t>Machinable Nonautomation</t>
  </si>
  <si>
    <t>Nonmachinable Nonautomatiom</t>
  </si>
  <si>
    <t>Science of Agriculture</t>
  </si>
  <si>
    <t>Pounds - Volume &amp; Revenue</t>
  </si>
  <si>
    <t>Pieces - Volume &amp; Revenue</t>
  </si>
  <si>
    <t>Bundles - Volume &amp; Revenue</t>
  </si>
  <si>
    <t>Sacks - Volume &amp; Revenue</t>
  </si>
  <si>
    <t>Pallets - Volume &amp; Revenue</t>
  </si>
  <si>
    <t>Preferred rate Discounts</t>
  </si>
  <si>
    <t>Preferred Rate Discount</t>
  </si>
  <si>
    <t xml:space="preserve"> </t>
  </si>
  <si>
    <t>CATEGORY</t>
  </si>
  <si>
    <t>Delivery Unit - Pound Rate</t>
  </si>
  <si>
    <t>General - Pound Rate</t>
  </si>
  <si>
    <t>Basic Nonautomation</t>
  </si>
  <si>
    <t>Automation Flats</t>
  </si>
  <si>
    <t>3-Digit Nonautomation</t>
  </si>
  <si>
    <t>3-Digit Automation Flats</t>
  </si>
  <si>
    <t>5-Digit Nonautomation</t>
  </si>
  <si>
    <t>5-Digit Automation Flats</t>
  </si>
  <si>
    <t>Carrier Route</t>
  </si>
  <si>
    <t>Carrier Route - High Density</t>
  </si>
  <si>
    <t>Carrier Route-Saturation</t>
  </si>
  <si>
    <t>Delivery Office Entry Discount</t>
  </si>
  <si>
    <t>Pieces</t>
  </si>
  <si>
    <t>Pounds</t>
  </si>
  <si>
    <t>Calculated Rev -including DDU Disc</t>
  </si>
  <si>
    <t>Ride-Along Revenue</t>
  </si>
  <si>
    <t>Repositionable Note Revenue</t>
  </si>
  <si>
    <t>Total With Ride-Along&amp; PRN Revenues</t>
  </si>
  <si>
    <t>2007 Periodical Characteristics Study</t>
  </si>
  <si>
    <t>C-Lev</t>
  </si>
  <si>
    <t>C-Type</t>
  </si>
  <si>
    <t>C-Ent</t>
  </si>
  <si>
    <t>Sum of Volume</t>
  </si>
  <si>
    <t>Class</t>
  </si>
  <si>
    <t>B-Lev</t>
  </si>
  <si>
    <t>Comp</t>
  </si>
  <si>
    <t>Barcode</t>
  </si>
  <si>
    <t>RR</t>
  </si>
  <si>
    <t>CL</t>
  </si>
  <si>
    <t>Grand Total</t>
  </si>
  <si>
    <t>MADC</t>
  </si>
  <si>
    <t>AFSM</t>
  </si>
  <si>
    <t>BC</t>
  </si>
  <si>
    <t>NBC</t>
  </si>
  <si>
    <t>FSM1000</t>
  </si>
  <si>
    <t>ADC</t>
  </si>
  <si>
    <t>3D</t>
  </si>
  <si>
    <t>5D</t>
  </si>
  <si>
    <t xml:space="preserve">Firm </t>
  </si>
  <si>
    <t>HD</t>
  </si>
  <si>
    <t>SAT</t>
  </si>
  <si>
    <t>Sum of Bundles</t>
  </si>
  <si>
    <t>5-DIGIT</t>
  </si>
  <si>
    <t>3D/SCF</t>
  </si>
  <si>
    <t>2007 Periodical Mail Characteristics Study</t>
  </si>
  <si>
    <t>Sum of Count</t>
  </si>
  <si>
    <t>Pallet</t>
  </si>
  <si>
    <t>ORIGIN</t>
  </si>
  <si>
    <t>DBMC</t>
  </si>
  <si>
    <t>Sack</t>
  </si>
  <si>
    <t>Advertising Pounds</t>
  </si>
  <si>
    <t>R2006-1</t>
  </si>
  <si>
    <t>Delivery Unit</t>
  </si>
  <si>
    <t>SCF</t>
  </si>
  <si>
    <t>R2005-1</t>
  </si>
  <si>
    <t>EDITORIAL POUNDS - Billing Determinants Data</t>
  </si>
  <si>
    <t>Limited Circulation Preferred Discount[1]</t>
  </si>
  <si>
    <t xml:space="preserve">[1] </t>
  </si>
  <si>
    <t>Outside County</t>
  </si>
  <si>
    <t>Volume</t>
  </si>
  <si>
    <t>Within County</t>
  </si>
  <si>
    <t>Cap</t>
  </si>
  <si>
    <t>The methodology for deriving this estmate is in the preface.</t>
  </si>
  <si>
    <t>Piece Data by Machinability/Automation and Bundle Level</t>
  </si>
  <si>
    <t>Bundles by Container Levels</t>
  </si>
  <si>
    <t>Container Characteristics by Level and Entry</t>
  </si>
  <si>
    <t>Postage Statement Data - Postal One Mailing Statements</t>
  </si>
  <si>
    <t>Amount under the Cap</t>
  </si>
  <si>
    <t>Current Rate</t>
  </si>
  <si>
    <t>New Rate</t>
  </si>
  <si>
    <t>Revenue Current Rates</t>
  </si>
  <si>
    <t>Revenue New Rates</t>
  </si>
  <si>
    <t>Revenue      New Rates</t>
  </si>
  <si>
    <t>Rev/Piece</t>
  </si>
  <si>
    <t>Increase</t>
  </si>
  <si>
    <t>PERCENTAGE EDITORIAL DISCOUNT (per-piece)</t>
  </si>
  <si>
    <t>POUND RATES</t>
  </si>
  <si>
    <r>
      <t>MCS07 Pieces</t>
    </r>
    <r>
      <rPr>
        <sz val="10"/>
        <rFont val="Arial"/>
        <family val="0"/>
      </rPr>
      <t xml:space="preserve"> - Mail Characteristics Data FY 2007 for Flat-Shaped Pieces</t>
    </r>
  </si>
  <si>
    <r>
      <t>MCS07 Bundles</t>
    </r>
    <r>
      <rPr>
        <sz val="10"/>
        <rFont val="Arial"/>
        <family val="0"/>
      </rPr>
      <t xml:space="preserve"> - Mail Characteristics Data FY 2007 for Bundles</t>
    </r>
  </si>
  <si>
    <r>
      <t>MCS07 Containers</t>
    </r>
    <r>
      <rPr>
        <sz val="10"/>
        <rFont val="Arial"/>
        <family val="0"/>
      </rPr>
      <t xml:space="preserve"> - Mail Characteristics Data FY 2007 for Bundles</t>
    </r>
  </si>
  <si>
    <r>
      <t>Editorial Pounds</t>
    </r>
    <r>
      <rPr>
        <sz val="10"/>
        <rFont val="Arial"/>
        <family val="0"/>
      </rPr>
      <t xml:space="preserve"> - Postage Statement Data for Editorial Pounds - Estimation of R2005-1 regime pounds for DDU, DSCF and DADC cells</t>
    </r>
  </si>
  <si>
    <t>Periodicals Mail Characteristics Study presented in ACR USPS-FY07-14 (See Table 10 for Aggregated Outside County Data).</t>
  </si>
  <si>
    <t>Volume R2005-1 Structure - Calculated</t>
  </si>
  <si>
    <t>Volume R2006-1 Structure - Billing Determinants Data</t>
  </si>
  <si>
    <t>From the new structure breakdown - Last part of Qtr 4, FY 2007</t>
  </si>
  <si>
    <t>Editorial Discount Pieces</t>
  </si>
  <si>
    <t>Quarter 1</t>
  </si>
  <si>
    <t>Quarter 2</t>
  </si>
  <si>
    <t xml:space="preserve">Quarter 3 </t>
  </si>
  <si>
    <t>Quarter 4 BR</t>
  </si>
  <si>
    <t>Qaurer 4 AR</t>
  </si>
  <si>
    <t>R2005-1 Rates</t>
  </si>
  <si>
    <t>R2006-1 Rates</t>
  </si>
  <si>
    <t xml:space="preserve">2007 when Docket No. R2006-1 rates were in effect. </t>
  </si>
  <si>
    <t>Editorial Pounds R2005-1 Regime</t>
  </si>
  <si>
    <t>Automation Letters - R2005-1 Rate Regime</t>
  </si>
  <si>
    <t>Automation Letters - R2006-1 Rate Regime</t>
  </si>
  <si>
    <t>Editorial Pounds R2006-1 Regime</t>
  </si>
  <si>
    <t>All Other</t>
  </si>
  <si>
    <t>Periodicals Cap Compliance</t>
  </si>
  <si>
    <t>Attachment USPS-R2008-1/3</t>
  </si>
  <si>
    <t>Pieces from Mail Characteristics Study are flat-shaped, Letter-shaped barcoded pieces are available from the billing determinants.</t>
  </si>
  <si>
    <t>Adjusted Data</t>
  </si>
  <si>
    <t>Pieces Adjustments</t>
  </si>
  <si>
    <r>
      <t xml:space="preserve">Rate Element </t>
    </r>
    <r>
      <rPr>
        <sz val="10"/>
        <color indexed="8"/>
        <rFont val="Arial"/>
        <family val="2"/>
      </rPr>
      <t>- Interim Data</t>
    </r>
  </si>
  <si>
    <t>Summary</t>
  </si>
  <si>
    <r>
      <t>Adjusted Data</t>
    </r>
    <r>
      <rPr>
        <sz val="10"/>
        <rFont val="Arial"/>
        <family val="0"/>
      </rPr>
      <t xml:space="preserve"> - Adjusted Billing Determinants to be used as weights for Cap Compliance</t>
    </r>
  </si>
  <si>
    <r>
      <t>Billing Determinants</t>
    </r>
    <r>
      <rPr>
        <sz val="10"/>
        <rFont val="Arial"/>
        <family val="0"/>
      </rPr>
      <t xml:space="preserve"> - Relevant Billing Determinants Data - Advertising and Editorial Pounds, Per-piece discount pieces and letter-shaped pieces </t>
    </r>
  </si>
  <si>
    <r>
      <t>Interim Data</t>
    </r>
    <r>
      <rPr>
        <sz val="10"/>
        <rFont val="Arial"/>
        <family val="0"/>
      </rPr>
      <t xml:space="preserve"> - Combination of Piece data for flats and overall Pound data</t>
    </r>
  </si>
  <si>
    <r>
      <t>Pieces Adj.</t>
    </r>
    <r>
      <rPr>
        <sz val="10"/>
        <rFont val="Arial"/>
        <family val="0"/>
      </rPr>
      <t xml:space="preserve"> - Estimation for MADC and ADC automation letter-shaped pieces plus the allocation of residual pieces.</t>
    </r>
  </si>
  <si>
    <r>
      <t>Regular Rate</t>
    </r>
    <r>
      <rPr>
        <sz val="10"/>
        <rFont val="Arial"/>
        <family val="0"/>
      </rPr>
      <t xml:space="preserve"> - Adjusted Data for Regular Rate</t>
    </r>
  </si>
  <si>
    <r>
      <t>Outside County</t>
    </r>
    <r>
      <rPr>
        <sz val="10"/>
        <rFont val="Arial"/>
        <family val="0"/>
      </rPr>
      <t xml:space="preserve"> - Combined Outside County Cap Calculation </t>
    </r>
  </si>
  <si>
    <r>
      <t>Within County</t>
    </r>
    <r>
      <rPr>
        <sz val="10"/>
        <rFont val="Arial"/>
        <family val="0"/>
      </rPr>
      <t xml:space="preserve"> - Cap Calculation for Within County</t>
    </r>
  </si>
  <si>
    <r>
      <t>Summary</t>
    </r>
    <r>
      <rPr>
        <sz val="10"/>
        <rFont val="Arial"/>
        <family val="0"/>
      </rPr>
      <t xml:space="preserve"> - Verification overall revenue increase does not exceed authorized rate authority.</t>
    </r>
  </si>
  <si>
    <t>Docket No. R2008-1</t>
  </si>
  <si>
    <t>DESCRIPTION OF WORKSHEETS</t>
  </si>
  <si>
    <r>
      <t>Nonprofit</t>
    </r>
    <r>
      <rPr>
        <sz val="10"/>
        <rFont val="Arial"/>
        <family val="0"/>
      </rPr>
      <t xml:space="preserve"> - Adjusted Data for Nonprofit and calculation of revenue based on current and new rates. </t>
    </r>
  </si>
  <si>
    <r>
      <t>Classroom</t>
    </r>
    <r>
      <rPr>
        <sz val="10"/>
        <rFont val="Arial"/>
        <family val="0"/>
      </rPr>
      <t xml:space="preserve"> - Adjusted Data for Classroom and calculation of revenue based on current and new rates. </t>
    </r>
  </si>
  <si>
    <t xml:space="preserve">Note: R2005-1 data refers to FY 2007 volume when the Docket No. R2005-1 rate were in effect while R2006-1 volume is for FY 2007 volume after July 14th,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</si>
</sst>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#,##0.000"/>
    <numFmt numFmtId="169" formatCode="0.0%"/>
    <numFmt numFmtId="170" formatCode="0.000%"/>
    <numFmt numFmtId="171" formatCode="#,##0.00000000"/>
    <numFmt numFmtId="172" formatCode="#,##0.000000000"/>
    <numFmt numFmtId="173" formatCode="#,##0.0000000000"/>
    <numFmt numFmtId="174" formatCode="_(&quot;$&quot;* #,##0.000_);_(&quot;$&quot;* \(#,##0.000\);_(&quot;$&quot;* &quot;-&quot;??_);_(@_)"/>
    <numFmt numFmtId="175" formatCode="_(* #,##0.000_);_(* \(#,##0.000\);_(* &quot;-&quot;?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,##0.00000000_);\(#,##0.00000000\)"/>
    <numFmt numFmtId="179" formatCode="#,##0.000000000_);\(#,##0.000000000\)"/>
    <numFmt numFmtId="180" formatCode="_(&quot;$&quot;* #,##0.0000_);_(&quot;$&quot;* \(#,##0.0000\);_(&quot;$&quot;* &quot;-&quot;??_);_(@_)"/>
    <numFmt numFmtId="181" formatCode="0.000000%"/>
    <numFmt numFmtId="182" formatCode="#,##0.0_);\(#,##0.0\)"/>
    <numFmt numFmtId="183" formatCode="#,##0.000_);\(#,##0.000\)"/>
    <numFmt numFmtId="184" formatCode="_(* #,##0.000_);_(* \(#,##0.000\);_(* &quot;-&quot;??_);_(@_)"/>
    <numFmt numFmtId="185" formatCode="#,##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(&quot;$&quot;* #,##0.00000_);_(&quot;$&quot;* \(#,##0.00000\);_(&quot;$&quot;* &quot;-&quot;??_);_(@_)"/>
    <numFmt numFmtId="191" formatCode="_(&quot;$&quot;* #,##0.000000_);_(&quot;$&quot;* \(#,##0.000000\);_(&quot;$&quot;* &quot;-&quot;??_);_(@_)"/>
    <numFmt numFmtId="192" formatCode="_(&quot;$&quot;* #,##0.0000000_);_(&quot;$&quot;* \(#,##0.0000000\);_(&quot;$&quot;* &quot;-&quot;??_);_(@_)"/>
    <numFmt numFmtId="193" formatCode="_(&quot;$&quot;* #,##0.00000000_);_(&quot;$&quot;* \(#,##0.00000000\);_(&quot;$&quot;* &quot;-&quot;??_);_(@_)"/>
    <numFmt numFmtId="194" formatCode="_(&quot;$&quot;* #,##0.000000000_);_(&quot;$&quot;* \(#,##0.000000000\);_(&quot;$&quot;* &quot;-&quot;??_);_(@_)"/>
  </numFmts>
  <fonts count="12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37" fontId="0" fillId="0" borderId="0" xfId="0" applyNumberFormat="1" applyAlignment="1">
      <alignment/>
    </xf>
    <xf numFmtId="10" fontId="0" fillId="0" borderId="0" xfId="21" applyNumberFormat="1" applyAlignment="1">
      <alignment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170" fontId="0" fillId="0" borderId="0" xfId="21" applyNumberFormat="1" applyAlignment="1">
      <alignment/>
    </xf>
    <xf numFmtId="169" fontId="0" fillId="0" borderId="0" xfId="21" applyNumberFormat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174" fontId="0" fillId="0" borderId="0" xfId="17" applyNumberFormat="1" applyAlignment="1">
      <alignment/>
    </xf>
    <xf numFmtId="164" fontId="7" fillId="0" borderId="0" xfId="0" applyNumberFormat="1" applyFont="1" applyAlignment="1">
      <alignment/>
    </xf>
    <xf numFmtId="175" fontId="0" fillId="0" borderId="0" xfId="0" applyNumberFormat="1" applyAlignment="1">
      <alignment/>
    </xf>
    <xf numFmtId="177" fontId="0" fillId="0" borderId="0" xfId="17" applyNumberFormat="1" applyAlignment="1">
      <alignment/>
    </xf>
    <xf numFmtId="177" fontId="0" fillId="0" borderId="0" xfId="0" applyNumberFormat="1" applyAlignment="1">
      <alignment/>
    </xf>
    <xf numFmtId="174" fontId="0" fillId="0" borderId="0" xfId="17" applyNumberFormat="1" applyAlignment="1">
      <alignment/>
    </xf>
    <xf numFmtId="177" fontId="0" fillId="0" borderId="0" xfId="17" applyNumberFormat="1" applyAlignment="1">
      <alignment/>
    </xf>
    <xf numFmtId="166" fontId="0" fillId="0" borderId="0" xfId="15" applyNumberFormat="1" applyAlignment="1">
      <alignment/>
    </xf>
    <xf numFmtId="169" fontId="0" fillId="0" borderId="0" xfId="21" applyNumberFormat="1" applyAlignment="1">
      <alignment/>
    </xf>
    <xf numFmtId="180" fontId="0" fillId="0" borderId="0" xfId="17" applyNumberFormat="1" applyAlignment="1">
      <alignment/>
    </xf>
    <xf numFmtId="181" fontId="0" fillId="0" borderId="0" xfId="0" applyNumberFormat="1" applyAlignment="1">
      <alignment/>
    </xf>
    <xf numFmtId="9" fontId="0" fillId="0" borderId="0" xfId="21" applyAlignment="1">
      <alignment/>
    </xf>
    <xf numFmtId="0" fontId="0" fillId="0" borderId="0" xfId="0" applyFont="1" applyAlignment="1">
      <alignment/>
    </xf>
    <xf numFmtId="166" fontId="4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4" fontId="0" fillId="0" borderId="0" xfId="17" applyNumberFormat="1" applyFont="1" applyAlignment="1">
      <alignment/>
    </xf>
    <xf numFmtId="0" fontId="0" fillId="0" borderId="1" xfId="0" applyBorder="1" applyAlignment="1">
      <alignment horizontal="right"/>
    </xf>
    <xf numFmtId="169" fontId="0" fillId="0" borderId="2" xfId="21" applyNumberFormat="1" applyBorder="1" applyAlignment="1">
      <alignment/>
    </xf>
    <xf numFmtId="170" fontId="0" fillId="0" borderId="2" xfId="21" applyNumberFormat="1" applyBorder="1" applyAlignment="1">
      <alignment/>
    </xf>
    <xf numFmtId="0" fontId="0" fillId="0" borderId="0" xfId="0" applyFont="1" applyBorder="1" applyAlignment="1">
      <alignment/>
    </xf>
    <xf numFmtId="164" fontId="8" fillId="0" borderId="0" xfId="0" applyNumberFormat="1" applyFont="1" applyFill="1" applyBorder="1" applyAlignment="1" applyProtection="1">
      <alignment horizontal="left"/>
      <protection/>
    </xf>
    <xf numFmtId="191" fontId="0" fillId="0" borderId="0" xfId="17" applyNumberFormat="1" applyFill="1" applyAlignment="1">
      <alignment/>
    </xf>
    <xf numFmtId="191" fontId="0" fillId="0" borderId="0" xfId="17" applyNumberFormat="1" applyAlignment="1">
      <alignment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174" fontId="0" fillId="0" borderId="0" xfId="17" applyNumberFormat="1" applyFont="1" applyAlignment="1">
      <alignment horizontal="right"/>
    </xf>
    <xf numFmtId="0" fontId="0" fillId="0" borderId="0" xfId="0" applyFill="1" applyAlignment="1">
      <alignment/>
    </xf>
    <xf numFmtId="169" fontId="0" fillId="0" borderId="2" xfId="21" applyNumberFormat="1" applyFill="1" applyBorder="1" applyAlignment="1">
      <alignment/>
    </xf>
    <xf numFmtId="169" fontId="0" fillId="0" borderId="0" xfId="21" applyNumberFormat="1" applyFill="1" applyAlignment="1">
      <alignment/>
    </xf>
    <xf numFmtId="37" fontId="7" fillId="0" borderId="0" xfId="0" applyNumberFormat="1" applyFont="1" applyAlignment="1">
      <alignment/>
    </xf>
    <xf numFmtId="164" fontId="2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J15"/>
  <sheetViews>
    <sheetView workbookViewId="0" topLeftCell="A1">
      <selection activeCell="J16" sqref="J16"/>
    </sheetView>
  </sheetViews>
  <sheetFormatPr defaultColWidth="9.140625" defaultRowHeight="12.75"/>
  <sheetData>
    <row r="6" spans="3:10" ht="20.25">
      <c r="C6" s="61" t="s">
        <v>237</v>
      </c>
      <c r="D6" s="61"/>
      <c r="E6" s="61"/>
      <c r="F6" s="61"/>
      <c r="G6" s="61"/>
      <c r="H6" s="61"/>
      <c r="I6" s="61"/>
      <c r="J6" s="61"/>
    </row>
    <row r="7" spans="3:10" ht="20.25">
      <c r="C7" s="61" t="s">
        <v>238</v>
      </c>
      <c r="D7" s="61"/>
      <c r="E7" s="61"/>
      <c r="F7" s="61"/>
      <c r="G7" s="61"/>
      <c r="H7" s="61"/>
      <c r="I7" s="61"/>
      <c r="J7" s="61"/>
    </row>
    <row r="15" ht="12.75">
      <c r="J15" t="s">
        <v>252</v>
      </c>
    </row>
  </sheetData>
  <mergeCells count="2">
    <mergeCell ref="C6:J6"/>
    <mergeCell ref="C7:J7"/>
  </mergeCells>
  <printOptions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2" sqref="A2"/>
    </sheetView>
  </sheetViews>
  <sheetFormatPr defaultColWidth="9.140625" defaultRowHeight="12.75"/>
  <cols>
    <col min="1" max="1" width="3.140625" style="0" customWidth="1"/>
    <col min="2" max="2" width="3.57421875" style="0" customWidth="1"/>
    <col min="3" max="3" width="41.7109375" style="0" customWidth="1"/>
    <col min="4" max="4" width="9.8515625" style="0" customWidth="1"/>
    <col min="5" max="6" width="15.28125" style="0" customWidth="1"/>
    <col min="7" max="7" width="12.28125" style="0" customWidth="1"/>
    <col min="8" max="8" width="11.140625" style="0" customWidth="1"/>
  </cols>
  <sheetData>
    <row r="1" ht="12.75">
      <c r="A1" s="40" t="s">
        <v>240</v>
      </c>
    </row>
    <row r="3" spans="1:8" ht="12.75">
      <c r="A3" s="23" t="s">
        <v>0</v>
      </c>
      <c r="B3" s="23"/>
      <c r="C3" s="40"/>
      <c r="D3" s="23" t="s">
        <v>1</v>
      </c>
      <c r="E3" s="17" t="s">
        <v>67</v>
      </c>
      <c r="F3" s="17" t="s">
        <v>68</v>
      </c>
      <c r="G3" s="17" t="s">
        <v>69</v>
      </c>
      <c r="H3" s="17" t="s">
        <v>70</v>
      </c>
    </row>
    <row r="4" spans="1:4" ht="12.75">
      <c r="A4" s="21" t="s">
        <v>2</v>
      </c>
      <c r="B4" s="21"/>
      <c r="D4" s="21"/>
    </row>
    <row r="5" spans="2:4" ht="12.75">
      <c r="B5" s="21" t="s">
        <v>3</v>
      </c>
      <c r="D5" s="21"/>
    </row>
    <row r="6" spans="3:10" ht="12.75">
      <c r="C6" s="21" t="s">
        <v>5</v>
      </c>
      <c r="D6" s="21" t="s">
        <v>4</v>
      </c>
      <c r="E6" s="13">
        <f>'Interim Data'!E4</f>
        <v>23739549.27421482</v>
      </c>
      <c r="F6" s="13">
        <f>'Interim Data'!F4</f>
        <v>324745.1560158001</v>
      </c>
      <c r="G6" s="13">
        <f>'Interim Data'!G4</f>
        <v>1197.735549194815</v>
      </c>
      <c r="H6" s="13">
        <f>'Interim Data'!H4</f>
        <v>78704.91979239458</v>
      </c>
      <c r="I6" s="13"/>
      <c r="J6" s="13"/>
    </row>
    <row r="7" spans="3:10" ht="12.75">
      <c r="C7" s="21" t="s">
        <v>6</v>
      </c>
      <c r="D7" s="21" t="s">
        <v>4</v>
      </c>
      <c r="E7" s="13">
        <f>'Interim Data'!E5</f>
        <v>879597816.0458272</v>
      </c>
      <c r="F7" s="13">
        <f>'Interim Data'!F5</f>
        <v>84880120.70490609</v>
      </c>
      <c r="G7" s="13">
        <f>'Interim Data'!G5</f>
        <v>1288873.3260909722</v>
      </c>
      <c r="H7" s="13">
        <f>'Interim Data'!H5</f>
        <v>1194621.7111986987</v>
      </c>
      <c r="I7" s="13"/>
      <c r="J7" s="13"/>
    </row>
    <row r="8" spans="3:10" ht="12.75">
      <c r="C8" s="21" t="s">
        <v>7</v>
      </c>
      <c r="D8" s="21" t="s">
        <v>4</v>
      </c>
      <c r="E8" s="13">
        <f>'Interim Data'!E6</f>
        <v>164390997.38634813</v>
      </c>
      <c r="F8" s="13">
        <f>'Interim Data'!F6</f>
        <v>15431605.691657905</v>
      </c>
      <c r="G8" s="13">
        <f>'Interim Data'!G6</f>
        <v>221325.53075414174</v>
      </c>
      <c r="H8" s="13">
        <f>'Interim Data'!H6</f>
        <v>18220.697532048693</v>
      </c>
      <c r="I8" s="13"/>
      <c r="J8" s="13"/>
    </row>
    <row r="9" spans="3:10" ht="12.75">
      <c r="C9" s="21" t="s">
        <v>8</v>
      </c>
      <c r="D9" s="21" t="s">
        <v>4</v>
      </c>
      <c r="E9" s="13">
        <f>'Interim Data'!E7</f>
        <v>101797625.39788255</v>
      </c>
      <c r="F9" s="13">
        <f>'Interim Data'!F7</f>
        <v>8921171.659036985</v>
      </c>
      <c r="G9" s="13">
        <f>'Interim Data'!G7</f>
        <v>134364.6856982564</v>
      </c>
      <c r="H9" s="13">
        <f>'Interim Data'!H7</f>
        <v>5784148.339968669</v>
      </c>
      <c r="I9" s="13"/>
      <c r="J9" s="13"/>
    </row>
    <row r="10" spans="3:10" ht="12.75">
      <c r="C10" s="21" t="s">
        <v>9</v>
      </c>
      <c r="D10" s="21" t="s">
        <v>4</v>
      </c>
      <c r="E10" s="13">
        <f>'Interim Data'!E8</f>
        <v>47705844.78610232</v>
      </c>
      <c r="F10" s="13">
        <f>'Interim Data'!F8</f>
        <v>4488942.9110380225</v>
      </c>
      <c r="G10" s="13">
        <f>'Interim Data'!G8</f>
        <v>238988.8088489014</v>
      </c>
      <c r="H10" s="13">
        <f>'Interim Data'!H8</f>
        <v>1456608.0128326828</v>
      </c>
      <c r="I10" s="13"/>
      <c r="J10" s="13"/>
    </row>
    <row r="11" spans="3:10" ht="12.75">
      <c r="C11" s="21" t="s">
        <v>10</v>
      </c>
      <c r="D11" s="21" t="s">
        <v>4</v>
      </c>
      <c r="E11" s="13">
        <f>'Interim Data'!E9</f>
        <v>62436219.312698</v>
      </c>
      <c r="F11" s="13">
        <f>'Interim Data'!F9</f>
        <v>5601864.110310309</v>
      </c>
      <c r="G11" s="13">
        <f>'Interim Data'!G9</f>
        <v>454113.8154444433</v>
      </c>
      <c r="H11" s="13">
        <f>'Interim Data'!H9</f>
        <v>414516.3995410098</v>
      </c>
      <c r="I11" s="13"/>
      <c r="J11" s="13"/>
    </row>
    <row r="12" spans="3:10" ht="12.75">
      <c r="C12" s="21" t="s">
        <v>11</v>
      </c>
      <c r="D12" s="21" t="s">
        <v>4</v>
      </c>
      <c r="E12" s="13">
        <f>'Interim Data'!E10</f>
        <v>62943036.13107028</v>
      </c>
      <c r="F12" s="13">
        <f>'Interim Data'!F10</f>
        <v>5711868.926585312</v>
      </c>
      <c r="G12" s="13">
        <f>'Interim Data'!G10</f>
        <v>436710.02041909564</v>
      </c>
      <c r="H12" s="13">
        <f>'Interim Data'!H10</f>
        <v>164052.7880817394</v>
      </c>
      <c r="I12" s="13"/>
      <c r="J12" s="13"/>
    </row>
    <row r="13" spans="3:10" ht="12.75">
      <c r="C13" s="21" t="s">
        <v>12</v>
      </c>
      <c r="D13" s="21" t="s">
        <v>4</v>
      </c>
      <c r="E13" s="13">
        <f>'Interim Data'!E11</f>
        <v>26092877.692591712</v>
      </c>
      <c r="F13" s="13">
        <f>'Interim Data'!F11</f>
        <v>2474796.525368054</v>
      </c>
      <c r="G13" s="13">
        <f>'Interim Data'!G11</f>
        <v>94535.75478603096</v>
      </c>
      <c r="H13" s="13">
        <f>'Interim Data'!H11</f>
        <v>40177.462450775485</v>
      </c>
      <c r="I13" s="13"/>
      <c r="J13" s="13"/>
    </row>
    <row r="14" spans="3:10" ht="12.75">
      <c r="C14" s="21" t="s">
        <v>13</v>
      </c>
      <c r="D14" s="21" t="s">
        <v>4</v>
      </c>
      <c r="E14" s="13">
        <f>'Interim Data'!E12</f>
        <v>18118318.03067471</v>
      </c>
      <c r="F14" s="13">
        <f>'Interim Data'!F12</f>
        <v>1707683.108360128</v>
      </c>
      <c r="G14" s="13">
        <f>'Interim Data'!G12</f>
        <v>82280.21196254657</v>
      </c>
      <c r="H14" s="13">
        <f>'Interim Data'!H12</f>
        <v>32708.59254126218</v>
      </c>
      <c r="I14" s="13"/>
      <c r="J14" s="13"/>
    </row>
    <row r="15" spans="3:10" ht="12.75">
      <c r="C15" s="21" t="s">
        <v>14</v>
      </c>
      <c r="D15" s="21" t="s">
        <v>4</v>
      </c>
      <c r="E15" s="13">
        <f>'Interim Data'!E13</f>
        <v>24382177.472982578</v>
      </c>
      <c r="F15" s="13">
        <f>'Interim Data'!F13</f>
        <v>3352776.7228549547</v>
      </c>
      <c r="G15" s="13">
        <f>'Interim Data'!G13</f>
        <v>117791.58484627644</v>
      </c>
      <c r="H15" s="13">
        <f>'Interim Data'!H13</f>
        <v>21533.05106392343</v>
      </c>
      <c r="I15" s="13"/>
      <c r="J15" s="13"/>
    </row>
    <row r="16" spans="2:8" ht="12.75">
      <c r="B16" s="21" t="s">
        <v>15</v>
      </c>
      <c r="D16" s="21"/>
      <c r="G16" s="13"/>
      <c r="H16" s="13"/>
    </row>
    <row r="17" spans="3:10" ht="12.75">
      <c r="C17" s="21" t="s">
        <v>5</v>
      </c>
      <c r="D17" s="21" t="s">
        <v>4</v>
      </c>
      <c r="E17" s="13">
        <f>'Interim Data'!E15</f>
        <v>13918857.182965282</v>
      </c>
      <c r="F17" s="13">
        <f>'Interim Data'!F15</f>
        <v>2734681.287231704</v>
      </c>
      <c r="G17" s="13">
        <f>'Interim Data'!G15</f>
        <v>175464.67623873774</v>
      </c>
      <c r="H17" s="13">
        <f>'Interim Data'!H15</f>
        <v>37969.0743728759</v>
      </c>
      <c r="I17" s="13"/>
      <c r="J17" s="13"/>
    </row>
    <row r="18" spans="3:10" ht="12.75">
      <c r="C18" s="21" t="s">
        <v>6</v>
      </c>
      <c r="D18" s="21" t="s">
        <v>4</v>
      </c>
      <c r="E18" s="13">
        <f>'Interim Data'!E16</f>
        <v>971297011.6629062</v>
      </c>
      <c r="F18" s="13">
        <f>'Interim Data'!F16</f>
        <v>209131017.21669436</v>
      </c>
      <c r="G18" s="13">
        <f>'Interim Data'!G16</f>
        <v>13030268.157548312</v>
      </c>
      <c r="H18" s="13">
        <f>'Interim Data'!H16</f>
        <v>2354394.173243588</v>
      </c>
      <c r="I18" s="13"/>
      <c r="J18" s="13"/>
    </row>
    <row r="19" spans="3:10" ht="12.75">
      <c r="C19" s="21" t="s">
        <v>7</v>
      </c>
      <c r="D19" s="21" t="s">
        <v>4</v>
      </c>
      <c r="E19" s="13">
        <f>'Interim Data'!E17</f>
        <v>195194164.28523415</v>
      </c>
      <c r="F19" s="13">
        <f>'Interim Data'!F17</f>
        <v>41174795.944085434</v>
      </c>
      <c r="G19" s="13">
        <f>'Interim Data'!G17</f>
        <v>2583486.265163711</v>
      </c>
      <c r="H19" s="13">
        <f>'Interim Data'!H17</f>
        <v>445632.2601942716</v>
      </c>
      <c r="I19" s="13"/>
      <c r="J19" s="13"/>
    </row>
    <row r="20" spans="3:10" ht="12.75">
      <c r="C20" s="21" t="s">
        <v>16</v>
      </c>
      <c r="D20" s="21" t="s">
        <v>4</v>
      </c>
      <c r="E20" s="13">
        <f>'Interim Data'!E18</f>
        <v>495963733.8272884</v>
      </c>
      <c r="F20" s="13">
        <f>'Interim Data'!F18</f>
        <v>121447463.03585492</v>
      </c>
      <c r="G20" s="13">
        <f>'Interim Data'!G18</f>
        <v>10223329.426649375</v>
      </c>
      <c r="H20" s="13">
        <f>'Interim Data'!H18</f>
        <v>2011704.0283997739</v>
      </c>
      <c r="I20" s="13"/>
      <c r="J20" s="13"/>
    </row>
    <row r="21" spans="1:4" ht="12.75">
      <c r="A21" s="21" t="s">
        <v>17</v>
      </c>
      <c r="B21" s="21"/>
      <c r="D21" s="21"/>
    </row>
    <row r="22" spans="2:7" ht="12.75">
      <c r="B22" s="21" t="s">
        <v>19</v>
      </c>
      <c r="D22" s="21"/>
      <c r="E22" s="16"/>
      <c r="F22" s="16"/>
      <c r="G22" s="16"/>
    </row>
    <row r="23" spans="3:9" ht="12.75">
      <c r="C23" s="21" t="s">
        <v>20</v>
      </c>
      <c r="D23" s="21" t="s">
        <v>18</v>
      </c>
      <c r="E23" s="16">
        <f>'Interim Data'!E21+'Pieces Adj.'!B58</f>
        <v>29299654.962627675</v>
      </c>
      <c r="F23" s="16">
        <f>'Interim Data'!F21+'Pieces Adj.'!C58</f>
        <v>830676.8018402599</v>
      </c>
      <c r="G23" s="16">
        <f>'Interim Data'!G21+'Pieces Adj.'!D58</f>
        <v>29872.525538241658</v>
      </c>
      <c r="H23" s="16"/>
      <c r="I23" s="16"/>
    </row>
    <row r="24" spans="3:9" ht="12.75">
      <c r="C24" s="21" t="s">
        <v>21</v>
      </c>
      <c r="D24" s="21" t="s">
        <v>18</v>
      </c>
      <c r="E24" s="16">
        <f>'Interim Data'!E22+'Pieces Adj.'!B53</f>
        <v>8875905.078587867</v>
      </c>
      <c r="F24" s="16">
        <f>'Interim Data'!F22+'Pieces Adj.'!C53</f>
        <v>8211925.501860373</v>
      </c>
      <c r="G24" s="16">
        <f>'Interim Data'!G22+'Pieces Adj.'!D53</f>
        <v>126298.98647545344</v>
      </c>
      <c r="H24" s="16"/>
      <c r="I24" s="16"/>
    </row>
    <row r="25" spans="3:9" ht="12.75">
      <c r="C25" s="21" t="s">
        <v>22</v>
      </c>
      <c r="D25" s="21" t="s">
        <v>18</v>
      </c>
      <c r="E25" s="16">
        <f>'Interim Data'!E23</f>
        <v>8994812.746000001</v>
      </c>
      <c r="F25" s="16">
        <f>'Interim Data'!F23</f>
        <v>2260244.392</v>
      </c>
      <c r="G25" s="16">
        <f>'Interim Data'!G23</f>
        <v>6808.058</v>
      </c>
      <c r="H25" s="16"/>
      <c r="I25" s="16"/>
    </row>
    <row r="26" spans="3:9" ht="12.75">
      <c r="C26" s="21" t="s">
        <v>23</v>
      </c>
      <c r="D26" s="21" t="s">
        <v>18</v>
      </c>
      <c r="E26" s="16">
        <f>'Interim Data'!E24</f>
        <v>15188944.774</v>
      </c>
      <c r="F26" s="16">
        <f>'Interim Data'!F24</f>
        <v>3776508.8409999995</v>
      </c>
      <c r="G26" s="16">
        <f>'Interim Data'!G24</f>
        <v>199775.211</v>
      </c>
      <c r="H26" s="16"/>
      <c r="I26" s="16"/>
    </row>
    <row r="27" spans="3:9" ht="12.75">
      <c r="C27" s="21" t="s">
        <v>24</v>
      </c>
      <c r="D27" s="21" t="s">
        <v>18</v>
      </c>
      <c r="E27" s="16">
        <f>'Pieces Adj.'!B28+'Pieces Adj.'!B10</f>
        <v>20967009.54431806</v>
      </c>
      <c r="F27" s="16">
        <f>'Pieces Adj.'!C28+'Pieces Adj.'!C10</f>
        <v>4513783.622193385</v>
      </c>
      <c r="G27" s="16">
        <f>'Pieces Adj.'!D28+'Pieces Adj.'!D10</f>
        <v>237947.86909439613</v>
      </c>
      <c r="H27" s="16"/>
      <c r="I27" s="16"/>
    </row>
    <row r="28" spans="2:9" ht="12.75">
      <c r="B28" s="21" t="s">
        <v>25</v>
      </c>
      <c r="D28" s="21"/>
      <c r="E28" s="16"/>
      <c r="F28" s="16"/>
      <c r="G28" s="16"/>
      <c r="H28" s="16"/>
      <c r="I28" s="16"/>
    </row>
    <row r="29" spans="3:9" ht="12.75">
      <c r="C29" s="21" t="s">
        <v>20</v>
      </c>
      <c r="D29" s="21" t="s">
        <v>18</v>
      </c>
      <c r="E29" s="16">
        <f>'Interim Data'!E27+'Pieces Adj.'!B60</f>
        <v>34036644.7960664</v>
      </c>
      <c r="F29" s="16">
        <f>'Interim Data'!F27+'Pieces Adj.'!C60</f>
        <v>955001.3405599262</v>
      </c>
      <c r="G29" s="16">
        <f>'Interim Data'!G27+'Pieces Adj.'!D60</f>
        <v>56333.153204569164</v>
      </c>
      <c r="H29" s="16"/>
      <c r="I29" s="16"/>
    </row>
    <row r="30" spans="3:9" ht="12.75">
      <c r="C30" s="21" t="s">
        <v>21</v>
      </c>
      <c r="D30" s="21" t="s">
        <v>18</v>
      </c>
      <c r="E30" s="16">
        <f>'Interim Data'!E28+'Pieces Adj.'!B54</f>
        <v>8715604.552194532</v>
      </c>
      <c r="F30" s="16">
        <f>'Interim Data'!F28+'Pieces Adj.'!C54</f>
        <v>5585457.32390735</v>
      </c>
      <c r="G30" s="16">
        <f>'Interim Data'!G28+'Pieces Adj.'!D54</f>
        <v>289152.99337125145</v>
      </c>
      <c r="H30" s="16"/>
      <c r="I30" s="16"/>
    </row>
    <row r="31" spans="3:9" ht="12.75">
      <c r="C31" s="21" t="s">
        <v>22</v>
      </c>
      <c r="D31" s="21" t="s">
        <v>18</v>
      </c>
      <c r="E31" s="16">
        <f>'Interim Data'!E29</f>
        <v>26672681.11</v>
      </c>
      <c r="F31" s="16">
        <f>'Interim Data'!F29</f>
        <v>3794637.366</v>
      </c>
      <c r="G31" s="16">
        <f>'Interim Data'!G29</f>
        <v>35092.916</v>
      </c>
      <c r="H31" s="16"/>
      <c r="I31" s="16"/>
    </row>
    <row r="32" spans="3:9" ht="12.75">
      <c r="C32" s="21" t="s">
        <v>23</v>
      </c>
      <c r="D32" s="21" t="s">
        <v>18</v>
      </c>
      <c r="E32" s="16">
        <f>'Interim Data'!E30</f>
        <v>59045819.87099999</v>
      </c>
      <c r="F32" s="16">
        <f>'Interim Data'!F30</f>
        <v>11812905.780999998</v>
      </c>
      <c r="G32" s="16">
        <f>'Interim Data'!G30</f>
        <v>717607.5730000001</v>
      </c>
      <c r="H32" s="16"/>
      <c r="I32" s="16"/>
    </row>
    <row r="33" spans="3:9" ht="12.75">
      <c r="C33" s="21" t="s">
        <v>24</v>
      </c>
      <c r="D33" s="21" t="s">
        <v>18</v>
      </c>
      <c r="E33" s="16">
        <f>'Pieces Adj.'!B29+'Pieces Adj.'!B11</f>
        <v>9955142.963801442</v>
      </c>
      <c r="F33" s="16">
        <f>'Pieces Adj.'!C29+'Pieces Adj.'!C11</f>
        <v>3391255.57148929</v>
      </c>
      <c r="G33" s="16">
        <f>'Pieces Adj.'!D29+'Pieces Adj.'!D11</f>
        <v>56319.67376771792</v>
      </c>
      <c r="H33" s="16"/>
      <c r="I33" s="16"/>
    </row>
    <row r="34" spans="2:9" ht="12.75">
      <c r="B34" s="21" t="s">
        <v>26</v>
      </c>
      <c r="D34" s="21"/>
      <c r="E34" s="16"/>
      <c r="F34" s="16"/>
      <c r="G34" s="16"/>
      <c r="H34" s="16"/>
      <c r="I34" s="16"/>
    </row>
    <row r="35" spans="3:9" ht="12.75">
      <c r="C35" s="21" t="s">
        <v>20</v>
      </c>
      <c r="D35" s="21" t="s">
        <v>18</v>
      </c>
      <c r="E35" s="16">
        <f>'Interim Data'!E33+'Pieces Adj.'!B62</f>
        <v>68747816.77843328</v>
      </c>
      <c r="F35" s="16">
        <f>'Interim Data'!F33+'Pieces Adj.'!C62</f>
        <v>3357890.2072448335</v>
      </c>
      <c r="G35" s="16">
        <f>'Interim Data'!G33+'Pieces Adj.'!D62</f>
        <v>73929.06464117851</v>
      </c>
      <c r="H35" s="16"/>
      <c r="I35" s="16"/>
    </row>
    <row r="36" spans="3:9" ht="12.75">
      <c r="C36" s="21" t="s">
        <v>21</v>
      </c>
      <c r="D36" s="21" t="s">
        <v>18</v>
      </c>
      <c r="E36" s="16">
        <f>'Interim Data'!E34+'Pieces Adj.'!B55</f>
        <v>53374151.96505644</v>
      </c>
      <c r="F36" s="16">
        <f>'Interim Data'!F34+'Pieces Adj.'!C55</f>
        <v>17190398.17891355</v>
      </c>
      <c r="G36" s="16">
        <f>'Interim Data'!G34+'Pieces Adj.'!D55</f>
        <v>1605575.2835001897</v>
      </c>
      <c r="H36" s="16"/>
      <c r="I36" s="16"/>
    </row>
    <row r="37" spans="3:9" ht="12.75">
      <c r="C37" s="21" t="s">
        <v>22</v>
      </c>
      <c r="D37" s="21" t="s">
        <v>18</v>
      </c>
      <c r="E37" s="16">
        <f>'Interim Data'!E35</f>
        <v>147644549.83299997</v>
      </c>
      <c r="F37" s="16">
        <f>'Interim Data'!F35</f>
        <v>22674217.966</v>
      </c>
      <c r="G37" s="16">
        <f>'Interim Data'!G35</f>
        <v>301405.6709999999</v>
      </c>
      <c r="H37" s="16"/>
      <c r="I37" s="16"/>
    </row>
    <row r="38" spans="3:9" ht="12.75">
      <c r="C38" s="21" t="s">
        <v>23</v>
      </c>
      <c r="D38" s="21" t="s">
        <v>18</v>
      </c>
      <c r="E38" s="16">
        <f>'Interim Data'!E36</f>
        <v>618660294.0209999</v>
      </c>
      <c r="F38" s="16">
        <f>'Interim Data'!F36</f>
        <v>114039960.587</v>
      </c>
      <c r="G38" s="16">
        <f>'Interim Data'!G36</f>
        <v>7372973.968</v>
      </c>
      <c r="H38" s="16"/>
      <c r="I38" s="16"/>
    </row>
    <row r="39" spans="3:9" ht="12.75">
      <c r="C39" s="21" t="s">
        <v>24</v>
      </c>
      <c r="D39" s="21" t="s">
        <v>18</v>
      </c>
      <c r="E39" s="16">
        <f>'Pieces Adj.'!B7+'Pieces Adj.'!B12</f>
        <v>12511080.392332869</v>
      </c>
      <c r="F39" s="16">
        <f>'Pieces Adj.'!C7+'Pieces Adj.'!C12</f>
        <v>8160549.328406549</v>
      </c>
      <c r="G39" s="16">
        <f>'Pieces Adj.'!D7+'Pieces Adj.'!D12</f>
        <v>340804.41739313724</v>
      </c>
      <c r="H39" s="16"/>
      <c r="I39" s="16"/>
    </row>
    <row r="40" spans="2:9" ht="12.75">
      <c r="B40" s="21" t="s">
        <v>27</v>
      </c>
      <c r="D40" s="21"/>
      <c r="E40" s="16"/>
      <c r="F40" s="16"/>
      <c r="G40" s="16"/>
      <c r="H40" s="16"/>
      <c r="I40" s="16"/>
    </row>
    <row r="41" spans="3:9" ht="12.75">
      <c r="C41" s="21" t="s">
        <v>20</v>
      </c>
      <c r="D41" s="21" t="s">
        <v>18</v>
      </c>
      <c r="E41" s="16">
        <f>'Interim Data'!E39+'Pieces Adj.'!B64</f>
        <v>66264710.79403781</v>
      </c>
      <c r="F41" s="16">
        <f>'Interim Data'!F39+'Pieces Adj.'!C64</f>
        <v>7131630.750405547</v>
      </c>
      <c r="G41" s="16">
        <f>'Interim Data'!G39+'Pieces Adj.'!D64</f>
        <v>20410.473141334784</v>
      </c>
      <c r="H41" s="16"/>
      <c r="I41" s="16"/>
    </row>
    <row r="42" spans="3:9" ht="12.75">
      <c r="C42" s="21" t="s">
        <v>21</v>
      </c>
      <c r="D42" s="21" t="s">
        <v>18</v>
      </c>
      <c r="E42" s="16">
        <f>'Interim Data'!E40+'Pieces Adj.'!B56</f>
        <v>97636532.90596934</v>
      </c>
      <c r="F42" s="16">
        <f>'Interim Data'!F40+'Pieces Adj.'!C56</f>
        <v>31498134.40007177</v>
      </c>
      <c r="G42" s="16">
        <f>'Interim Data'!G40+'Pieces Adj.'!D56</f>
        <v>2142991.2158149933</v>
      </c>
      <c r="H42" s="16"/>
      <c r="I42" s="16"/>
    </row>
    <row r="43" spans="3:9" ht="12.75">
      <c r="C43" s="21" t="s">
        <v>22</v>
      </c>
      <c r="D43" s="21" t="s">
        <v>18</v>
      </c>
      <c r="E43" s="16">
        <f>'Interim Data'!E41</f>
        <v>338735214.6180002</v>
      </c>
      <c r="F43" s="16">
        <f>'Interim Data'!F41</f>
        <v>33417212.68000002</v>
      </c>
      <c r="G43" s="16">
        <f>'Interim Data'!G41</f>
        <v>43657.355</v>
      </c>
      <c r="H43" s="16"/>
      <c r="I43" s="16"/>
    </row>
    <row r="44" spans="3:9" ht="12.75">
      <c r="C44" s="21" t="s">
        <v>23</v>
      </c>
      <c r="D44" s="21" t="s">
        <v>18</v>
      </c>
      <c r="E44" s="16">
        <f>'Interim Data'!E42</f>
        <v>1652438531.208</v>
      </c>
      <c r="F44" s="16">
        <f>'Interim Data'!F42</f>
        <v>358971308.67699975</v>
      </c>
      <c r="G44" s="16">
        <f>'Interim Data'!G42</f>
        <v>17319995.452999994</v>
      </c>
      <c r="H44" s="16"/>
      <c r="I44" s="16"/>
    </row>
    <row r="45" spans="3:9" ht="12.75">
      <c r="C45" s="21" t="s">
        <v>24</v>
      </c>
      <c r="D45" s="21" t="s">
        <v>18</v>
      </c>
      <c r="E45" s="16">
        <f>'Pieces Adj.'!B8+'Pieces Adj.'!B13</f>
        <v>495226.99057503894</v>
      </c>
      <c r="F45" s="16">
        <f>'Pieces Adj.'!C8+'Pieces Adj.'!C13</f>
        <v>1053534.233107587</v>
      </c>
      <c r="G45" s="16">
        <f>'Pieces Adj.'!D8+'Pieces Adj.'!D13</f>
        <v>8959.50905754306</v>
      </c>
      <c r="H45" s="16"/>
      <c r="I45" s="16"/>
    </row>
    <row r="46" spans="2:9" ht="12.75">
      <c r="B46" s="21" t="s">
        <v>28</v>
      </c>
      <c r="D46" s="21"/>
      <c r="E46" s="16"/>
      <c r="F46" s="16"/>
      <c r="G46" s="16"/>
      <c r="H46" s="16"/>
      <c r="I46" s="16"/>
    </row>
    <row r="47" spans="3:9" ht="12.75">
      <c r="C47" s="21" t="s">
        <v>29</v>
      </c>
      <c r="D47" s="21" t="s">
        <v>18</v>
      </c>
      <c r="E47" s="16">
        <f>'Interim Data'!E45</f>
        <v>2796930295.379999</v>
      </c>
      <c r="F47" s="16">
        <f>'Interim Data'!F45</f>
        <v>994823118.6819997</v>
      </c>
      <c r="G47" s="16">
        <f>'Interim Data'!G45</f>
        <v>18378201.324999996</v>
      </c>
      <c r="H47" s="16"/>
      <c r="I47" s="16"/>
    </row>
    <row r="48" spans="3:9" ht="12.75">
      <c r="C48" s="21" t="s">
        <v>30</v>
      </c>
      <c r="D48" s="21" t="s">
        <v>18</v>
      </c>
      <c r="E48" s="16">
        <f>'Interim Data'!E46</f>
        <v>78452936.092</v>
      </c>
      <c r="F48" s="16">
        <f>'Interim Data'!F46</f>
        <v>100140529.62999998</v>
      </c>
      <c r="G48" s="16"/>
      <c r="H48" s="16"/>
      <c r="I48" s="16"/>
    </row>
    <row r="49" spans="3:9" ht="12.75">
      <c r="C49" s="21" t="s">
        <v>31</v>
      </c>
      <c r="D49" s="21" t="s">
        <v>18</v>
      </c>
      <c r="E49" s="16">
        <f>'Interim Data'!E47</f>
        <v>38806048.18399999</v>
      </c>
      <c r="F49" s="16">
        <f>'Interim Data'!F47</f>
        <v>35610705.579</v>
      </c>
      <c r="G49" s="16"/>
      <c r="H49" s="16"/>
      <c r="I49" s="16"/>
    </row>
    <row r="50" spans="3:9" ht="12.75">
      <c r="C50" s="21" t="s">
        <v>32</v>
      </c>
      <c r="D50" s="21" t="s">
        <v>18</v>
      </c>
      <c r="E50" s="16">
        <f>'Interim Data'!E48</f>
        <v>27707202.43900001</v>
      </c>
      <c r="F50" s="16">
        <f>'Interim Data'!F48</f>
        <v>10270090.558999995</v>
      </c>
      <c r="G50" s="16">
        <f>'Interim Data'!G48</f>
        <v>6380140.305</v>
      </c>
      <c r="H50" s="16"/>
      <c r="I50" s="16"/>
    </row>
    <row r="51" spans="3:7" ht="12.75">
      <c r="C51" s="21" t="s">
        <v>33</v>
      </c>
      <c r="D51" s="21" t="s">
        <v>34</v>
      </c>
      <c r="E51" s="16">
        <f>'Interim Data'!E49</f>
        <v>3589759709.39856</v>
      </c>
      <c r="F51" s="16">
        <f>'Interim Data'!F49</f>
        <v>1337563337.5079281</v>
      </c>
      <c r="G51" s="16">
        <f>'Interim Data'!G49</f>
        <v>52319361.86391167</v>
      </c>
    </row>
    <row r="52" spans="1:8" ht="12.75">
      <c r="A52" s="21" t="s">
        <v>35</v>
      </c>
      <c r="D52" s="21"/>
      <c r="E52" s="16"/>
      <c r="F52" s="16"/>
      <c r="G52" s="16"/>
      <c r="H52" s="10"/>
    </row>
    <row r="53" spans="2:8" ht="12.75">
      <c r="B53" s="21" t="s">
        <v>37</v>
      </c>
      <c r="D53" s="21"/>
      <c r="E53" s="16"/>
      <c r="F53" s="16"/>
      <c r="G53" s="16"/>
      <c r="H53" s="10"/>
    </row>
    <row r="54" spans="3:10" ht="12.75">
      <c r="C54" s="21" t="s">
        <v>38</v>
      </c>
      <c r="D54" s="21" t="s">
        <v>36</v>
      </c>
      <c r="E54" s="16">
        <f>'Interim Data'!E52</f>
        <v>3477670.2880000006</v>
      </c>
      <c r="F54" s="16">
        <f>'Interim Data'!F52</f>
        <v>930853.941</v>
      </c>
      <c r="G54" s="16">
        <f>'Interim Data'!G52</f>
        <v>19963.597999999998</v>
      </c>
      <c r="H54" s="16"/>
      <c r="I54" s="16"/>
      <c r="J54" s="16"/>
    </row>
    <row r="55" spans="3:10" ht="12.75">
      <c r="C55" s="21" t="s">
        <v>39</v>
      </c>
      <c r="D55" s="21" t="s">
        <v>36</v>
      </c>
      <c r="E55" s="16">
        <f>'Interim Data'!E53</f>
        <v>6933299.424000001</v>
      </c>
      <c r="F55" s="16">
        <f>'Interim Data'!F53</f>
        <v>1453823.4540000004</v>
      </c>
      <c r="G55" s="16">
        <f>'Interim Data'!G53</f>
        <v>58662.35800000001</v>
      </c>
      <c r="H55" s="16"/>
      <c r="I55" s="16"/>
      <c r="J55" s="16"/>
    </row>
    <row r="56" spans="3:10" ht="12.75">
      <c r="C56" s="21" t="s">
        <v>40</v>
      </c>
      <c r="D56" s="21" t="s">
        <v>36</v>
      </c>
      <c r="E56" s="16">
        <f>'Interim Data'!E54</f>
        <v>5740297.634999998</v>
      </c>
      <c r="F56" s="16">
        <f>'Interim Data'!F54</f>
        <v>1569095.2659999998</v>
      </c>
      <c r="G56" s="16">
        <f>'Interim Data'!G54</f>
        <v>83189.76900000001</v>
      </c>
      <c r="H56" s="16"/>
      <c r="I56" s="16"/>
      <c r="J56" s="16"/>
    </row>
    <row r="57" spans="3:10" ht="12.75">
      <c r="C57" s="21" t="s">
        <v>41</v>
      </c>
      <c r="D57" s="21" t="s">
        <v>36</v>
      </c>
      <c r="E57" s="16">
        <f>'Interim Data'!E55</f>
        <v>1026498.208</v>
      </c>
      <c r="F57" s="16">
        <f>'Interim Data'!F55</f>
        <v>329692.0169999999</v>
      </c>
      <c r="G57" s="16">
        <f>'Interim Data'!G55</f>
        <v>23874.138000000003</v>
      </c>
      <c r="H57" s="16"/>
      <c r="I57" s="16"/>
      <c r="J57" s="16"/>
    </row>
    <row r="58" spans="3:10" ht="12.75">
      <c r="C58" s="21" t="s">
        <v>32</v>
      </c>
      <c r="D58" s="21" t="s">
        <v>36</v>
      </c>
      <c r="E58" s="16">
        <f>'Interim Data'!E56</f>
        <v>3199336.701</v>
      </c>
      <c r="F58" s="16">
        <f>'Interim Data'!F56</f>
        <v>1043888.3409999999</v>
      </c>
      <c r="G58" s="16">
        <f>'Interim Data'!G56</f>
        <v>419747.819</v>
      </c>
      <c r="H58" s="16"/>
      <c r="I58" s="16"/>
      <c r="J58" s="16"/>
    </row>
    <row r="59" spans="2:10" ht="12.75">
      <c r="B59" s="21" t="s">
        <v>42</v>
      </c>
      <c r="D59" s="21"/>
      <c r="E59" s="16"/>
      <c r="F59" s="16"/>
      <c r="G59" s="16"/>
      <c r="H59" s="16"/>
      <c r="I59" s="16"/>
      <c r="J59" s="16"/>
    </row>
    <row r="60" spans="3:10" ht="12.75">
      <c r="C60" s="21" t="s">
        <v>39</v>
      </c>
      <c r="D60" s="21" t="s">
        <v>36</v>
      </c>
      <c r="E60" s="16">
        <f>'Interim Data'!E58</f>
        <v>4889439.964</v>
      </c>
      <c r="F60" s="16">
        <f>'Interim Data'!F58</f>
        <v>780097.8930000002</v>
      </c>
      <c r="G60" s="16">
        <f>'Interim Data'!G58</f>
        <v>40832.46599999999</v>
      </c>
      <c r="H60" s="16"/>
      <c r="I60" s="16"/>
      <c r="J60" s="16"/>
    </row>
    <row r="61" spans="3:10" ht="12.75">
      <c r="C61" s="21" t="s">
        <v>40</v>
      </c>
      <c r="D61" s="21" t="s">
        <v>36</v>
      </c>
      <c r="E61" s="16">
        <f>'Interim Data'!E59</f>
        <v>21286363.35199999</v>
      </c>
      <c r="F61" s="16">
        <f>'Interim Data'!F59</f>
        <v>3262238.49</v>
      </c>
      <c r="G61" s="16">
        <f>'Interim Data'!G59</f>
        <v>213067.83600000004</v>
      </c>
      <c r="H61" s="16"/>
      <c r="I61" s="16"/>
      <c r="J61" s="16"/>
    </row>
    <row r="62" spans="3:10" ht="12.75">
      <c r="C62" s="21" t="s">
        <v>41</v>
      </c>
      <c r="D62" s="21" t="s">
        <v>36</v>
      </c>
      <c r="E62" s="16">
        <f>'Interim Data'!E60</f>
        <v>32672231.947999995</v>
      </c>
      <c r="F62" s="16">
        <f>'Interim Data'!F60</f>
        <v>7289685.801</v>
      </c>
      <c r="G62" s="16">
        <f>'Interim Data'!G60</f>
        <v>523711.15100000007</v>
      </c>
      <c r="H62" s="16"/>
      <c r="I62" s="16"/>
      <c r="J62" s="16"/>
    </row>
    <row r="63" spans="3:10" ht="12.75">
      <c r="C63" s="21" t="s">
        <v>43</v>
      </c>
      <c r="D63" s="21" t="s">
        <v>36</v>
      </c>
      <c r="E63" s="16">
        <f>'Interim Data'!E61</f>
        <v>11395124.799999999</v>
      </c>
      <c r="F63" s="16">
        <f>'Interim Data'!F61</f>
        <v>5861675.322999999</v>
      </c>
      <c r="G63" s="16">
        <f>'Interim Data'!G61</f>
        <v>1455551.9770000002</v>
      </c>
      <c r="H63" s="16"/>
      <c r="I63" s="16"/>
      <c r="J63" s="16"/>
    </row>
    <row r="64" spans="3:10" ht="12.75">
      <c r="C64" s="21" t="s">
        <v>32</v>
      </c>
      <c r="D64" s="21" t="s">
        <v>36</v>
      </c>
      <c r="E64" s="16">
        <f>'Interim Data'!E62</f>
        <v>6976850.952000003</v>
      </c>
      <c r="F64" s="16">
        <f>'Interim Data'!F62</f>
        <v>3186886.19</v>
      </c>
      <c r="G64" s="16">
        <f>'Interim Data'!G62</f>
        <v>2114782.95</v>
      </c>
      <c r="H64" s="16"/>
      <c r="I64" s="16"/>
      <c r="J64" s="16"/>
    </row>
    <row r="65" spans="2:10" ht="12.75">
      <c r="B65" s="21" t="s">
        <v>44</v>
      </c>
      <c r="D65" s="21"/>
      <c r="E65" s="16"/>
      <c r="F65" s="16"/>
      <c r="G65" s="16"/>
      <c r="H65" s="16"/>
      <c r="I65" s="16"/>
      <c r="J65" s="16"/>
    </row>
    <row r="66" spans="3:10" ht="12.75">
      <c r="C66" s="21" t="s">
        <v>40</v>
      </c>
      <c r="D66" s="21" t="s">
        <v>36</v>
      </c>
      <c r="E66" s="16">
        <f>'Interim Data'!E64</f>
        <v>30403034.487</v>
      </c>
      <c r="F66" s="16">
        <f>'Interim Data'!F64</f>
        <v>5038581.310999999</v>
      </c>
      <c r="G66" s="16">
        <f>'Interim Data'!G64</f>
        <v>300870.9720000001</v>
      </c>
      <c r="H66" s="16"/>
      <c r="I66" s="16"/>
      <c r="J66" s="16"/>
    </row>
    <row r="67" spans="3:10" ht="12.75">
      <c r="C67" s="21" t="s">
        <v>41</v>
      </c>
      <c r="D67" s="21" t="s">
        <v>36</v>
      </c>
      <c r="E67" s="16">
        <f>'Interim Data'!E65</f>
        <v>109588205.96899995</v>
      </c>
      <c r="F67" s="16">
        <f>'Interim Data'!F65</f>
        <v>18581442.228999995</v>
      </c>
      <c r="G67" s="16">
        <f>'Interim Data'!G65</f>
        <v>1009703.2690000001</v>
      </c>
      <c r="H67" s="16"/>
      <c r="I67" s="16"/>
      <c r="J67" s="16"/>
    </row>
    <row r="68" spans="3:10" ht="12.75">
      <c r="C68" s="21" t="s">
        <v>43</v>
      </c>
      <c r="D68" s="21" t="s">
        <v>36</v>
      </c>
      <c r="E68" s="16">
        <f>'Interim Data'!E66</f>
        <v>198597257.447</v>
      </c>
      <c r="F68" s="16">
        <f>'Interim Data'!F66</f>
        <v>45223175.01700002</v>
      </c>
      <c r="G68" s="16">
        <f>'Interim Data'!G66</f>
        <v>875528.328</v>
      </c>
      <c r="H68" s="16"/>
      <c r="I68" s="16"/>
      <c r="J68" s="16"/>
    </row>
    <row r="69" spans="3:10" ht="12.75">
      <c r="C69" s="21" t="s">
        <v>32</v>
      </c>
      <c r="D69" s="21" t="s">
        <v>36</v>
      </c>
      <c r="E69" s="16">
        <f>'Interim Data'!E67</f>
        <v>13501212.986000007</v>
      </c>
      <c r="F69" s="16">
        <f>'Interim Data'!F67</f>
        <v>5088436.991999999</v>
      </c>
      <c r="G69" s="16">
        <f>'Interim Data'!G67</f>
        <v>3796798.654</v>
      </c>
      <c r="H69" s="16"/>
      <c r="I69" s="16"/>
      <c r="J69" s="16"/>
    </row>
    <row r="70" spans="2:10" ht="12.75">
      <c r="B70" s="21" t="s">
        <v>45</v>
      </c>
      <c r="D70" s="21"/>
      <c r="E70" s="16"/>
      <c r="F70" s="16"/>
      <c r="G70" s="16"/>
      <c r="H70" s="16"/>
      <c r="I70" s="16"/>
      <c r="J70" s="16"/>
    </row>
    <row r="71" spans="3:10" ht="12.75">
      <c r="C71" s="21" t="s">
        <v>41</v>
      </c>
      <c r="D71" s="21" t="s">
        <v>36</v>
      </c>
      <c r="E71" s="16">
        <f>'Interim Data'!E69</f>
        <v>4536320.812000001</v>
      </c>
      <c r="F71" s="16">
        <f>'Interim Data'!F69</f>
        <v>1933465.8660000006</v>
      </c>
      <c r="G71" s="16">
        <f>'Interim Data'!G69</f>
        <v>56098.055000000015</v>
      </c>
      <c r="H71" s="16"/>
      <c r="I71" s="16"/>
      <c r="J71" s="16"/>
    </row>
    <row r="72" spans="3:10" ht="12.75">
      <c r="C72" s="21" t="s">
        <v>43</v>
      </c>
      <c r="D72" s="21" t="s">
        <v>36</v>
      </c>
      <c r="E72" s="16">
        <f>'Interim Data'!E70</f>
        <v>37026504.179000005</v>
      </c>
      <c r="F72" s="16">
        <f>'Interim Data'!F70</f>
        <v>14220747.584</v>
      </c>
      <c r="G72" s="16">
        <f>'Interim Data'!G70</f>
        <v>108160.685</v>
      </c>
      <c r="H72" s="16"/>
      <c r="I72" s="16"/>
      <c r="J72" s="16"/>
    </row>
    <row r="73" spans="3:10" ht="12.75">
      <c r="C73" s="21" t="s">
        <v>32</v>
      </c>
      <c r="D73" s="21" t="s">
        <v>36</v>
      </c>
      <c r="E73" s="16">
        <f>'Interim Data'!E71</f>
        <v>1270594.4370000002</v>
      </c>
      <c r="F73" s="16">
        <f>'Interim Data'!F71</f>
        <v>983128.2470000002</v>
      </c>
      <c r="G73" s="16">
        <f>'Interim Data'!G71</f>
        <v>48810.882000000005</v>
      </c>
      <c r="H73" s="16"/>
      <c r="I73" s="16"/>
      <c r="J73" s="16"/>
    </row>
    <row r="74" spans="1:8" ht="12.75">
      <c r="A74" s="21" t="s">
        <v>46</v>
      </c>
      <c r="D74" s="21"/>
      <c r="E74" s="16"/>
      <c r="F74" s="16"/>
      <c r="G74" s="16"/>
      <c r="H74" s="10"/>
    </row>
    <row r="75" spans="2:7" ht="12.75">
      <c r="B75" s="21" t="s">
        <v>37</v>
      </c>
      <c r="D75" s="21"/>
      <c r="E75" s="16"/>
      <c r="F75" s="16"/>
      <c r="G75" s="16"/>
    </row>
    <row r="76" spans="3:13" ht="12.75">
      <c r="C76" s="21" t="s">
        <v>48</v>
      </c>
      <c r="D76" s="21" t="s">
        <v>47</v>
      </c>
      <c r="E76" s="16">
        <f>'Interim Data'!E74</f>
        <v>3874306.1890000002</v>
      </c>
      <c r="F76" s="16">
        <f>'Interim Data'!F74</f>
        <v>567220.0430000001</v>
      </c>
      <c r="G76" s="16">
        <f>'Interim Data'!G74</f>
        <v>35839.495</v>
      </c>
      <c r="H76" s="16"/>
      <c r="I76" s="16"/>
      <c r="J76" s="16"/>
      <c r="K76" s="16"/>
      <c r="L76" s="16"/>
      <c r="M76" s="16"/>
    </row>
    <row r="77" spans="3:13" ht="12.75">
      <c r="C77" s="21" t="s">
        <v>49</v>
      </c>
      <c r="D77" s="21" t="s">
        <v>47</v>
      </c>
      <c r="E77" s="16">
        <f>'Interim Data'!E75</f>
        <v>86592.675</v>
      </c>
      <c r="F77" s="16">
        <f>'Interim Data'!F75</f>
        <v>259.556</v>
      </c>
      <c r="G77" s="16">
        <f>'Interim Data'!G75</f>
        <v>0</v>
      </c>
      <c r="H77" s="16"/>
      <c r="I77" s="16"/>
      <c r="J77" s="16"/>
      <c r="K77" s="16"/>
      <c r="L77" s="16"/>
      <c r="M77" s="16"/>
    </row>
    <row r="78" spans="2:10" ht="12.75">
      <c r="B78" s="21" t="s">
        <v>50</v>
      </c>
      <c r="D78" s="21"/>
      <c r="E78" s="16"/>
      <c r="F78" s="16"/>
      <c r="G78" s="16"/>
      <c r="H78" s="16"/>
      <c r="I78" s="16"/>
      <c r="J78" s="16"/>
    </row>
    <row r="79" spans="3:10" ht="12.75">
      <c r="C79" s="21" t="s">
        <v>48</v>
      </c>
      <c r="D79" s="21" t="s">
        <v>47</v>
      </c>
      <c r="E79" s="16"/>
      <c r="F79" s="16"/>
      <c r="G79" s="16"/>
      <c r="H79" s="16"/>
      <c r="I79" s="16"/>
      <c r="J79" s="16"/>
    </row>
    <row r="80" spans="3:10" ht="12.75">
      <c r="C80" s="21" t="s">
        <v>49</v>
      </c>
      <c r="D80" s="21" t="s">
        <v>47</v>
      </c>
      <c r="E80" s="16"/>
      <c r="F80" s="16"/>
      <c r="G80" s="16"/>
      <c r="H80" s="16"/>
      <c r="I80" s="16"/>
      <c r="J80" s="16"/>
    </row>
    <row r="81" spans="3:13" ht="12.75">
      <c r="C81" s="21" t="s">
        <v>51</v>
      </c>
      <c r="D81" s="21" t="s">
        <v>47</v>
      </c>
      <c r="E81" s="16">
        <f>'Interim Data'!E79</f>
        <v>5197003.311</v>
      </c>
      <c r="F81" s="16">
        <f>'Interim Data'!F79</f>
        <v>868983.086</v>
      </c>
      <c r="G81" s="16">
        <f>'Interim Data'!G79</f>
        <v>80809.593</v>
      </c>
      <c r="H81" s="16"/>
      <c r="I81" s="16"/>
      <c r="J81" s="16"/>
      <c r="K81" s="16"/>
      <c r="L81" s="16"/>
      <c r="M81" s="16"/>
    </row>
    <row r="82" spans="3:13" ht="12.75">
      <c r="C82" s="21" t="s">
        <v>52</v>
      </c>
      <c r="D82" s="21" t="s">
        <v>47</v>
      </c>
      <c r="E82" s="16">
        <f>'Interim Data'!E80</f>
        <v>1214.691</v>
      </c>
      <c r="F82" s="16">
        <f>'Interim Data'!F80</f>
        <v>26.71</v>
      </c>
      <c r="G82" s="16">
        <f>'Interim Data'!G80</f>
        <v>0</v>
      </c>
      <c r="H82" s="16"/>
      <c r="I82" s="16"/>
      <c r="J82" s="16"/>
      <c r="K82" s="16"/>
      <c r="L82" s="16"/>
      <c r="M82" s="16"/>
    </row>
    <row r="83" spans="3:13" ht="12.75">
      <c r="C83" s="21" t="s">
        <v>53</v>
      </c>
      <c r="D83" s="21" t="s">
        <v>47</v>
      </c>
      <c r="E83" s="16">
        <f>'Interim Data'!E81</f>
        <v>111518.582</v>
      </c>
      <c r="F83" s="16">
        <f>'Interim Data'!F81</f>
        <v>28439.725</v>
      </c>
      <c r="G83" s="16">
        <f>'Interim Data'!G81</f>
        <v>1778.718</v>
      </c>
      <c r="H83" s="16"/>
      <c r="I83" s="16"/>
      <c r="J83" s="16"/>
      <c r="K83" s="16"/>
      <c r="L83" s="16"/>
      <c r="M83" s="16"/>
    </row>
    <row r="84" spans="2:10" ht="12.75">
      <c r="B84" s="21" t="s">
        <v>54</v>
      </c>
      <c r="D84" s="21"/>
      <c r="E84" s="16"/>
      <c r="F84" s="16"/>
      <c r="G84" s="16"/>
      <c r="H84" s="16"/>
      <c r="I84" s="16"/>
      <c r="J84" s="16"/>
    </row>
    <row r="85" spans="3:10" ht="12.75">
      <c r="C85" s="21" t="s">
        <v>48</v>
      </c>
      <c r="D85" s="21" t="s">
        <v>47</v>
      </c>
      <c r="E85" s="16"/>
      <c r="F85" s="16"/>
      <c r="G85" s="16"/>
      <c r="H85" s="16"/>
      <c r="I85" s="16"/>
      <c r="J85" s="16"/>
    </row>
    <row r="86" spans="3:10" ht="12.75">
      <c r="C86" s="21" t="s">
        <v>49</v>
      </c>
      <c r="D86" s="21" t="s">
        <v>47</v>
      </c>
      <c r="E86" s="16"/>
      <c r="F86" s="16"/>
      <c r="G86" s="16"/>
      <c r="H86" s="16"/>
      <c r="I86" s="16"/>
      <c r="J86" s="16"/>
    </row>
    <row r="87" spans="3:13" ht="12.75">
      <c r="C87" s="21" t="s">
        <v>51</v>
      </c>
      <c r="D87" s="21" t="s">
        <v>47</v>
      </c>
      <c r="E87" s="16">
        <f>'Interim Data'!E85</f>
        <v>14601562.624000002</v>
      </c>
      <c r="F87" s="16">
        <f>'Interim Data'!F85</f>
        <v>2958874.38</v>
      </c>
      <c r="G87" s="16">
        <f>'Interim Data'!G85</f>
        <v>368501.83599999995</v>
      </c>
      <c r="H87" s="16"/>
      <c r="I87" s="16"/>
      <c r="J87" s="16"/>
      <c r="K87" s="16"/>
      <c r="L87" s="16"/>
      <c r="M87" s="16"/>
    </row>
    <row r="88" spans="3:13" ht="12.75">
      <c r="C88" s="21" t="s">
        <v>52</v>
      </c>
      <c r="D88" s="21" t="s">
        <v>47</v>
      </c>
      <c r="E88" s="16">
        <f>'Interim Data'!E86</f>
        <v>20118.819</v>
      </c>
      <c r="F88" s="16">
        <f>'Interim Data'!F86</f>
        <v>35.41</v>
      </c>
      <c r="G88" s="16">
        <f>'Interim Data'!G86</f>
        <v>0</v>
      </c>
      <c r="H88" s="16"/>
      <c r="I88" s="16"/>
      <c r="J88" s="16"/>
      <c r="K88" s="16"/>
      <c r="L88" s="16"/>
      <c r="M88" s="16"/>
    </row>
    <row r="89" spans="3:13" ht="12.75">
      <c r="C89" s="21" t="s">
        <v>53</v>
      </c>
      <c r="D89" s="21" t="s">
        <v>47</v>
      </c>
      <c r="E89" s="16">
        <f>'Interim Data'!E87</f>
        <v>654612.1240000001</v>
      </c>
      <c r="F89" s="16">
        <f>'Interim Data'!F87</f>
        <v>32188.358</v>
      </c>
      <c r="G89" s="16">
        <f>'Interim Data'!G87</f>
        <v>10426.914</v>
      </c>
      <c r="H89" s="16"/>
      <c r="I89" s="16"/>
      <c r="J89" s="16"/>
      <c r="K89" s="16"/>
      <c r="L89" s="16"/>
      <c r="M89" s="16"/>
    </row>
    <row r="90" spans="3:13" ht="12.75">
      <c r="C90" s="21" t="s">
        <v>55</v>
      </c>
      <c r="D90" s="21" t="s">
        <v>47</v>
      </c>
      <c r="E90" s="16">
        <f>'Interim Data'!E88</f>
        <v>1955238.05</v>
      </c>
      <c r="F90" s="16">
        <f>'Interim Data'!F88</f>
        <v>299717.917</v>
      </c>
      <c r="G90" s="16">
        <f>'Interim Data'!G88</f>
        <v>15037.178</v>
      </c>
      <c r="H90" s="16"/>
      <c r="I90" s="16"/>
      <c r="J90" s="16"/>
      <c r="K90" s="16"/>
      <c r="L90" s="16"/>
      <c r="M90" s="16"/>
    </row>
    <row r="91" spans="2:10" ht="12.75">
      <c r="B91" s="21" t="s">
        <v>56</v>
      </c>
      <c r="D91" s="21"/>
      <c r="E91" s="16"/>
      <c r="F91" s="16"/>
      <c r="G91" s="16"/>
      <c r="H91" s="16"/>
      <c r="I91" s="16"/>
      <c r="J91" s="16"/>
    </row>
    <row r="92" spans="3:10" ht="12.75">
      <c r="C92" s="21" t="s">
        <v>48</v>
      </c>
      <c r="D92" s="21" t="s">
        <v>47</v>
      </c>
      <c r="E92" s="16"/>
      <c r="F92" s="16"/>
      <c r="G92" s="16"/>
      <c r="H92" s="16"/>
      <c r="I92" s="16"/>
      <c r="J92" s="16"/>
    </row>
    <row r="93" spans="3:10" ht="12.75">
      <c r="C93" s="21" t="s">
        <v>49</v>
      </c>
      <c r="D93" s="21" t="s">
        <v>47</v>
      </c>
      <c r="E93" s="16"/>
      <c r="F93" s="16"/>
      <c r="G93" s="16"/>
      <c r="H93" s="16"/>
      <c r="I93" s="16"/>
      <c r="J93" s="16"/>
    </row>
    <row r="94" spans="3:13" ht="12.75">
      <c r="C94" s="21" t="s">
        <v>51</v>
      </c>
      <c r="D94" s="21" t="s">
        <v>47</v>
      </c>
      <c r="E94" s="16">
        <f>'Interim Data'!E92</f>
        <v>2519395.782</v>
      </c>
      <c r="F94" s="16">
        <f>'Interim Data'!F92</f>
        <v>1100960.628</v>
      </c>
      <c r="G94" s="16">
        <f>'Interim Data'!G92</f>
        <v>80828.546</v>
      </c>
      <c r="H94" s="16"/>
      <c r="I94" s="16"/>
      <c r="J94" s="16"/>
      <c r="K94" s="16"/>
      <c r="L94" s="16"/>
      <c r="M94" s="16"/>
    </row>
    <row r="95" spans="3:13" ht="12.75">
      <c r="C95" s="21" t="s">
        <v>52</v>
      </c>
      <c r="D95" s="21" t="s">
        <v>47</v>
      </c>
      <c r="E95" s="16">
        <f>'Interim Data'!E93</f>
        <v>970.578</v>
      </c>
      <c r="F95" s="16">
        <f>'Interim Data'!F93</f>
        <v>57.123000000000005</v>
      </c>
      <c r="G95" s="16">
        <f>'Interim Data'!G93</f>
        <v>0</v>
      </c>
      <c r="H95" s="16"/>
      <c r="I95" s="16"/>
      <c r="J95" s="16"/>
      <c r="K95" s="16"/>
      <c r="L95" s="16"/>
      <c r="M95" s="16"/>
    </row>
    <row r="96" spans="3:13" ht="12.75">
      <c r="C96" s="21" t="s">
        <v>53</v>
      </c>
      <c r="D96" s="21" t="s">
        <v>47</v>
      </c>
      <c r="E96" s="16">
        <f>'Interim Data'!E94</f>
        <v>265775.33400000003</v>
      </c>
      <c r="F96" s="16">
        <f>'Interim Data'!F94</f>
        <v>120168.92300000001</v>
      </c>
      <c r="G96" s="16">
        <f>'Interim Data'!G94</f>
        <v>0.26</v>
      </c>
      <c r="H96" s="16"/>
      <c r="I96" s="16"/>
      <c r="J96" s="16"/>
      <c r="K96" s="16"/>
      <c r="L96" s="16"/>
      <c r="M96" s="16"/>
    </row>
    <row r="97" spans="3:13" ht="12.75">
      <c r="C97" s="21" t="s">
        <v>55</v>
      </c>
      <c r="D97" s="21" t="s">
        <v>47</v>
      </c>
      <c r="E97" s="16">
        <f>'Interim Data'!E95</f>
        <v>1930514.872</v>
      </c>
      <c r="F97" s="16">
        <f>'Interim Data'!F95</f>
        <v>934700.1159999999</v>
      </c>
      <c r="G97" s="16">
        <f>'Interim Data'!G95</f>
        <v>167.956</v>
      </c>
      <c r="H97" s="16"/>
      <c r="I97" s="16"/>
      <c r="J97" s="16"/>
      <c r="K97" s="16"/>
      <c r="L97" s="16"/>
      <c r="M97" s="16"/>
    </row>
    <row r="98" spans="3:13" ht="12.75">
      <c r="C98" s="21" t="s">
        <v>57</v>
      </c>
      <c r="D98" s="21" t="s">
        <v>47</v>
      </c>
      <c r="E98" s="16">
        <f>'Interim Data'!E96</f>
        <v>57997.621999999996</v>
      </c>
      <c r="F98" s="16">
        <f>'Interim Data'!F96</f>
        <v>14880.309000000001</v>
      </c>
      <c r="G98" s="16">
        <f>'Interim Data'!G96</f>
        <v>0</v>
      </c>
      <c r="H98" s="16"/>
      <c r="I98" s="16"/>
      <c r="J98" s="16"/>
      <c r="K98" s="16"/>
      <c r="L98" s="16"/>
      <c r="M98" s="16"/>
    </row>
    <row r="99" spans="1:7" ht="12.75">
      <c r="A99" s="21" t="s">
        <v>58</v>
      </c>
      <c r="D99" s="21"/>
      <c r="E99" s="16"/>
      <c r="F99" s="16"/>
      <c r="G99" s="16"/>
    </row>
    <row r="100" spans="2:7" ht="12.75">
      <c r="B100" s="21" t="s">
        <v>60</v>
      </c>
      <c r="D100" s="21"/>
      <c r="E100" s="16"/>
      <c r="F100" s="16"/>
      <c r="G100" s="16"/>
    </row>
    <row r="101" spans="3:7" ht="12.75">
      <c r="C101" s="21" t="s">
        <v>48</v>
      </c>
      <c r="D101" s="21" t="s">
        <v>59</v>
      </c>
      <c r="E101" s="16"/>
      <c r="F101" s="16"/>
      <c r="G101" s="16"/>
    </row>
    <row r="102" spans="3:7" ht="12.75">
      <c r="C102" s="21" t="s">
        <v>49</v>
      </c>
      <c r="D102" s="21" t="s">
        <v>59</v>
      </c>
      <c r="E102" s="16"/>
      <c r="F102" s="16"/>
      <c r="G102" s="16"/>
    </row>
    <row r="103" spans="3:13" ht="12.75">
      <c r="C103" s="21" t="s">
        <v>51</v>
      </c>
      <c r="D103" s="21" t="s">
        <v>59</v>
      </c>
      <c r="E103" s="16">
        <f>'Interim Data'!E101</f>
        <v>322818.07300000003</v>
      </c>
      <c r="F103" s="16">
        <f>'Interim Data'!F101</f>
        <v>104538.05399999999</v>
      </c>
      <c r="G103" s="16">
        <f>'Interim Data'!G101</f>
        <v>17559.992</v>
      </c>
      <c r="H103" s="16"/>
      <c r="I103" s="16"/>
      <c r="J103" s="16"/>
      <c r="K103" s="16"/>
      <c r="L103" s="16"/>
      <c r="M103" s="16"/>
    </row>
    <row r="104" spans="3:13" ht="12.75">
      <c r="C104" s="21" t="s">
        <v>52</v>
      </c>
      <c r="D104" s="21" t="s">
        <v>59</v>
      </c>
      <c r="E104" s="16">
        <f>'Interim Data'!E102</f>
        <v>2508.289</v>
      </c>
      <c r="F104" s="16">
        <f>'Interim Data'!F102</f>
        <v>154.591</v>
      </c>
      <c r="G104" s="16">
        <f>'Interim Data'!G102</f>
        <v>3.246</v>
      </c>
      <c r="H104" s="16"/>
      <c r="I104" s="16"/>
      <c r="J104" s="16"/>
      <c r="K104" s="16"/>
      <c r="L104" s="16"/>
      <c r="M104" s="16"/>
    </row>
    <row r="105" spans="3:13" ht="12.75">
      <c r="C105" s="21" t="s">
        <v>53</v>
      </c>
      <c r="D105" s="21" t="s">
        <v>59</v>
      </c>
      <c r="E105" s="16">
        <f>'Interim Data'!E103</f>
        <v>374102.282</v>
      </c>
      <c r="F105" s="16">
        <f>'Interim Data'!F103</f>
        <v>84641.215</v>
      </c>
      <c r="G105" s="16">
        <f>'Interim Data'!G103</f>
        <v>1981.684</v>
      </c>
      <c r="H105" s="16"/>
      <c r="I105" s="16"/>
      <c r="J105" s="16"/>
      <c r="K105" s="16"/>
      <c r="L105" s="16"/>
      <c r="M105" s="16"/>
    </row>
    <row r="106" spans="2:10" ht="12.75">
      <c r="B106" s="21" t="s">
        <v>61</v>
      </c>
      <c r="D106" s="21"/>
      <c r="E106" s="16"/>
      <c r="F106" s="16"/>
      <c r="G106" s="16"/>
      <c r="H106" s="16"/>
      <c r="I106" s="16"/>
      <c r="J106" s="16"/>
    </row>
    <row r="107" spans="3:10" ht="12.75">
      <c r="C107" s="21" t="s">
        <v>48</v>
      </c>
      <c r="D107" s="21" t="s">
        <v>59</v>
      </c>
      <c r="E107" s="16"/>
      <c r="F107" s="16"/>
      <c r="G107" s="16"/>
      <c r="H107" s="16"/>
      <c r="I107" s="16"/>
      <c r="J107" s="16"/>
    </row>
    <row r="108" spans="3:10" ht="12.75">
      <c r="C108" s="21" t="s">
        <v>49</v>
      </c>
      <c r="D108" s="21" t="s">
        <v>59</v>
      </c>
      <c r="E108" s="16"/>
      <c r="F108" s="16"/>
      <c r="G108" s="16"/>
      <c r="H108" s="16"/>
      <c r="I108" s="16"/>
      <c r="J108" s="16"/>
    </row>
    <row r="109" spans="3:13" ht="12.75">
      <c r="C109" s="21" t="s">
        <v>51</v>
      </c>
      <c r="D109" s="21" t="s">
        <v>59</v>
      </c>
      <c r="E109" s="16">
        <f>'Interim Data'!E107</f>
        <v>338859.907</v>
      </c>
      <c r="F109" s="16">
        <f>'Interim Data'!F107</f>
        <v>82299.8</v>
      </c>
      <c r="G109" s="16">
        <f>'Interim Data'!G107</f>
        <v>8685.203</v>
      </c>
      <c r="H109" s="16"/>
      <c r="I109" s="16"/>
      <c r="J109" s="16"/>
      <c r="K109" s="16"/>
      <c r="L109" s="16"/>
      <c r="M109" s="16"/>
    </row>
    <row r="110" spans="3:13" ht="12.75">
      <c r="C110" s="21" t="s">
        <v>52</v>
      </c>
      <c r="D110" s="21" t="s">
        <v>59</v>
      </c>
      <c r="E110" s="16">
        <f>'Interim Data'!E108</f>
        <v>3963.845</v>
      </c>
      <c r="F110" s="16">
        <f>'Interim Data'!F108</f>
        <v>368.027</v>
      </c>
      <c r="G110" s="16">
        <f>'Interim Data'!G108</f>
        <v>5.953</v>
      </c>
      <c r="H110" s="16"/>
      <c r="I110" s="16"/>
      <c r="J110" s="16"/>
      <c r="K110" s="16"/>
      <c r="L110" s="16"/>
      <c r="M110" s="16"/>
    </row>
    <row r="111" spans="3:13" ht="12.75">
      <c r="C111" s="21" t="s">
        <v>53</v>
      </c>
      <c r="D111" s="21" t="s">
        <v>59</v>
      </c>
      <c r="E111" s="16">
        <f>'Interim Data'!E109</f>
        <v>249341.602</v>
      </c>
      <c r="F111" s="16">
        <f>'Interim Data'!F109</f>
        <v>34724.761</v>
      </c>
      <c r="G111" s="16">
        <f>'Interim Data'!G109</f>
        <v>243.915</v>
      </c>
      <c r="H111" s="16"/>
      <c r="I111" s="16"/>
      <c r="J111" s="16"/>
      <c r="K111" s="16"/>
      <c r="L111" s="16"/>
      <c r="M111" s="16"/>
    </row>
    <row r="112" spans="3:13" ht="12.75">
      <c r="C112" s="21" t="s">
        <v>55</v>
      </c>
      <c r="D112" s="21" t="s">
        <v>59</v>
      </c>
      <c r="E112" s="16">
        <f>'Interim Data'!E110</f>
        <v>1277993.7389999998</v>
      </c>
      <c r="F112" s="16">
        <f>'Interim Data'!F110</f>
        <v>237798.296</v>
      </c>
      <c r="G112" s="16">
        <f>'Interim Data'!G110</f>
        <v>1498.507</v>
      </c>
      <c r="H112" s="16"/>
      <c r="I112" s="16"/>
      <c r="J112" s="16"/>
      <c r="K112" s="16"/>
      <c r="L112" s="16"/>
      <c r="M112" s="16"/>
    </row>
    <row r="113" spans="2:10" ht="12.75">
      <c r="B113" s="21" t="s">
        <v>62</v>
      </c>
      <c r="D113" s="21"/>
      <c r="E113" s="16"/>
      <c r="F113" s="16"/>
      <c r="G113" s="16"/>
      <c r="H113" s="16"/>
      <c r="I113" s="16"/>
      <c r="J113" s="16"/>
    </row>
    <row r="114" spans="3:10" ht="12.75">
      <c r="C114" s="21" t="s">
        <v>48</v>
      </c>
      <c r="D114" s="21" t="s">
        <v>59</v>
      </c>
      <c r="E114" s="16"/>
      <c r="F114" s="16"/>
      <c r="G114" s="16"/>
      <c r="H114" s="16"/>
      <c r="I114" s="16"/>
      <c r="J114" s="16"/>
    </row>
    <row r="115" spans="3:10" ht="12.75">
      <c r="C115" s="21" t="s">
        <v>49</v>
      </c>
      <c r="D115" s="21" t="s">
        <v>59</v>
      </c>
      <c r="E115" s="16"/>
      <c r="F115" s="16"/>
      <c r="G115" s="16"/>
      <c r="H115" s="16"/>
      <c r="I115" s="16"/>
      <c r="J115" s="16"/>
    </row>
    <row r="116" spans="3:13" ht="12.75">
      <c r="C116" s="21" t="s">
        <v>51</v>
      </c>
      <c r="D116" s="21" t="s">
        <v>59</v>
      </c>
      <c r="E116" s="16">
        <f>'Interim Data'!E114</f>
        <v>28855.953</v>
      </c>
      <c r="F116" s="16">
        <f>'Interim Data'!F114</f>
        <v>28868.424</v>
      </c>
      <c r="G116" s="16">
        <f>'Interim Data'!G114</f>
        <v>105.581</v>
      </c>
      <c r="H116" s="16"/>
      <c r="I116" s="16"/>
      <c r="J116" s="16"/>
      <c r="K116" s="16"/>
      <c r="L116" s="16"/>
      <c r="M116" s="16"/>
    </row>
    <row r="117" spans="3:13" ht="12.75">
      <c r="C117" s="21" t="s">
        <v>52</v>
      </c>
      <c r="D117" s="21" t="s">
        <v>59</v>
      </c>
      <c r="E117" s="16">
        <f>'Interim Data'!E115</f>
        <v>269.528</v>
      </c>
      <c r="F117" s="16">
        <f>'Interim Data'!F115</f>
        <v>0.748</v>
      </c>
      <c r="G117" s="16">
        <f>'Interim Data'!G115</f>
        <v>0</v>
      </c>
      <c r="H117" s="16"/>
      <c r="I117" s="16"/>
      <c r="J117" s="16"/>
      <c r="K117" s="16"/>
      <c r="L117" s="16"/>
      <c r="M117" s="16"/>
    </row>
    <row r="118" spans="3:13" ht="12.75">
      <c r="C118" s="21" t="s">
        <v>53</v>
      </c>
      <c r="D118" s="21" t="s">
        <v>59</v>
      </c>
      <c r="E118" s="16">
        <f>'Interim Data'!E116</f>
        <v>28986.832</v>
      </c>
      <c r="F118" s="16">
        <f>'Interim Data'!F116</f>
        <v>13476.606</v>
      </c>
      <c r="G118" s="16">
        <f>'Interim Data'!G116</f>
        <v>0.056</v>
      </c>
      <c r="H118" s="16"/>
      <c r="I118" s="16"/>
      <c r="J118" s="16"/>
      <c r="K118" s="16"/>
      <c r="L118" s="16"/>
      <c r="M118" s="16"/>
    </row>
    <row r="119" spans="3:13" ht="12.75">
      <c r="C119" s="21" t="s">
        <v>55</v>
      </c>
      <c r="D119" s="21" t="s">
        <v>59</v>
      </c>
      <c r="E119" s="16">
        <f>'Interim Data'!E117</f>
        <v>505388.58</v>
      </c>
      <c r="F119" s="16">
        <f>'Interim Data'!F117</f>
        <v>134366.857</v>
      </c>
      <c r="G119" s="16">
        <f>'Interim Data'!G117</f>
        <v>75.53</v>
      </c>
      <c r="H119" s="16"/>
      <c r="I119" s="16"/>
      <c r="J119" s="16"/>
      <c r="K119" s="16"/>
      <c r="L119" s="16"/>
      <c r="M119" s="16"/>
    </row>
    <row r="120" spans="3:13" ht="12.75">
      <c r="C120" s="21" t="s">
        <v>57</v>
      </c>
      <c r="D120" s="21" t="s">
        <v>59</v>
      </c>
      <c r="E120" s="16">
        <f>'Interim Data'!E118</f>
        <v>32613.533</v>
      </c>
      <c r="F120" s="16">
        <f>'Interim Data'!F118</f>
        <v>2916.639</v>
      </c>
      <c r="G120" s="16">
        <f>'Interim Data'!G118</f>
        <v>1.363</v>
      </c>
      <c r="H120" s="16"/>
      <c r="I120" s="16"/>
      <c r="J120" s="16"/>
      <c r="K120" s="16"/>
      <c r="L120" s="16"/>
      <c r="M120" s="16"/>
    </row>
    <row r="121" spans="2:7" ht="12.75">
      <c r="B121" t="s">
        <v>75</v>
      </c>
      <c r="E121" s="16">
        <f>SUM(E23:E27,E29:E33,E35:E39,E41:E45,E47:E50)</f>
        <v>6220156812</v>
      </c>
      <c r="F121" s="16">
        <f>SUM(F23:F27,F29:F33,F35:F39,F41:F45,F47:F50)</f>
        <v>1783471677.9999998</v>
      </c>
      <c r="G121" s="16">
        <f>SUM(G23:G27,G29:G33,G35:G39,G41:G45,G47:G50)</f>
        <v>55744252.99999999</v>
      </c>
    </row>
    <row r="122" spans="5:7" ht="12.75">
      <c r="E122" s="16"/>
      <c r="F122" s="16"/>
      <c r="G122" s="16"/>
    </row>
    <row r="123" spans="5:7" ht="12.75">
      <c r="E123" s="16"/>
      <c r="F123" s="16"/>
      <c r="G123" s="16"/>
    </row>
    <row r="124" spans="3:7" ht="12.75">
      <c r="C124" s="21"/>
      <c r="E124" s="16"/>
      <c r="F124" s="16"/>
      <c r="G124" s="16"/>
    </row>
    <row r="125" ht="12.75">
      <c r="C125" s="21"/>
    </row>
    <row r="126" ht="12.75">
      <c r="C126" s="21"/>
    </row>
    <row r="127" ht="12.75">
      <c r="C127" s="21"/>
    </row>
  </sheetData>
  <printOptions/>
  <pageMargins left="0.75" right="0.75" top="0.75" bottom="0.75" header="0" footer="0"/>
  <pageSetup horizontalDpi="600" verticalDpi="600" orientation="landscape" r:id="rId1"/>
  <rowBreaks count="2" manualBreakCount="2">
    <brk id="39" max="7" man="1"/>
    <brk id="73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87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42.140625" style="0" customWidth="1"/>
    <col min="4" max="4" width="10.7109375" style="0" customWidth="1"/>
    <col min="5" max="5" width="14.57421875" style="0" customWidth="1"/>
    <col min="6" max="6" width="10.421875" style="0" bestFit="1" customWidth="1"/>
    <col min="7" max="7" width="14.7109375" style="0" customWidth="1"/>
    <col min="8" max="8" width="11.57421875" style="0" customWidth="1"/>
    <col min="9" max="9" width="10.421875" style="0" customWidth="1"/>
    <col min="10" max="10" width="10.57421875" style="0" customWidth="1"/>
  </cols>
  <sheetData>
    <row r="1" ht="12.75">
      <c r="A1" s="40" t="s">
        <v>67</v>
      </c>
    </row>
    <row r="3" spans="1:7" ht="25.5">
      <c r="A3" s="23" t="s">
        <v>0</v>
      </c>
      <c r="B3" s="23"/>
      <c r="C3" s="40"/>
      <c r="D3" s="23" t="s">
        <v>1</v>
      </c>
      <c r="E3" s="39" t="s">
        <v>197</v>
      </c>
      <c r="F3" s="39" t="s">
        <v>206</v>
      </c>
      <c r="G3" s="39" t="s">
        <v>208</v>
      </c>
    </row>
    <row r="4" spans="1:4" ht="12.75">
      <c r="A4" s="21" t="s">
        <v>2</v>
      </c>
      <c r="B4" s="21"/>
      <c r="D4" s="21"/>
    </row>
    <row r="5" spans="2:4" ht="12.75">
      <c r="B5" s="21" t="s">
        <v>3</v>
      </c>
      <c r="D5" s="21"/>
    </row>
    <row r="6" spans="3:10" ht="12.75">
      <c r="C6" s="21" t="s">
        <v>5</v>
      </c>
      <c r="D6" s="21" t="s">
        <v>4</v>
      </c>
      <c r="E6" s="13">
        <f>'Interim Data'!E4</f>
        <v>23739549.27421482</v>
      </c>
      <c r="F6" s="22">
        <v>0.16</v>
      </c>
      <c r="G6" s="25">
        <f>E6*F6</f>
        <v>3798327.883874371</v>
      </c>
      <c r="H6" s="13"/>
      <c r="I6" s="13"/>
      <c r="J6" s="13"/>
    </row>
    <row r="7" spans="3:10" ht="12.75">
      <c r="C7" s="21" t="s">
        <v>6</v>
      </c>
      <c r="D7" s="21" t="s">
        <v>4</v>
      </c>
      <c r="E7" s="13">
        <f>'Interim Data'!E5</f>
        <v>879597816.0458272</v>
      </c>
      <c r="F7" s="22">
        <v>0.209</v>
      </c>
      <c r="G7" s="25">
        <f aca="true" t="shared" si="0" ref="G7:G15">E7*F7</f>
        <v>183835943.55357787</v>
      </c>
      <c r="H7" s="13"/>
      <c r="I7" s="13"/>
      <c r="J7" s="13"/>
    </row>
    <row r="8" spans="3:10" ht="12.75">
      <c r="C8" s="21" t="s">
        <v>7</v>
      </c>
      <c r="D8" s="21" t="s">
        <v>4</v>
      </c>
      <c r="E8" s="13">
        <f>'Interim Data'!E6</f>
        <v>164390997.38634813</v>
      </c>
      <c r="F8" s="22">
        <v>0.219</v>
      </c>
      <c r="G8" s="25">
        <f t="shared" si="0"/>
        <v>36001628.42761024</v>
      </c>
      <c r="H8" s="13"/>
      <c r="I8" s="13"/>
      <c r="J8" s="13"/>
    </row>
    <row r="9" spans="3:10" ht="12.75">
      <c r="C9" s="21" t="s">
        <v>8</v>
      </c>
      <c r="D9" s="21" t="s">
        <v>4</v>
      </c>
      <c r="E9" s="13">
        <f>'Interim Data'!E7</f>
        <v>101797625.39788255</v>
      </c>
      <c r="F9" s="22">
        <v>0.239</v>
      </c>
      <c r="G9" s="25">
        <f t="shared" si="0"/>
        <v>24329632.47009393</v>
      </c>
      <c r="H9" s="13"/>
      <c r="I9" s="13"/>
      <c r="J9" s="13"/>
    </row>
    <row r="10" spans="3:10" ht="12.75">
      <c r="C10" s="21" t="s">
        <v>9</v>
      </c>
      <c r="D10" s="21" t="s">
        <v>4</v>
      </c>
      <c r="E10" s="13">
        <f>'Interim Data'!E8+'Interim Data'!H8</f>
        <v>49162452.798935</v>
      </c>
      <c r="F10" s="22">
        <v>0.257</v>
      </c>
      <c r="G10" s="25">
        <f t="shared" si="0"/>
        <v>12634750.369326295</v>
      </c>
      <c r="H10" s="13"/>
      <c r="I10" s="13"/>
      <c r="J10" s="13"/>
    </row>
    <row r="11" spans="3:10" ht="12.75">
      <c r="C11" s="21" t="s">
        <v>10</v>
      </c>
      <c r="D11" s="21" t="s">
        <v>4</v>
      </c>
      <c r="E11" s="13">
        <f>'Interim Data'!E9+'Interim Data'!H9</f>
        <v>62850735.71223901</v>
      </c>
      <c r="F11" s="22">
        <v>0.303</v>
      </c>
      <c r="G11" s="25">
        <f t="shared" si="0"/>
        <v>19043772.92080842</v>
      </c>
      <c r="H11" s="13"/>
      <c r="I11" s="13"/>
      <c r="J11" s="13"/>
    </row>
    <row r="12" spans="3:10" ht="12.75">
      <c r="C12" s="21" t="s">
        <v>11</v>
      </c>
      <c r="D12" s="21" t="s">
        <v>4</v>
      </c>
      <c r="E12" s="13">
        <f>'Interim Data'!E10+'Interim Data'!H10</f>
        <v>63107088.91915202</v>
      </c>
      <c r="F12" s="22">
        <v>0.372</v>
      </c>
      <c r="G12" s="25">
        <f t="shared" si="0"/>
        <v>23475837.077924553</v>
      </c>
      <c r="H12" s="13"/>
      <c r="I12" s="13"/>
      <c r="J12" s="13"/>
    </row>
    <row r="13" spans="3:10" ht="12.75">
      <c r="C13" s="21" t="s">
        <v>12</v>
      </c>
      <c r="D13" s="21" t="s">
        <v>4</v>
      </c>
      <c r="E13" s="13">
        <f>'Interim Data'!E11+'Interim Data'!H11</f>
        <v>26133055.155042488</v>
      </c>
      <c r="F13" s="22">
        <v>0.446</v>
      </c>
      <c r="G13" s="25">
        <f t="shared" si="0"/>
        <v>11655342.59914895</v>
      </c>
      <c r="H13" s="13"/>
      <c r="I13" s="13"/>
      <c r="J13" s="13"/>
    </row>
    <row r="14" spans="3:10" ht="12.75">
      <c r="C14" s="21" t="s">
        <v>13</v>
      </c>
      <c r="D14" s="21" t="s">
        <v>4</v>
      </c>
      <c r="E14" s="13">
        <f>'Interim Data'!E12+'Interim Data'!H12</f>
        <v>18151026.623215973</v>
      </c>
      <c r="F14" s="22">
        <v>0.534</v>
      </c>
      <c r="G14" s="25">
        <f t="shared" si="0"/>
        <v>9692648.21679733</v>
      </c>
      <c r="H14" s="13"/>
      <c r="I14" s="13"/>
      <c r="J14" s="13"/>
    </row>
    <row r="15" spans="3:10" ht="12.75">
      <c r="C15" s="21" t="s">
        <v>14</v>
      </c>
      <c r="D15" s="21" t="s">
        <v>4</v>
      </c>
      <c r="E15" s="13">
        <f>'Interim Data'!E13+'Interim Data'!H13</f>
        <v>24403710.524046503</v>
      </c>
      <c r="F15" s="22">
        <v>0.61</v>
      </c>
      <c r="G15" s="25">
        <f t="shared" si="0"/>
        <v>14886263.419668367</v>
      </c>
      <c r="H15" s="13"/>
      <c r="I15" s="13"/>
      <c r="J15" s="13"/>
    </row>
    <row r="16" spans="2:6" ht="12.75">
      <c r="B16" s="21" t="s">
        <v>15</v>
      </c>
      <c r="D16" s="21"/>
      <c r="F16" s="22"/>
    </row>
    <row r="17" spans="3:9" ht="12.75">
      <c r="C17" s="21" t="s">
        <v>5</v>
      </c>
      <c r="D17" s="21" t="s">
        <v>4</v>
      </c>
      <c r="E17" s="13">
        <f>'Interim Data'!E15</f>
        <v>13918857.182965282</v>
      </c>
      <c r="F17" s="22">
        <v>0.133</v>
      </c>
      <c r="G17" s="25">
        <f>E17*F17</f>
        <v>1851208.0053343826</v>
      </c>
      <c r="H17" s="13"/>
      <c r="I17" s="13"/>
    </row>
    <row r="18" spans="3:10" ht="12.75">
      <c r="C18" s="21" t="s">
        <v>6</v>
      </c>
      <c r="D18" s="21" t="s">
        <v>4</v>
      </c>
      <c r="E18" s="13">
        <f>'Interim Data'!E16</f>
        <v>971297011.6629062</v>
      </c>
      <c r="F18" s="22">
        <v>0.174</v>
      </c>
      <c r="G18" s="25">
        <f>E18*F18</f>
        <v>169005680.02934566</v>
      </c>
      <c r="H18" s="13"/>
      <c r="I18" s="13"/>
      <c r="J18" s="13"/>
    </row>
    <row r="19" spans="3:10" ht="12.75">
      <c r="C19" s="21" t="s">
        <v>7</v>
      </c>
      <c r="D19" s="21" t="s">
        <v>4</v>
      </c>
      <c r="E19" s="13">
        <f>'Interim Data'!E17</f>
        <v>195194164.28523415</v>
      </c>
      <c r="F19" s="22">
        <v>0.182</v>
      </c>
      <c r="G19" s="25">
        <f>E19*F19</f>
        <v>35525337.89991262</v>
      </c>
      <c r="H19" s="13"/>
      <c r="I19" s="13"/>
      <c r="J19" s="13"/>
    </row>
    <row r="20" spans="3:10" ht="12.75">
      <c r="C20" s="21" t="s">
        <v>16</v>
      </c>
      <c r="D20" s="21" t="s">
        <v>4</v>
      </c>
      <c r="E20" s="13">
        <f>'Interim Data'!E18</f>
        <v>495963733.8272884</v>
      </c>
      <c r="F20" s="22">
        <v>0.199</v>
      </c>
      <c r="G20" s="25">
        <f>E20*F20</f>
        <v>98696783.0316304</v>
      </c>
      <c r="H20" s="13"/>
      <c r="I20" s="13"/>
      <c r="J20" s="13"/>
    </row>
    <row r="21" spans="1:6" ht="12.75">
      <c r="A21" t="s">
        <v>128</v>
      </c>
      <c r="C21" s="21"/>
      <c r="D21" s="21"/>
      <c r="F21" s="22"/>
    </row>
    <row r="22" spans="2:6" ht="12.75">
      <c r="B22" s="21" t="s">
        <v>3</v>
      </c>
      <c r="D22" s="21"/>
      <c r="F22" s="22"/>
    </row>
    <row r="23" spans="3:7" ht="12.75">
      <c r="C23" s="21" t="s">
        <v>5</v>
      </c>
      <c r="D23" s="21" t="s">
        <v>4</v>
      </c>
      <c r="E23" s="13">
        <f>'Interim Data'!H4</f>
        <v>78704.91979239458</v>
      </c>
      <c r="F23" s="22">
        <v>0.12</v>
      </c>
      <c r="G23" s="25">
        <f aca="true" t="shared" si="1" ref="G23:G31">E23*F23</f>
        <v>9444.59037508735</v>
      </c>
    </row>
    <row r="24" spans="3:7" ht="12.75">
      <c r="C24" s="21" t="s">
        <v>6</v>
      </c>
      <c r="D24" s="21" t="s">
        <v>4</v>
      </c>
      <c r="E24" s="13">
        <f>'Interim Data'!H5</f>
        <v>1194621.7111986987</v>
      </c>
      <c r="F24" s="22">
        <v>0.157</v>
      </c>
      <c r="G24" s="25">
        <f t="shared" si="1"/>
        <v>187555.6086581957</v>
      </c>
    </row>
    <row r="25" spans="3:7" ht="12.75">
      <c r="C25" s="21" t="s">
        <v>7</v>
      </c>
      <c r="D25" s="21" t="s">
        <v>4</v>
      </c>
      <c r="E25" s="13">
        <f>'Interim Data'!H6</f>
        <v>18220.697532048693</v>
      </c>
      <c r="F25" s="22">
        <v>0.164</v>
      </c>
      <c r="G25" s="25">
        <f t="shared" si="1"/>
        <v>2988.194395255986</v>
      </c>
    </row>
    <row r="26" spans="3:7" ht="12.75">
      <c r="C26" s="21" t="s">
        <v>8</v>
      </c>
      <c r="D26" s="21" t="s">
        <v>4</v>
      </c>
      <c r="E26" s="13">
        <f>'Interim Data'!H7</f>
        <v>5784148.339968669</v>
      </c>
      <c r="F26" s="22">
        <v>0.179</v>
      </c>
      <c r="G26" s="25">
        <f t="shared" si="1"/>
        <v>1035362.5528543917</v>
      </c>
    </row>
    <row r="27" spans="2:6" ht="12.75">
      <c r="B27" s="21" t="s">
        <v>15</v>
      </c>
      <c r="F27" s="22"/>
    </row>
    <row r="28" spans="3:7" ht="12.75">
      <c r="C28" s="21" t="s">
        <v>5</v>
      </c>
      <c r="D28" s="21" t="s">
        <v>4</v>
      </c>
      <c r="E28" s="13">
        <f>'Interim Data'!H15</f>
        <v>37969.0743728759</v>
      </c>
      <c r="F28" s="22">
        <v>0.133</v>
      </c>
      <c r="G28" s="25">
        <f t="shared" si="1"/>
        <v>5049.886891592495</v>
      </c>
    </row>
    <row r="29" spans="3:7" ht="12.75">
      <c r="C29" s="21" t="s">
        <v>6</v>
      </c>
      <c r="D29" s="21" t="s">
        <v>4</v>
      </c>
      <c r="E29" s="13">
        <f>'Interim Data'!H16</f>
        <v>2354394.173243588</v>
      </c>
      <c r="F29" s="22">
        <v>0.174</v>
      </c>
      <c r="G29" s="25">
        <f t="shared" si="1"/>
        <v>409664.58614438423</v>
      </c>
    </row>
    <row r="30" spans="3:7" ht="12.75">
      <c r="C30" s="21" t="s">
        <v>7</v>
      </c>
      <c r="D30" s="21" t="s">
        <v>4</v>
      </c>
      <c r="E30" s="13">
        <f>'Interim Data'!H17</f>
        <v>445632.2601942716</v>
      </c>
      <c r="F30" s="22">
        <v>0.182</v>
      </c>
      <c r="G30" s="25">
        <f t="shared" si="1"/>
        <v>81105.07135535743</v>
      </c>
    </row>
    <row r="31" spans="3:7" ht="12.75">
      <c r="C31" s="21" t="s">
        <v>8</v>
      </c>
      <c r="D31" s="21" t="s">
        <v>4</v>
      </c>
      <c r="E31" s="13">
        <f>'Interim Data'!H18</f>
        <v>2011704.0283997739</v>
      </c>
      <c r="F31" s="22">
        <v>0.199</v>
      </c>
      <c r="G31" s="25">
        <f t="shared" si="1"/>
        <v>400329.10165155504</v>
      </c>
    </row>
    <row r="32" spans="1:6" ht="12.75">
      <c r="A32" s="21" t="s">
        <v>17</v>
      </c>
      <c r="B32" s="21"/>
      <c r="D32" s="21"/>
      <c r="F32" s="22"/>
    </row>
    <row r="33" spans="2:6" ht="12.75">
      <c r="B33" s="21" t="s">
        <v>19</v>
      </c>
      <c r="D33" s="21"/>
      <c r="F33" s="22"/>
    </row>
    <row r="34" spans="3:7" ht="12.75">
      <c r="C34" s="21" t="s">
        <v>20</v>
      </c>
      <c r="D34" s="21" t="s">
        <v>18</v>
      </c>
      <c r="E34" s="8">
        <f>'Adjusted Data'!E23</f>
        <v>29299654.962627675</v>
      </c>
      <c r="F34" s="22">
        <v>0.534</v>
      </c>
      <c r="G34" s="25">
        <f>E34*F34</f>
        <v>15646015.75004318</v>
      </c>
    </row>
    <row r="35" spans="3:7" ht="12.75">
      <c r="C35" s="21" t="s">
        <v>21</v>
      </c>
      <c r="D35" s="21" t="s">
        <v>18</v>
      </c>
      <c r="E35" s="8">
        <f>'Adjusted Data'!E24</f>
        <v>8875905.078587867</v>
      </c>
      <c r="F35" s="22">
        <v>0.431</v>
      </c>
      <c r="G35" s="25">
        <f>E35*F35</f>
        <v>3825515.0888713705</v>
      </c>
    </row>
    <row r="36" spans="3:7" ht="12.75">
      <c r="C36" s="21" t="s">
        <v>22</v>
      </c>
      <c r="D36" s="21" t="s">
        <v>18</v>
      </c>
      <c r="E36" s="8">
        <f>'Adjusted Data'!E25</f>
        <v>8994812.746000001</v>
      </c>
      <c r="F36" s="22">
        <v>0.504</v>
      </c>
      <c r="G36" s="25">
        <f>E36*F36</f>
        <v>4533385.623984001</v>
      </c>
    </row>
    <row r="37" spans="3:7" ht="12.75">
      <c r="C37" s="21" t="s">
        <v>23</v>
      </c>
      <c r="D37" s="21" t="s">
        <v>18</v>
      </c>
      <c r="E37" s="8">
        <f>'Adjusted Data'!E26</f>
        <v>15188944.774</v>
      </c>
      <c r="F37" s="22">
        <v>0.404</v>
      </c>
      <c r="G37" s="25">
        <f>E37*F37</f>
        <v>6136333.688696001</v>
      </c>
    </row>
    <row r="38" spans="3:7" ht="12.75">
      <c r="C38" s="21" t="s">
        <v>24</v>
      </c>
      <c r="D38" s="21" t="s">
        <v>18</v>
      </c>
      <c r="E38" s="8">
        <f>'Adjusted Data'!E27</f>
        <v>20967009.54431806</v>
      </c>
      <c r="F38" s="22">
        <v>0.327</v>
      </c>
      <c r="G38" s="25">
        <f>E38*F38</f>
        <v>6856212.120992007</v>
      </c>
    </row>
    <row r="39" spans="2:6" ht="12.75">
      <c r="B39" s="21" t="s">
        <v>25</v>
      </c>
      <c r="D39" s="21"/>
      <c r="E39" s="8"/>
      <c r="F39" s="22"/>
    </row>
    <row r="40" spans="3:7" ht="12.75">
      <c r="C40" s="21" t="s">
        <v>20</v>
      </c>
      <c r="D40" s="21" t="s">
        <v>18</v>
      </c>
      <c r="E40" s="8">
        <f>'Adjusted Data'!E29</f>
        <v>34036644.7960664</v>
      </c>
      <c r="F40" s="22">
        <v>0.432</v>
      </c>
      <c r="G40" s="25">
        <f>E40*F40</f>
        <v>14703830.551900687</v>
      </c>
    </row>
    <row r="41" spans="3:7" ht="12.75">
      <c r="C41" s="21" t="s">
        <v>21</v>
      </c>
      <c r="D41" s="21" t="s">
        <v>18</v>
      </c>
      <c r="E41" s="8">
        <f>'Adjusted Data'!E30</f>
        <v>8715604.552194532</v>
      </c>
      <c r="F41" s="22">
        <v>0.37</v>
      </c>
      <c r="G41" s="25">
        <f>E41*F41</f>
        <v>3224773.6843119767</v>
      </c>
    </row>
    <row r="42" spans="3:7" ht="12.75">
      <c r="C42" s="21" t="s">
        <v>22</v>
      </c>
      <c r="D42" s="21" t="s">
        <v>18</v>
      </c>
      <c r="E42" s="8">
        <f>'Adjusted Data'!E31</f>
        <v>26672681.11</v>
      </c>
      <c r="F42" s="22">
        <v>0.412</v>
      </c>
      <c r="G42" s="25">
        <f>E42*F42</f>
        <v>10989144.61732</v>
      </c>
    </row>
    <row r="43" spans="3:7" ht="12.75">
      <c r="C43" s="21" t="s">
        <v>23</v>
      </c>
      <c r="D43" s="21" t="s">
        <v>18</v>
      </c>
      <c r="E43" s="8">
        <f>'Adjusted Data'!E32</f>
        <v>59045819.87099999</v>
      </c>
      <c r="F43" s="22">
        <v>0.35</v>
      </c>
      <c r="G43" s="25">
        <f>E43*F43</f>
        <v>20666036.954849996</v>
      </c>
    </row>
    <row r="44" spans="3:7" ht="12.75">
      <c r="C44" s="21" t="s">
        <v>24</v>
      </c>
      <c r="D44" s="21" t="s">
        <v>18</v>
      </c>
      <c r="E44" s="8">
        <f>'Adjusted Data'!E33</f>
        <v>9955142.963801442</v>
      </c>
      <c r="F44" s="22">
        <v>0.289</v>
      </c>
      <c r="G44" s="25">
        <f>E44*F44</f>
        <v>2877036.3165386165</v>
      </c>
    </row>
    <row r="45" spans="2:6" ht="12.75">
      <c r="B45" s="21" t="s">
        <v>26</v>
      </c>
      <c r="D45" s="21"/>
      <c r="E45" s="8"/>
      <c r="F45" s="22"/>
    </row>
    <row r="46" spans="3:7" ht="12.75">
      <c r="C46" s="21" t="s">
        <v>20</v>
      </c>
      <c r="D46" s="21" t="s">
        <v>18</v>
      </c>
      <c r="E46" s="8">
        <f>'Adjusted Data'!E35</f>
        <v>68747816.77843328</v>
      </c>
      <c r="F46" s="22">
        <v>0.373</v>
      </c>
      <c r="G46" s="25">
        <f>E46*F46</f>
        <v>25642935.658355612</v>
      </c>
    </row>
    <row r="47" spans="3:7" ht="12.75">
      <c r="C47" s="21" t="s">
        <v>21</v>
      </c>
      <c r="D47" s="21" t="s">
        <v>18</v>
      </c>
      <c r="E47" s="8">
        <f>'Adjusted Data'!E36</f>
        <v>53374151.96505644</v>
      </c>
      <c r="F47" s="22">
        <v>0.348</v>
      </c>
      <c r="G47" s="25">
        <f>E47*F47</f>
        <v>18574204.88383964</v>
      </c>
    </row>
    <row r="48" spans="3:7" ht="12.75">
      <c r="C48" s="21" t="s">
        <v>22</v>
      </c>
      <c r="D48" s="21" t="s">
        <v>18</v>
      </c>
      <c r="E48" s="8">
        <f>'Adjusted Data'!E37</f>
        <v>147644549.83299997</v>
      </c>
      <c r="F48" s="22">
        <v>0.362</v>
      </c>
      <c r="G48" s="25">
        <f>E48*F48</f>
        <v>53447327.03954599</v>
      </c>
    </row>
    <row r="49" spans="3:7" ht="12.75">
      <c r="C49" s="21" t="s">
        <v>23</v>
      </c>
      <c r="D49" s="21" t="s">
        <v>18</v>
      </c>
      <c r="E49" s="8">
        <f>'Adjusted Data'!E38</f>
        <v>618660294.0209999</v>
      </c>
      <c r="F49" s="22">
        <v>0.331</v>
      </c>
      <c r="G49" s="25">
        <f>E49*F49</f>
        <v>204776557.32095098</v>
      </c>
    </row>
    <row r="50" spans="3:7" ht="12.75">
      <c r="C50" s="21" t="s">
        <v>24</v>
      </c>
      <c r="D50" s="21" t="s">
        <v>18</v>
      </c>
      <c r="E50" s="8">
        <f>'Adjusted Data'!E39</f>
        <v>12511080.392332869</v>
      </c>
      <c r="F50" s="22">
        <v>0.275</v>
      </c>
      <c r="G50" s="25">
        <f>E50*F50</f>
        <v>3440547.107891539</v>
      </c>
    </row>
    <row r="51" spans="2:6" ht="12.75">
      <c r="B51" s="21" t="s">
        <v>27</v>
      </c>
      <c r="D51" s="21"/>
      <c r="E51" s="8"/>
      <c r="F51" s="22"/>
    </row>
    <row r="52" spans="3:7" ht="12.75">
      <c r="C52" s="21" t="s">
        <v>20</v>
      </c>
      <c r="D52" s="21" t="s">
        <v>18</v>
      </c>
      <c r="E52" s="8">
        <f>'Adjusted Data'!E41</f>
        <v>66264710.79403781</v>
      </c>
      <c r="F52" s="22">
        <v>0.289</v>
      </c>
      <c r="G52" s="25">
        <f>E52*F52</f>
        <v>19150501.419476926</v>
      </c>
    </row>
    <row r="53" spans="3:7" ht="12.75">
      <c r="C53" s="21" t="s">
        <v>21</v>
      </c>
      <c r="D53" s="21" t="s">
        <v>18</v>
      </c>
      <c r="E53" s="8">
        <f>'Adjusted Data'!E42</f>
        <v>97636532.90596934</v>
      </c>
      <c r="F53" s="22">
        <v>0.276</v>
      </c>
      <c r="G53" s="25">
        <f>E53*F53</f>
        <v>26947683.08204754</v>
      </c>
    </row>
    <row r="54" spans="3:7" ht="12.75">
      <c r="C54" s="21" t="s">
        <v>22</v>
      </c>
      <c r="D54" s="21" t="s">
        <v>18</v>
      </c>
      <c r="E54" s="8">
        <f>'Adjusted Data'!E43</f>
        <v>338735214.6180002</v>
      </c>
      <c r="F54" s="22">
        <v>0.285</v>
      </c>
      <c r="G54" s="25">
        <f>E54*F54</f>
        <v>96539536.16613005</v>
      </c>
    </row>
    <row r="55" spans="3:7" ht="12.75">
      <c r="C55" s="21" t="s">
        <v>23</v>
      </c>
      <c r="D55" s="21" t="s">
        <v>18</v>
      </c>
      <c r="E55" s="8">
        <f>'Adjusted Data'!E44</f>
        <v>1652438531.208</v>
      </c>
      <c r="F55" s="22">
        <v>0.268</v>
      </c>
      <c r="G55" s="25">
        <f>E55*F55</f>
        <v>442853526.363744</v>
      </c>
    </row>
    <row r="56" spans="3:7" ht="12.75">
      <c r="C56" s="21" t="s">
        <v>24</v>
      </c>
      <c r="D56" s="21" t="s">
        <v>18</v>
      </c>
      <c r="E56" s="8">
        <f>'Adjusted Data'!E45</f>
        <v>495226.99057503894</v>
      </c>
      <c r="F56" s="22">
        <v>0.211</v>
      </c>
      <c r="G56" s="25">
        <f>E56*F56</f>
        <v>104492.89501133321</v>
      </c>
    </row>
    <row r="57" spans="2:6" ht="12.75">
      <c r="B57" s="21" t="s">
        <v>28</v>
      </c>
      <c r="D57" s="21"/>
      <c r="E57" s="8"/>
      <c r="F57" s="22"/>
    </row>
    <row r="58" spans="3:7" ht="12.75">
      <c r="C58" s="21" t="s">
        <v>29</v>
      </c>
      <c r="D58" s="21" t="s">
        <v>18</v>
      </c>
      <c r="E58" s="8">
        <f>'Adjusted Data'!E47</f>
        <v>2796930295.379999</v>
      </c>
      <c r="F58" s="22">
        <v>0.169</v>
      </c>
      <c r="G58" s="25">
        <f>E58*F58</f>
        <v>472681219.9192199</v>
      </c>
    </row>
    <row r="59" spans="3:7" ht="12.75">
      <c r="C59" s="21" t="s">
        <v>30</v>
      </c>
      <c r="D59" s="21" t="s">
        <v>18</v>
      </c>
      <c r="E59" s="8">
        <f>'Adjusted Data'!E48</f>
        <v>78452936.092</v>
      </c>
      <c r="F59" s="22">
        <v>0.149</v>
      </c>
      <c r="G59" s="25">
        <f>E59*F59</f>
        <v>11689487.477707999</v>
      </c>
    </row>
    <row r="60" spans="3:7" ht="12.75">
      <c r="C60" s="21" t="s">
        <v>31</v>
      </c>
      <c r="D60" s="21" t="s">
        <v>18</v>
      </c>
      <c r="E60" s="8">
        <f>'Adjusted Data'!E49</f>
        <v>38806048.18399999</v>
      </c>
      <c r="F60" s="22">
        <v>0.131</v>
      </c>
      <c r="G60" s="25">
        <f>E60*F60</f>
        <v>5083592.312103999</v>
      </c>
    </row>
    <row r="61" spans="3:7" ht="12.75">
      <c r="C61" s="21" t="s">
        <v>32</v>
      </c>
      <c r="D61" s="21" t="s">
        <v>18</v>
      </c>
      <c r="E61" s="8">
        <f>'Adjusted Data'!E50</f>
        <v>27707202.43900001</v>
      </c>
      <c r="F61" s="22">
        <v>0.169</v>
      </c>
      <c r="G61" s="25">
        <f>E61*F61</f>
        <v>4682517.212191002</v>
      </c>
    </row>
    <row r="62" spans="3:7" ht="12.75">
      <c r="C62" s="21" t="s">
        <v>33</v>
      </c>
      <c r="D62" s="21" t="s">
        <v>34</v>
      </c>
      <c r="E62" s="8">
        <f>'Adjusted Data'!E51</f>
        <v>3589759709.39856</v>
      </c>
      <c r="F62" s="22">
        <v>-0.091</v>
      </c>
      <c r="G62" s="25">
        <f>E62*F62</f>
        <v>-326668133.55526894</v>
      </c>
    </row>
    <row r="63" spans="1:6" ht="12.75">
      <c r="A63" s="21" t="s">
        <v>35</v>
      </c>
      <c r="D63" s="21"/>
      <c r="E63" s="8"/>
      <c r="F63" s="22"/>
    </row>
    <row r="64" spans="2:6" ht="12.75">
      <c r="B64" s="21" t="s">
        <v>37</v>
      </c>
      <c r="D64" s="21"/>
      <c r="E64" s="8"/>
      <c r="F64" s="22"/>
    </row>
    <row r="65" spans="3:7" ht="12.75">
      <c r="C65" s="21" t="s">
        <v>38</v>
      </c>
      <c r="D65" s="21" t="s">
        <v>36</v>
      </c>
      <c r="E65" s="8">
        <f>'Adjusted Data'!E54</f>
        <v>3477670.2880000006</v>
      </c>
      <c r="F65" s="22">
        <v>0.1</v>
      </c>
      <c r="G65" s="25">
        <f>E65*F65</f>
        <v>347767.0288000001</v>
      </c>
    </row>
    <row r="66" spans="3:7" ht="12.75">
      <c r="C66" s="21" t="s">
        <v>39</v>
      </c>
      <c r="D66" s="21" t="s">
        <v>36</v>
      </c>
      <c r="E66" s="8">
        <f>'Adjusted Data'!E55</f>
        <v>6933299.424000001</v>
      </c>
      <c r="F66" s="22">
        <v>0.129</v>
      </c>
      <c r="G66" s="25">
        <f>E66*F66</f>
        <v>894395.6256960001</v>
      </c>
    </row>
    <row r="67" spans="3:7" ht="12.75">
      <c r="C67" s="21" t="s">
        <v>40</v>
      </c>
      <c r="D67" s="21" t="s">
        <v>36</v>
      </c>
      <c r="E67" s="8">
        <f>'Adjusted Data'!E56</f>
        <v>5740297.634999998</v>
      </c>
      <c r="F67" s="22">
        <v>0.134</v>
      </c>
      <c r="G67" s="25">
        <f>E67*F67</f>
        <v>769199.8830899998</v>
      </c>
    </row>
    <row r="68" spans="3:7" ht="12.75">
      <c r="C68" s="21" t="s">
        <v>41</v>
      </c>
      <c r="D68" s="21" t="s">
        <v>36</v>
      </c>
      <c r="E68" s="8">
        <f>'Adjusted Data'!E57</f>
        <v>1026498.208</v>
      </c>
      <c r="F68" s="22">
        <v>0.161</v>
      </c>
      <c r="G68" s="25">
        <f>E68*F68</f>
        <v>165266.211488</v>
      </c>
    </row>
    <row r="69" spans="3:7" ht="12.75">
      <c r="C69" s="21" t="s">
        <v>32</v>
      </c>
      <c r="D69" s="21" t="s">
        <v>36</v>
      </c>
      <c r="E69" s="8">
        <f>'Adjusted Data'!E58</f>
        <v>3199336.701</v>
      </c>
      <c r="F69" s="22">
        <v>0.079</v>
      </c>
      <c r="G69" s="25">
        <f>E69*F69</f>
        <v>252747.599379</v>
      </c>
    </row>
    <row r="70" spans="2:6" ht="12.75">
      <c r="B70" s="21" t="s">
        <v>42</v>
      </c>
      <c r="D70" s="21"/>
      <c r="E70" s="8"/>
      <c r="F70" s="22"/>
    </row>
    <row r="71" spans="3:7" ht="12.75">
      <c r="C71" s="21" t="s">
        <v>39</v>
      </c>
      <c r="D71" s="21" t="s">
        <v>36</v>
      </c>
      <c r="E71" s="8">
        <f>'Adjusted Data'!E60</f>
        <v>4889439.964</v>
      </c>
      <c r="F71" s="22">
        <v>0.038</v>
      </c>
      <c r="G71" s="25">
        <f>E71*F71</f>
        <v>185798.71863199997</v>
      </c>
    </row>
    <row r="72" spans="3:7" ht="12.75">
      <c r="C72" s="21" t="s">
        <v>40</v>
      </c>
      <c r="D72" s="21" t="s">
        <v>36</v>
      </c>
      <c r="E72" s="8">
        <f>'Adjusted Data'!E61</f>
        <v>21286363.35199999</v>
      </c>
      <c r="F72" s="22">
        <v>0.063</v>
      </c>
      <c r="G72" s="25">
        <f>E72*F72</f>
        <v>1341040.8911759993</v>
      </c>
    </row>
    <row r="73" spans="3:7" ht="12.75">
      <c r="C73" s="21" t="s">
        <v>41</v>
      </c>
      <c r="D73" s="21" t="s">
        <v>36</v>
      </c>
      <c r="E73" s="8">
        <f>'Adjusted Data'!E62</f>
        <v>32672231.947999995</v>
      </c>
      <c r="F73" s="22">
        <v>0.095</v>
      </c>
      <c r="G73" s="25">
        <f>E73*F73</f>
        <v>3103862.0350599997</v>
      </c>
    </row>
    <row r="74" spans="3:7" ht="12.75">
      <c r="C74" s="21" t="s">
        <v>43</v>
      </c>
      <c r="D74" s="21" t="s">
        <v>36</v>
      </c>
      <c r="E74" s="8">
        <f>'Adjusted Data'!E63</f>
        <v>11395124.799999999</v>
      </c>
      <c r="F74" s="22">
        <v>0.104</v>
      </c>
      <c r="G74" s="25">
        <f>E74*F74</f>
        <v>1185092.9792</v>
      </c>
    </row>
    <row r="75" spans="3:7" ht="12.75">
      <c r="C75" s="21" t="s">
        <v>32</v>
      </c>
      <c r="D75" s="21" t="s">
        <v>36</v>
      </c>
      <c r="E75" s="8">
        <f>'Adjusted Data'!E64</f>
        <v>6976850.952000003</v>
      </c>
      <c r="F75" s="22">
        <v>0.048</v>
      </c>
      <c r="G75" s="25">
        <f>E75*F75</f>
        <v>334888.84569600015</v>
      </c>
    </row>
    <row r="76" spans="2:6" ht="12.75">
      <c r="B76" s="21" t="s">
        <v>44</v>
      </c>
      <c r="D76" s="21"/>
      <c r="E76" s="8"/>
      <c r="F76" s="22"/>
    </row>
    <row r="77" spans="3:7" ht="12.75">
      <c r="C77" s="21" t="s">
        <v>40</v>
      </c>
      <c r="D77" s="21" t="s">
        <v>36</v>
      </c>
      <c r="E77" s="8">
        <f>'Adjusted Data'!E66</f>
        <v>30403034.487</v>
      </c>
      <c r="F77" s="22">
        <v>0.039</v>
      </c>
      <c r="G77" s="25">
        <f>E77*F77</f>
        <v>1185718.344993</v>
      </c>
    </row>
    <row r="78" spans="3:7" ht="12.75">
      <c r="C78" s="21" t="s">
        <v>41</v>
      </c>
      <c r="D78" s="21" t="s">
        <v>36</v>
      </c>
      <c r="E78" s="8">
        <f>'Adjusted Data'!E67</f>
        <v>109588205.96899995</v>
      </c>
      <c r="F78" s="22">
        <v>0.084</v>
      </c>
      <c r="G78" s="25">
        <f>E78*F78</f>
        <v>9205409.301395997</v>
      </c>
    </row>
    <row r="79" spans="3:7" ht="12.75">
      <c r="C79" s="21" t="s">
        <v>43</v>
      </c>
      <c r="D79" s="21" t="s">
        <v>36</v>
      </c>
      <c r="E79" s="8">
        <f>'Adjusted Data'!E68</f>
        <v>198597257.447</v>
      </c>
      <c r="F79" s="22">
        <v>0.095</v>
      </c>
      <c r="G79" s="25">
        <f>E79*F79</f>
        <v>18866739.457465</v>
      </c>
    </row>
    <row r="80" spans="3:7" ht="12.75">
      <c r="C80" s="21" t="s">
        <v>32</v>
      </c>
      <c r="D80" s="21" t="s">
        <v>36</v>
      </c>
      <c r="E80" s="8">
        <f>'Adjusted Data'!E69</f>
        <v>13501212.986000007</v>
      </c>
      <c r="F80" s="22">
        <v>0.045</v>
      </c>
      <c r="G80" s="25">
        <f>E80*F80</f>
        <v>607554.5843700003</v>
      </c>
    </row>
    <row r="81" spans="2:6" ht="12.75">
      <c r="B81" s="21" t="s">
        <v>45</v>
      </c>
      <c r="D81" s="21"/>
      <c r="E81" s="8"/>
      <c r="F81" s="22"/>
    </row>
    <row r="82" spans="3:7" ht="12.75">
      <c r="C82" s="21" t="s">
        <v>41</v>
      </c>
      <c r="D82" s="21" t="s">
        <v>36</v>
      </c>
      <c r="E82" s="8">
        <f>'Adjusted Data'!E71</f>
        <v>4536320.812000001</v>
      </c>
      <c r="F82" s="22">
        <v>0.008</v>
      </c>
      <c r="G82" s="25">
        <f>E82*F82</f>
        <v>36290.56649600001</v>
      </c>
    </row>
    <row r="83" spans="3:7" ht="12.75">
      <c r="C83" s="21" t="s">
        <v>43</v>
      </c>
      <c r="D83" s="21" t="s">
        <v>36</v>
      </c>
      <c r="E83" s="8">
        <f>'Adjusted Data'!E72</f>
        <v>37026504.179000005</v>
      </c>
      <c r="F83" s="22">
        <v>0.039</v>
      </c>
      <c r="G83" s="25">
        <f>E83*F83</f>
        <v>1444033.6629810003</v>
      </c>
    </row>
    <row r="84" spans="3:7" ht="12.75">
      <c r="C84" s="21" t="s">
        <v>32</v>
      </c>
      <c r="D84" s="21" t="s">
        <v>36</v>
      </c>
      <c r="E84" s="8">
        <f>'Adjusted Data'!E73</f>
        <v>1270594.4370000002</v>
      </c>
      <c r="F84" s="22">
        <v>0.027</v>
      </c>
      <c r="G84" s="25">
        <f>E84*F84</f>
        <v>34306.049799</v>
      </c>
    </row>
    <row r="85" spans="1:6" ht="12.75">
      <c r="A85" s="23" t="s">
        <v>46</v>
      </c>
      <c r="D85" s="21"/>
      <c r="E85" s="8"/>
      <c r="F85" s="22"/>
    </row>
    <row r="86" spans="2:6" ht="12.75">
      <c r="B86" s="21" t="s">
        <v>37</v>
      </c>
      <c r="D86" s="21"/>
      <c r="E86" s="8"/>
      <c r="F86" s="22"/>
    </row>
    <row r="87" spans="3:7" ht="12.75">
      <c r="C87" s="21" t="s">
        <v>48</v>
      </c>
      <c r="D87" s="21" t="s">
        <v>47</v>
      </c>
      <c r="E87" s="8">
        <f>'Adjusted Data'!E76</f>
        <v>3874306.1890000002</v>
      </c>
      <c r="F87" s="22">
        <v>0.42</v>
      </c>
      <c r="G87" s="25">
        <f>E87*F87</f>
        <v>1627208.59938</v>
      </c>
    </row>
    <row r="88" spans="3:7" ht="12.75">
      <c r="C88" s="21" t="s">
        <v>49</v>
      </c>
      <c r="D88" s="21" t="s">
        <v>47</v>
      </c>
      <c r="E88" s="8">
        <f>'Adjusted Data'!E77</f>
        <v>86592.675</v>
      </c>
      <c r="F88" s="22">
        <v>0.42</v>
      </c>
      <c r="G88" s="25">
        <f>E88*F88</f>
        <v>36368.9235</v>
      </c>
    </row>
    <row r="89" spans="2:7" ht="12.75">
      <c r="B89" s="21" t="s">
        <v>50</v>
      </c>
      <c r="D89" s="21"/>
      <c r="E89" s="8"/>
      <c r="F89" s="22"/>
      <c r="G89" s="24"/>
    </row>
    <row r="90" spans="3:7" ht="12.75">
      <c r="C90" s="21" t="s">
        <v>48</v>
      </c>
      <c r="D90" s="21" t="s">
        <v>47</v>
      </c>
      <c r="E90" s="8">
        <f>'Adjusted Data'!E79</f>
        <v>0</v>
      </c>
      <c r="F90" s="22"/>
      <c r="G90" s="24"/>
    </row>
    <row r="91" spans="3:7" ht="12.75">
      <c r="C91" s="21" t="s">
        <v>49</v>
      </c>
      <c r="D91" s="21" t="s">
        <v>47</v>
      </c>
      <c r="E91" s="8">
        <f>'Adjusted Data'!E80</f>
        <v>0</v>
      </c>
      <c r="F91" s="22"/>
      <c r="G91" s="24"/>
    </row>
    <row r="92" spans="3:7" ht="12.75">
      <c r="C92" s="21" t="s">
        <v>51</v>
      </c>
      <c r="D92" s="21" t="s">
        <v>47</v>
      </c>
      <c r="E92" s="8">
        <f>'Adjusted Data'!E81</f>
        <v>5197003.311</v>
      </c>
      <c r="F92" s="22">
        <v>1.8</v>
      </c>
      <c r="G92" s="25">
        <f>E92*F92</f>
        <v>9354605.9598</v>
      </c>
    </row>
    <row r="93" spans="3:7" ht="12.75">
      <c r="C93" s="21" t="s">
        <v>52</v>
      </c>
      <c r="D93" s="21" t="s">
        <v>47</v>
      </c>
      <c r="E93" s="8">
        <f>'Adjusted Data'!E82</f>
        <v>1214.691</v>
      </c>
      <c r="F93" s="22">
        <v>1.1</v>
      </c>
      <c r="G93" s="25">
        <f>E93*F93</f>
        <v>1336.1601</v>
      </c>
    </row>
    <row r="94" spans="3:7" ht="12.75">
      <c r="C94" s="21" t="s">
        <v>53</v>
      </c>
      <c r="D94" s="21" t="s">
        <v>47</v>
      </c>
      <c r="E94" s="8">
        <f>'Adjusted Data'!E83</f>
        <v>111518.582</v>
      </c>
      <c r="F94" s="22">
        <v>0.6</v>
      </c>
      <c r="G94" s="25">
        <f>E94*F94</f>
        <v>66911.1492</v>
      </c>
    </row>
    <row r="95" spans="2:7" ht="12.75">
      <c r="B95" s="21" t="s">
        <v>54</v>
      </c>
      <c r="D95" s="21"/>
      <c r="E95" s="8"/>
      <c r="F95" s="22"/>
      <c r="G95" s="24"/>
    </row>
    <row r="96" spans="3:7" ht="12.75">
      <c r="C96" s="21" t="s">
        <v>48</v>
      </c>
      <c r="D96" s="21" t="s">
        <v>47</v>
      </c>
      <c r="E96" s="8">
        <f>'Adjusted Data'!E85</f>
        <v>0</v>
      </c>
      <c r="F96" s="22"/>
      <c r="G96" s="24"/>
    </row>
    <row r="97" spans="3:7" ht="12.75">
      <c r="C97" s="21" t="s">
        <v>49</v>
      </c>
      <c r="D97" s="21" t="s">
        <v>47</v>
      </c>
      <c r="E97" s="8">
        <f>'Adjusted Data'!E86</f>
        <v>0</v>
      </c>
      <c r="F97" s="22"/>
      <c r="G97" s="24"/>
    </row>
    <row r="98" spans="3:7" ht="12.75">
      <c r="C98" s="21" t="s">
        <v>51</v>
      </c>
      <c r="D98" s="21" t="s">
        <v>47</v>
      </c>
      <c r="E98" s="8">
        <f>'Adjusted Data'!E87</f>
        <v>14601562.624000002</v>
      </c>
      <c r="F98" s="22">
        <v>1.9</v>
      </c>
      <c r="G98" s="25">
        <f>E98*F98</f>
        <v>27742968.985600002</v>
      </c>
    </row>
    <row r="99" spans="3:7" ht="12.75">
      <c r="C99" s="21" t="s">
        <v>52</v>
      </c>
      <c r="D99" s="21" t="s">
        <v>47</v>
      </c>
      <c r="E99" s="8">
        <f>'Adjusted Data'!E88</f>
        <v>20118.819</v>
      </c>
      <c r="F99" s="22">
        <v>1.2</v>
      </c>
      <c r="G99" s="25">
        <f>E99*F99</f>
        <v>24142.5828</v>
      </c>
    </row>
    <row r="100" spans="3:7" ht="12.75">
      <c r="C100" s="21" t="s">
        <v>53</v>
      </c>
      <c r="D100" s="21" t="s">
        <v>47</v>
      </c>
      <c r="E100" s="8">
        <f>'Adjusted Data'!E89</f>
        <v>654612.1240000001</v>
      </c>
      <c r="F100" s="22">
        <v>1</v>
      </c>
      <c r="G100" s="25">
        <f>E100*F100</f>
        <v>654612.1240000001</v>
      </c>
    </row>
    <row r="101" spans="3:7" ht="12.75">
      <c r="C101" s="21" t="s">
        <v>55</v>
      </c>
      <c r="D101" s="21" t="s">
        <v>47</v>
      </c>
      <c r="E101" s="8">
        <f>'Adjusted Data'!E90</f>
        <v>1955238.05</v>
      </c>
      <c r="F101" s="22">
        <v>0.6</v>
      </c>
      <c r="G101" s="25">
        <f>E101*F101</f>
        <v>1173142.83</v>
      </c>
    </row>
    <row r="102" spans="2:6" ht="12.75">
      <c r="B102" s="21" t="s">
        <v>56</v>
      </c>
      <c r="D102" s="21"/>
      <c r="E102" s="8"/>
      <c r="F102" s="22"/>
    </row>
    <row r="103" spans="3:7" ht="12.75">
      <c r="C103" s="21" t="s">
        <v>48</v>
      </c>
      <c r="D103" s="21" t="s">
        <v>47</v>
      </c>
      <c r="E103" s="8">
        <f>'Adjusted Data'!E92</f>
        <v>0</v>
      </c>
      <c r="F103" s="22"/>
      <c r="G103" s="24"/>
    </row>
    <row r="104" spans="3:7" ht="12.75">
      <c r="C104" s="21" t="s">
        <v>49</v>
      </c>
      <c r="D104" s="21" t="s">
        <v>47</v>
      </c>
      <c r="E104" s="8">
        <f>'Adjusted Data'!E93</f>
        <v>0</v>
      </c>
      <c r="F104" s="22"/>
      <c r="G104" s="24"/>
    </row>
    <row r="105" spans="3:7" ht="12.75">
      <c r="C105" s="21" t="s">
        <v>51</v>
      </c>
      <c r="D105" s="21" t="s">
        <v>47</v>
      </c>
      <c r="E105" s="8">
        <f>'Adjusted Data'!E94</f>
        <v>2519395.782</v>
      </c>
      <c r="F105" s="22">
        <v>2.24</v>
      </c>
      <c r="G105" s="25">
        <f>E105*F105</f>
        <v>5643446.5516800005</v>
      </c>
    </row>
    <row r="106" spans="3:7" ht="12.75">
      <c r="C106" s="21" t="s">
        <v>52</v>
      </c>
      <c r="D106" s="21" t="s">
        <v>47</v>
      </c>
      <c r="E106" s="8">
        <f>'Adjusted Data'!E95</f>
        <v>970.578</v>
      </c>
      <c r="F106" s="22">
        <v>1.5</v>
      </c>
      <c r="G106" s="25">
        <f>E106*F106</f>
        <v>1455.867</v>
      </c>
    </row>
    <row r="107" spans="3:7" ht="12.75">
      <c r="C107" s="21" t="s">
        <v>53</v>
      </c>
      <c r="D107" s="21" t="s">
        <v>47</v>
      </c>
      <c r="E107" s="8">
        <f>'Adjusted Data'!E96</f>
        <v>265775.33400000003</v>
      </c>
      <c r="F107" s="22">
        <v>1.3</v>
      </c>
      <c r="G107" s="25">
        <f>E107*F107</f>
        <v>345507.9342000001</v>
      </c>
    </row>
    <row r="108" spans="3:7" ht="12.75">
      <c r="C108" s="21" t="s">
        <v>55</v>
      </c>
      <c r="D108" s="21" t="s">
        <v>47</v>
      </c>
      <c r="E108" s="8">
        <f>'Adjusted Data'!E97</f>
        <v>1930514.872</v>
      </c>
      <c r="F108" s="22">
        <v>0.9</v>
      </c>
      <c r="G108" s="25">
        <f>E108*F108</f>
        <v>1737463.3848</v>
      </c>
    </row>
    <row r="109" spans="3:7" ht="12.75">
      <c r="C109" s="21" t="s">
        <v>57</v>
      </c>
      <c r="D109" s="21" t="s">
        <v>47</v>
      </c>
      <c r="E109" s="8">
        <f>'Adjusted Data'!E98</f>
        <v>57997.621999999996</v>
      </c>
      <c r="F109" s="22">
        <v>0.7</v>
      </c>
      <c r="G109" s="25">
        <f>E109*F109</f>
        <v>40598.335399999996</v>
      </c>
    </row>
    <row r="110" spans="1:6" ht="12.75">
      <c r="A110" s="21" t="s">
        <v>58</v>
      </c>
      <c r="D110" s="21"/>
      <c r="E110" s="8"/>
      <c r="F110" s="22"/>
    </row>
    <row r="111" spans="2:6" ht="12.75">
      <c r="B111" s="21" t="s">
        <v>60</v>
      </c>
      <c r="D111" s="21"/>
      <c r="E111" s="8"/>
      <c r="F111" s="22"/>
    </row>
    <row r="112" spans="3:7" ht="12.75">
      <c r="C112" s="21" t="s">
        <v>48</v>
      </c>
      <c r="D112" s="21" t="s">
        <v>59</v>
      </c>
      <c r="E112" s="8">
        <f>'Adjusted Data'!E101</f>
        <v>0</v>
      </c>
      <c r="F112" s="22"/>
      <c r="G112" s="24"/>
    </row>
    <row r="113" spans="3:7" ht="12.75">
      <c r="C113" s="21" t="s">
        <v>49</v>
      </c>
      <c r="D113" s="21" t="s">
        <v>59</v>
      </c>
      <c r="E113" s="8">
        <f>'Adjusted Data'!E102</f>
        <v>0</v>
      </c>
      <c r="F113" s="22"/>
      <c r="G113" s="24"/>
    </row>
    <row r="114" spans="3:7" ht="12.75">
      <c r="C114" s="21" t="s">
        <v>51</v>
      </c>
      <c r="D114" s="21" t="s">
        <v>59</v>
      </c>
      <c r="E114" s="8">
        <f>'Adjusted Data'!E103</f>
        <v>322818.07300000003</v>
      </c>
      <c r="F114" s="22">
        <v>18.61</v>
      </c>
      <c r="G114" s="25">
        <f>E114*F114</f>
        <v>6007644.33853</v>
      </c>
    </row>
    <row r="115" spans="3:7" ht="12.75">
      <c r="C115" s="21" t="s">
        <v>52</v>
      </c>
      <c r="D115" s="21" t="s">
        <v>59</v>
      </c>
      <c r="E115" s="8">
        <f>'Adjusted Data'!E104</f>
        <v>2508.289</v>
      </c>
      <c r="F115" s="22">
        <v>13</v>
      </c>
      <c r="G115" s="25">
        <f>E115*F115</f>
        <v>32607.757</v>
      </c>
    </row>
    <row r="116" spans="3:7" ht="12.75">
      <c r="C116" s="21" t="s">
        <v>53</v>
      </c>
      <c r="D116" s="21" t="s">
        <v>59</v>
      </c>
      <c r="E116" s="8">
        <f>'Adjusted Data'!E105</f>
        <v>374102.282</v>
      </c>
      <c r="F116" s="22">
        <v>8.9</v>
      </c>
      <c r="G116" s="25">
        <f>E116*F116</f>
        <v>3329510.3098000004</v>
      </c>
    </row>
    <row r="117" spans="2:6" ht="12.75">
      <c r="B117" s="21" t="s">
        <v>61</v>
      </c>
      <c r="D117" s="21"/>
      <c r="E117" s="8"/>
      <c r="F117" s="22"/>
    </row>
    <row r="118" spans="3:7" ht="12.75">
      <c r="C118" s="21" t="s">
        <v>48</v>
      </c>
      <c r="D118" s="21" t="s">
        <v>59</v>
      </c>
      <c r="E118" s="8">
        <f>'Adjusted Data'!E107</f>
        <v>0</v>
      </c>
      <c r="F118" s="22"/>
      <c r="G118" s="24"/>
    </row>
    <row r="119" spans="3:7" ht="12.75">
      <c r="C119" s="21" t="s">
        <v>49</v>
      </c>
      <c r="D119" s="21" t="s">
        <v>59</v>
      </c>
      <c r="E119" s="8">
        <f>'Adjusted Data'!E108</f>
        <v>0</v>
      </c>
      <c r="F119" s="22"/>
      <c r="G119" s="24"/>
    </row>
    <row r="120" spans="3:7" ht="12.75">
      <c r="C120" s="21" t="s">
        <v>51</v>
      </c>
      <c r="D120" s="21" t="s">
        <v>59</v>
      </c>
      <c r="E120" s="8">
        <f>'Adjusted Data'!E109</f>
        <v>338859.907</v>
      </c>
      <c r="F120" s="22">
        <v>22.98</v>
      </c>
      <c r="G120" s="25">
        <f>E120*F120</f>
        <v>7787000.6628600005</v>
      </c>
    </row>
    <row r="121" spans="3:7" ht="12.75">
      <c r="C121" s="21" t="s">
        <v>52</v>
      </c>
      <c r="D121" s="21" t="s">
        <v>59</v>
      </c>
      <c r="E121" s="8">
        <f>'Adjusted Data'!E110</f>
        <v>3963.845</v>
      </c>
      <c r="F121" s="22">
        <v>14.4</v>
      </c>
      <c r="G121" s="25">
        <f>E121*F121</f>
        <v>57079.367999999995</v>
      </c>
    </row>
    <row r="122" spans="3:7" ht="12.75">
      <c r="C122" s="21" t="s">
        <v>53</v>
      </c>
      <c r="D122" s="21" t="s">
        <v>59</v>
      </c>
      <c r="E122" s="8">
        <f>'Adjusted Data'!E111</f>
        <v>249341.602</v>
      </c>
      <c r="F122" s="22">
        <v>12.2</v>
      </c>
      <c r="G122" s="25">
        <f>E122*F122</f>
        <v>3041967.5444</v>
      </c>
    </row>
    <row r="123" spans="3:7" ht="12.75">
      <c r="C123" s="21" t="s">
        <v>55</v>
      </c>
      <c r="D123" s="21" t="s">
        <v>59</v>
      </c>
      <c r="E123" s="8">
        <f>'Adjusted Data'!E112</f>
        <v>1277993.7389999998</v>
      </c>
      <c r="F123" s="22">
        <v>6.7</v>
      </c>
      <c r="G123" s="25">
        <f>E123*F123</f>
        <v>8562558.051299999</v>
      </c>
    </row>
    <row r="124" spans="2:6" ht="12.75">
      <c r="B124" s="21" t="s">
        <v>62</v>
      </c>
      <c r="D124" s="21"/>
      <c r="E124" s="8"/>
      <c r="F124" s="22"/>
    </row>
    <row r="125" spans="3:7" ht="12.75">
      <c r="C125" s="21" t="s">
        <v>48</v>
      </c>
      <c r="D125" s="21" t="s">
        <v>59</v>
      </c>
      <c r="E125" s="8">
        <f>'Adjusted Data'!E114</f>
        <v>0</v>
      </c>
      <c r="F125" s="22"/>
      <c r="G125" s="24"/>
    </row>
    <row r="126" spans="3:7" ht="12.75">
      <c r="C126" s="21" t="s">
        <v>49</v>
      </c>
      <c r="D126" s="21" t="s">
        <v>59</v>
      </c>
      <c r="E126" s="8">
        <f>'Adjusted Data'!E115</f>
        <v>0</v>
      </c>
      <c r="F126" s="22"/>
      <c r="G126" s="24"/>
    </row>
    <row r="127" spans="3:7" ht="12.75">
      <c r="C127" s="21" t="s">
        <v>51</v>
      </c>
      <c r="D127" s="21" t="s">
        <v>59</v>
      </c>
      <c r="E127" s="8">
        <f>'Adjusted Data'!E116</f>
        <v>28855.953</v>
      </c>
      <c r="F127" s="22">
        <v>26.95</v>
      </c>
      <c r="G127" s="25">
        <f>E127*F127</f>
        <v>777667.9333500001</v>
      </c>
    </row>
    <row r="128" spans="3:7" ht="12.75">
      <c r="C128" s="21" t="s">
        <v>52</v>
      </c>
      <c r="D128" s="21" t="s">
        <v>59</v>
      </c>
      <c r="E128" s="8">
        <f>'Adjusted Data'!E117</f>
        <v>269.528</v>
      </c>
      <c r="F128" s="22">
        <v>17.5</v>
      </c>
      <c r="G128" s="25">
        <f>E128*F128</f>
        <v>4716.740000000001</v>
      </c>
    </row>
    <row r="129" spans="3:7" ht="12.75">
      <c r="C129" s="21" t="s">
        <v>53</v>
      </c>
      <c r="D129" s="21" t="s">
        <v>59</v>
      </c>
      <c r="E129" s="8">
        <f>'Adjusted Data'!E118</f>
        <v>28986.832</v>
      </c>
      <c r="F129" s="22">
        <v>15.5</v>
      </c>
      <c r="G129" s="25">
        <f>E129*F129</f>
        <v>449295.89599999995</v>
      </c>
    </row>
    <row r="130" spans="3:7" ht="12.75">
      <c r="C130" s="21" t="s">
        <v>55</v>
      </c>
      <c r="D130" s="21" t="s">
        <v>59</v>
      </c>
      <c r="E130" s="8">
        <f>'Adjusted Data'!E119</f>
        <v>505388.58</v>
      </c>
      <c r="F130" s="22">
        <v>8</v>
      </c>
      <c r="G130" s="25">
        <f>E130*F130</f>
        <v>4043108.64</v>
      </c>
    </row>
    <row r="131" spans="3:7" ht="12.75">
      <c r="C131" s="21" t="s">
        <v>57</v>
      </c>
      <c r="D131" s="21" t="s">
        <v>59</v>
      </c>
      <c r="E131" s="8">
        <f>'Adjusted Data'!E120</f>
        <v>32613.533</v>
      </c>
      <c r="F131" s="22">
        <v>1.2</v>
      </c>
      <c r="G131" s="25">
        <f>E131*F131</f>
        <v>39136.2396</v>
      </c>
    </row>
    <row r="132" spans="3:9" ht="12.75">
      <c r="C132" s="21" t="s">
        <v>129</v>
      </c>
      <c r="E132" s="8">
        <f>SUM(E6:E15,E17:E20,E23:E26,E28:E31)</f>
        <v>3101633219.999999</v>
      </c>
      <c r="F132" s="22"/>
      <c r="G132" s="25">
        <f>SUM(G6:G15,G17:G20,G23:G26,G28:G31)</f>
        <v>646564655.4973792</v>
      </c>
      <c r="H132" s="56"/>
      <c r="I132" s="54"/>
    </row>
    <row r="133" spans="3:9" ht="12.75">
      <c r="C133" s="21" t="s">
        <v>130</v>
      </c>
      <c r="E133" s="8">
        <f>SUM(E34:E38,E40:E44,E46:E50,E52:E56,E58:E61)</f>
        <v>6220156812</v>
      </c>
      <c r="F133" s="22"/>
      <c r="G133" s="25">
        <f>SUM(G34:G38,G40:G44,G46:G50,G52:G56,G58:G62)</f>
        <v>1148404279.7004554</v>
      </c>
      <c r="H133" s="56"/>
      <c r="I133" s="54"/>
    </row>
    <row r="134" spans="3:9" ht="12.75">
      <c r="C134" s="21" t="s">
        <v>131</v>
      </c>
      <c r="E134" s="8">
        <f>SUM(E65:E69,E71:E75,E77:E80,E82:E84)</f>
        <v>492520243.5889999</v>
      </c>
      <c r="F134" s="22"/>
      <c r="G134" s="25">
        <f>SUM(G65:G69,G71:G75,G77:G80,G82:G84)</f>
        <v>39960111.785717</v>
      </c>
      <c r="H134" s="56"/>
      <c r="I134" s="54"/>
    </row>
    <row r="135" spans="3:9" ht="12.75">
      <c r="C135" s="21" t="s">
        <v>132</v>
      </c>
      <c r="E135" s="8">
        <f>SUM(E87:E88,E90:E94,E96:E101,E103:E109)</f>
        <v>31276821.25300001</v>
      </c>
      <c r="F135" s="22"/>
      <c r="G135" s="25">
        <f>SUM(G87:G88,G90:G94,G96:G101,G103:G109)</f>
        <v>48449769.38746</v>
      </c>
      <c r="H135" s="56"/>
      <c r="I135" s="54"/>
    </row>
    <row r="136" spans="3:9" ht="12.75">
      <c r="C136" s="21" t="s">
        <v>133</v>
      </c>
      <c r="E136" s="8">
        <f>SUM(E112:E116,E118:E123,E125:E131)</f>
        <v>3165702.1629999997</v>
      </c>
      <c r="F136" s="22"/>
      <c r="G136" s="25">
        <f>SUM(G112:G116,G118:G123,G125:G131)</f>
        <v>34132293.48084</v>
      </c>
      <c r="H136" s="56"/>
      <c r="I136" s="54"/>
    </row>
    <row r="137" spans="3:9" ht="12.75">
      <c r="C137" s="21" t="s">
        <v>63</v>
      </c>
      <c r="E137" s="8"/>
      <c r="F137" s="22"/>
      <c r="G137" s="26">
        <f>SUM(G132:G136)</f>
        <v>1917511109.8518515</v>
      </c>
      <c r="H137" s="49"/>
      <c r="I137" s="54"/>
    </row>
    <row r="138" spans="3:9" ht="12.75">
      <c r="C138" s="21" t="s">
        <v>64</v>
      </c>
      <c r="E138" s="8">
        <v>100977262.50128876</v>
      </c>
      <c r="F138" s="22">
        <v>0.155</v>
      </c>
      <c r="G138" s="25">
        <f>E138*F138</f>
        <v>15651475.687699758</v>
      </c>
      <c r="H138" s="54"/>
      <c r="I138" s="54"/>
    </row>
    <row r="139" spans="3:9" ht="12.75">
      <c r="C139" s="21" t="s">
        <v>65</v>
      </c>
      <c r="E139" s="8">
        <v>2423251</v>
      </c>
      <c r="F139" s="22">
        <v>0.015</v>
      </c>
      <c r="G139" s="25">
        <f>E139*F139</f>
        <v>36348.765</v>
      </c>
      <c r="H139" s="54"/>
      <c r="I139" s="54"/>
    </row>
    <row r="140" spans="3:9" ht="12.75">
      <c r="C140" s="21" t="s">
        <v>66</v>
      </c>
      <c r="E140" s="8"/>
      <c r="F140" s="22"/>
      <c r="G140" s="26">
        <f>G137+G138+G139</f>
        <v>1933198934.3045514</v>
      </c>
      <c r="H140" s="49"/>
      <c r="I140" s="54"/>
    </row>
    <row r="141" spans="5:6" ht="12.75">
      <c r="E141" s="8"/>
      <c r="F141" s="22"/>
    </row>
    <row r="142" spans="5:6" ht="12.75">
      <c r="E142" s="8"/>
      <c r="F142" s="22"/>
    </row>
    <row r="143" spans="5:6" ht="12.75">
      <c r="E143" s="8"/>
      <c r="F143" s="22"/>
    </row>
    <row r="144" spans="4:6" ht="12.75">
      <c r="D144" s="25"/>
      <c r="E144" s="8"/>
      <c r="F144" s="22"/>
    </row>
    <row r="145" spans="4:6" ht="12.75">
      <c r="D145" s="25"/>
      <c r="E145" s="8"/>
      <c r="F145" s="22"/>
    </row>
    <row r="146" spans="4:6" ht="12.75">
      <c r="D146" s="25"/>
      <c r="E146" s="8"/>
      <c r="F146" s="31"/>
    </row>
    <row r="147" spans="4:6" ht="12.75">
      <c r="D147" s="25"/>
      <c r="E147" s="8"/>
      <c r="F147" s="22"/>
    </row>
    <row r="148" spans="5:6" ht="12.75">
      <c r="E148" s="8"/>
      <c r="F148" s="22"/>
    </row>
    <row r="149" spans="5:6" ht="12.75">
      <c r="E149" s="8"/>
      <c r="F149" s="22"/>
    </row>
    <row r="150" spans="5:6" ht="12.75">
      <c r="E150" s="8"/>
      <c r="F150" s="22"/>
    </row>
    <row r="151" spans="5:6" ht="12.75">
      <c r="E151" s="8"/>
      <c r="F151" s="22"/>
    </row>
    <row r="152" spans="5:6" ht="12.75">
      <c r="E152" s="8"/>
      <c r="F152" s="22"/>
    </row>
    <row r="153" spans="5:6" ht="12.75">
      <c r="E153" s="8"/>
      <c r="F153" s="22"/>
    </row>
    <row r="154" spans="5:6" ht="12.75">
      <c r="E154" s="8"/>
      <c r="F154" s="22"/>
    </row>
    <row r="155" spans="5:6" ht="12.75">
      <c r="E155" s="8"/>
      <c r="F155" s="22"/>
    </row>
    <row r="156" spans="5:6" ht="12.75">
      <c r="E156" s="8"/>
      <c r="F156" s="22"/>
    </row>
    <row r="157" spans="5:6" ht="12.75">
      <c r="E157" s="8"/>
      <c r="F157" s="22"/>
    </row>
    <row r="158" spans="5:6" ht="12.75">
      <c r="E158" s="8"/>
      <c r="F158" s="22"/>
    </row>
    <row r="159" spans="5:6" ht="12.75">
      <c r="E159" s="8"/>
      <c r="F159" s="22"/>
    </row>
    <row r="160" spans="5:6" ht="12.75">
      <c r="E160" s="8"/>
      <c r="F160" s="22"/>
    </row>
    <row r="161" spans="5:6" ht="12.75">
      <c r="E161" s="8"/>
      <c r="F161" s="22"/>
    </row>
    <row r="162" spans="5:6" ht="12.75">
      <c r="E162" s="8"/>
      <c r="F162" s="22"/>
    </row>
    <row r="163" spans="5:6" ht="12.75">
      <c r="E163" s="8"/>
      <c r="F163" s="22"/>
    </row>
    <row r="164" spans="5:6" ht="12.75">
      <c r="E164" s="8"/>
      <c r="F164" s="22"/>
    </row>
    <row r="165" spans="5:6" ht="12.75">
      <c r="E165" s="8"/>
      <c r="F165" s="22"/>
    </row>
    <row r="166" spans="5:6" ht="12.75">
      <c r="E166" s="8"/>
      <c r="F166" s="22"/>
    </row>
    <row r="167" spans="5:6" ht="12.75">
      <c r="E167" s="8"/>
      <c r="F167" s="22"/>
    </row>
    <row r="168" spans="5:6" ht="12.75">
      <c r="E168" s="8"/>
      <c r="F168" s="22"/>
    </row>
    <row r="169" spans="5:6" ht="12.75">
      <c r="E169" s="8"/>
      <c r="F169" s="22"/>
    </row>
    <row r="170" spans="5:6" ht="12.75">
      <c r="E170" s="8"/>
      <c r="F170" s="22"/>
    </row>
    <row r="171" spans="5:6" ht="12.75">
      <c r="E171" s="8"/>
      <c r="F171" s="22"/>
    </row>
    <row r="172" spans="5:6" ht="12.75">
      <c r="E172" s="8"/>
      <c r="F172" s="22"/>
    </row>
    <row r="173" spans="5:6" ht="12.75">
      <c r="E173" s="8"/>
      <c r="F173" s="22"/>
    </row>
    <row r="174" spans="5:6" ht="12.75">
      <c r="E174" s="8"/>
      <c r="F174" s="22"/>
    </row>
    <row r="175" spans="5:6" ht="12.75">
      <c r="E175" s="8"/>
      <c r="F175" s="22"/>
    </row>
    <row r="176" spans="5:6" ht="12.75">
      <c r="E176" s="8"/>
      <c r="F176" s="22"/>
    </row>
    <row r="177" spans="5:6" ht="12.75">
      <c r="E177" s="8"/>
      <c r="F177" s="22"/>
    </row>
    <row r="178" spans="5:6" ht="12.75">
      <c r="E178" s="8"/>
      <c r="F178" s="22"/>
    </row>
    <row r="179" spans="5:6" ht="12.75">
      <c r="E179" s="8"/>
      <c r="F179" s="22"/>
    </row>
    <row r="180" spans="5:6" ht="12.75">
      <c r="E180" s="8"/>
      <c r="F180" s="22"/>
    </row>
    <row r="181" spans="5:6" ht="12.75">
      <c r="E181" s="8"/>
      <c r="F181" s="22"/>
    </row>
    <row r="182" ht="12.75">
      <c r="F182" s="22"/>
    </row>
    <row r="183" ht="12.75">
      <c r="F183" s="22"/>
    </row>
    <row r="184" ht="12.75">
      <c r="F184" s="22"/>
    </row>
    <row r="185" ht="12.75">
      <c r="F185" s="22"/>
    </row>
    <row r="186" ht="12.75">
      <c r="F186" s="22"/>
    </row>
    <row r="187" ht="12.75">
      <c r="F187" s="22"/>
    </row>
    <row r="188" ht="12.75">
      <c r="F188" s="22"/>
    </row>
    <row r="189" ht="12.75">
      <c r="F189" s="22"/>
    </row>
    <row r="190" ht="12.75">
      <c r="F190" s="22"/>
    </row>
    <row r="191" ht="12.75">
      <c r="F191" s="22"/>
    </row>
    <row r="192" ht="12.75">
      <c r="F192" s="22"/>
    </row>
    <row r="193" ht="12.75">
      <c r="F193" s="22"/>
    </row>
    <row r="194" ht="12.75">
      <c r="F194" s="22"/>
    </row>
    <row r="195" ht="12.75">
      <c r="F195" s="22"/>
    </row>
    <row r="196" ht="12.75">
      <c r="F196" s="22"/>
    </row>
    <row r="197" ht="12.75">
      <c r="F197" s="22"/>
    </row>
    <row r="198" ht="12.75">
      <c r="F198" s="22"/>
    </row>
    <row r="199" ht="12.75">
      <c r="F199" s="22"/>
    </row>
    <row r="200" ht="12.75">
      <c r="F200" s="22"/>
    </row>
    <row r="201" ht="12.75">
      <c r="F201" s="22"/>
    </row>
    <row r="202" ht="12.75">
      <c r="F202" s="22"/>
    </row>
    <row r="203" ht="12.75">
      <c r="F203" s="22"/>
    </row>
    <row r="204" ht="12.75">
      <c r="F204" s="22"/>
    </row>
    <row r="205" ht="12.75">
      <c r="F205" s="22"/>
    </row>
    <row r="206" ht="12.75">
      <c r="F206" s="22"/>
    </row>
    <row r="207" ht="12.75">
      <c r="F207" s="22"/>
    </row>
    <row r="208" ht="12.75">
      <c r="F208" s="22"/>
    </row>
    <row r="209" ht="12.75">
      <c r="F209" s="22"/>
    </row>
    <row r="210" ht="12.75">
      <c r="F210" s="22"/>
    </row>
    <row r="211" ht="12.75">
      <c r="F211" s="22"/>
    </row>
    <row r="212" ht="12.75">
      <c r="F212" s="22"/>
    </row>
    <row r="213" ht="12.75">
      <c r="F213" s="22"/>
    </row>
    <row r="214" ht="12.75">
      <c r="F214" s="22"/>
    </row>
    <row r="215" ht="12.75">
      <c r="F215" s="22"/>
    </row>
    <row r="216" ht="12.75">
      <c r="F216" s="22"/>
    </row>
    <row r="217" ht="12.75">
      <c r="F217" s="22"/>
    </row>
    <row r="218" ht="12.75">
      <c r="F218" s="22"/>
    </row>
    <row r="219" ht="12.75">
      <c r="F219" s="22"/>
    </row>
    <row r="220" ht="12.75">
      <c r="F220" s="22"/>
    </row>
    <row r="221" ht="12.75">
      <c r="F221" s="22"/>
    </row>
    <row r="222" ht="12.75">
      <c r="F222" s="22"/>
    </row>
    <row r="223" ht="12.75">
      <c r="F223" s="22"/>
    </row>
    <row r="224" ht="12.75">
      <c r="F224" s="22"/>
    </row>
    <row r="225" ht="12.75">
      <c r="F225" s="22"/>
    </row>
    <row r="226" ht="12.75">
      <c r="F226" s="22"/>
    </row>
    <row r="227" ht="12.75">
      <c r="F227" s="22"/>
    </row>
    <row r="228" ht="12.75">
      <c r="F228" s="22"/>
    </row>
    <row r="229" ht="12.75">
      <c r="F229" s="22"/>
    </row>
    <row r="230" ht="12.75">
      <c r="F230" s="22"/>
    </row>
    <row r="231" ht="12.75">
      <c r="F231" s="22"/>
    </row>
    <row r="232" ht="12.75">
      <c r="F232" s="22"/>
    </row>
    <row r="233" ht="12.75">
      <c r="F233" s="22"/>
    </row>
    <row r="234" ht="12.75">
      <c r="F234" s="22"/>
    </row>
    <row r="235" ht="12.75">
      <c r="F235" s="22"/>
    </row>
    <row r="236" ht="12.75">
      <c r="F236" s="22"/>
    </row>
    <row r="237" ht="12.75">
      <c r="F237" s="22"/>
    </row>
    <row r="238" ht="12.75">
      <c r="F238" s="22"/>
    </row>
    <row r="239" ht="12.75">
      <c r="F239" s="22"/>
    </row>
    <row r="240" ht="12.75">
      <c r="F240" s="22"/>
    </row>
    <row r="241" ht="12.75">
      <c r="F241" s="22"/>
    </row>
    <row r="242" ht="12.75">
      <c r="F242" s="22"/>
    </row>
    <row r="243" ht="12.75">
      <c r="F243" s="22"/>
    </row>
    <row r="244" ht="12.75">
      <c r="F244" s="22"/>
    </row>
    <row r="245" ht="12.75">
      <c r="F245" s="22"/>
    </row>
    <row r="246" ht="12.75">
      <c r="F246" s="22"/>
    </row>
    <row r="247" ht="12.75">
      <c r="F247" s="22"/>
    </row>
    <row r="248" ht="12.75">
      <c r="F248" s="22"/>
    </row>
    <row r="249" ht="12.75">
      <c r="F249" s="22"/>
    </row>
    <row r="250" ht="12.75">
      <c r="F250" s="22"/>
    </row>
    <row r="251" ht="12.75">
      <c r="F251" s="22"/>
    </row>
    <row r="252" ht="12.75">
      <c r="F252" s="22"/>
    </row>
    <row r="253" ht="12.75">
      <c r="F253" s="22"/>
    </row>
    <row r="254" ht="12.75">
      <c r="F254" s="22"/>
    </row>
    <row r="255" ht="12.75">
      <c r="F255" s="22"/>
    </row>
    <row r="256" ht="12.75">
      <c r="F256" s="22"/>
    </row>
    <row r="257" ht="12.75">
      <c r="F257" s="22"/>
    </row>
    <row r="258" ht="12.75">
      <c r="F258" s="22"/>
    </row>
    <row r="259" ht="12.75">
      <c r="F259" s="22"/>
    </row>
    <row r="260" ht="12.75">
      <c r="F260" s="22"/>
    </row>
    <row r="261" ht="12.75">
      <c r="F261" s="22"/>
    </row>
    <row r="262" ht="12.75">
      <c r="F262" s="22"/>
    </row>
    <row r="263" ht="12.75">
      <c r="F263" s="22"/>
    </row>
    <row r="264" ht="12.75">
      <c r="F264" s="22"/>
    </row>
    <row r="265" ht="12.75">
      <c r="F265" s="22"/>
    </row>
    <row r="266" ht="12.75">
      <c r="F266" s="22"/>
    </row>
    <row r="267" ht="12.75">
      <c r="F267" s="22"/>
    </row>
    <row r="268" ht="12.75">
      <c r="F268" s="22"/>
    </row>
    <row r="269" ht="12.75">
      <c r="F269" s="22"/>
    </row>
    <row r="270" ht="12.75">
      <c r="F270" s="22"/>
    </row>
    <row r="271" ht="12.75">
      <c r="F271" s="22"/>
    </row>
    <row r="272" ht="12.75">
      <c r="F272" s="22"/>
    </row>
    <row r="273" ht="12.75">
      <c r="F273" s="22"/>
    </row>
    <row r="274" ht="12.75">
      <c r="F274" s="22"/>
    </row>
    <row r="275" ht="12.75">
      <c r="F275" s="22"/>
    </row>
    <row r="276" ht="12.75">
      <c r="F276" s="22"/>
    </row>
    <row r="277" ht="12.75">
      <c r="F277" s="22"/>
    </row>
    <row r="278" ht="12.75">
      <c r="F278" s="22"/>
    </row>
    <row r="279" ht="12.75">
      <c r="F279" s="22"/>
    </row>
    <row r="280" ht="12.75">
      <c r="F280" s="22"/>
    </row>
    <row r="281" ht="12.75">
      <c r="F281" s="22"/>
    </row>
    <row r="282" ht="12.75">
      <c r="F282" s="22"/>
    </row>
    <row r="283" ht="12.75">
      <c r="F283" s="22"/>
    </row>
    <row r="284" ht="12.75">
      <c r="F284" s="22"/>
    </row>
    <row r="285" ht="12.75">
      <c r="F285" s="22"/>
    </row>
    <row r="286" ht="12.75">
      <c r="F286" s="22"/>
    </row>
    <row r="287" ht="12.75">
      <c r="F287" s="22"/>
    </row>
  </sheetData>
  <printOptions/>
  <pageMargins left="0.75" right="0.5" top="0.6" bottom="0.5" header="0.5" footer="0.5"/>
  <pageSetup horizontalDpi="600" verticalDpi="600" orientation="landscape" r:id="rId1"/>
  <rowBreaks count="2" manualBreakCount="2">
    <brk id="84" max="8" man="1"/>
    <brk id="123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276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3.421875" style="0" customWidth="1"/>
    <col min="4" max="4" width="9.7109375" style="0" bestFit="1" customWidth="1"/>
    <col min="5" max="5" width="14.57421875" style="0" customWidth="1"/>
    <col min="7" max="7" width="14.7109375" style="0" customWidth="1"/>
    <col min="8" max="8" width="11.57421875" style="0" customWidth="1"/>
    <col min="9" max="9" width="14.8515625" style="0" customWidth="1"/>
    <col min="10" max="10" width="10.57421875" style="0" customWidth="1"/>
  </cols>
  <sheetData>
    <row r="1" ht="12.75">
      <c r="A1" s="40" t="s">
        <v>68</v>
      </c>
    </row>
    <row r="3" spans="1:9" ht="25.5">
      <c r="A3" s="23" t="s">
        <v>0</v>
      </c>
      <c r="B3" s="21"/>
      <c r="C3" s="40"/>
      <c r="D3" s="23" t="s">
        <v>1</v>
      </c>
      <c r="E3" s="39" t="s">
        <v>197</v>
      </c>
      <c r="F3" s="39" t="s">
        <v>206</v>
      </c>
      <c r="G3" s="39" t="s">
        <v>208</v>
      </c>
      <c r="H3" s="39" t="s">
        <v>207</v>
      </c>
      <c r="I3" s="39" t="s">
        <v>209</v>
      </c>
    </row>
    <row r="4" spans="1:4" ht="12.75">
      <c r="A4" s="21" t="s">
        <v>2</v>
      </c>
      <c r="B4" s="21"/>
      <c r="D4" s="21"/>
    </row>
    <row r="5" spans="2:4" ht="12.75">
      <c r="B5" s="21" t="s">
        <v>3</v>
      </c>
      <c r="D5" s="21"/>
    </row>
    <row r="6" spans="3:10" ht="12.75">
      <c r="C6" s="21" t="s">
        <v>5</v>
      </c>
      <c r="D6" s="21" t="s">
        <v>4</v>
      </c>
      <c r="E6" s="13">
        <v>324745.1560158001</v>
      </c>
      <c r="F6" s="27">
        <v>0.16</v>
      </c>
      <c r="G6" s="28">
        <f aca="true" t="shared" si="0" ref="G6:G15">E6*F6</f>
        <v>51959.22496252802</v>
      </c>
      <c r="H6" s="22">
        <f>'Outside County'!H6</f>
        <v>0.165</v>
      </c>
      <c r="I6" s="28">
        <f>H6*E6</f>
        <v>53582.95074260701</v>
      </c>
      <c r="J6" s="13"/>
    </row>
    <row r="7" spans="3:10" ht="12.75">
      <c r="C7" s="21" t="s">
        <v>6</v>
      </c>
      <c r="D7" s="21" t="s">
        <v>4</v>
      </c>
      <c r="E7" s="13">
        <v>84880120.70490609</v>
      </c>
      <c r="F7" s="27">
        <v>0.209</v>
      </c>
      <c r="G7" s="28">
        <f t="shared" si="0"/>
        <v>17739945.227325372</v>
      </c>
      <c r="H7" s="22">
        <f>'Outside County'!H7</f>
        <v>0.215</v>
      </c>
      <c r="I7" s="28">
        <f aca="true" t="shared" si="1" ref="I7:I20">H7*E7</f>
        <v>18249225.95155481</v>
      </c>
      <c r="J7" s="13"/>
    </row>
    <row r="8" spans="3:10" ht="12.75">
      <c r="C8" s="21" t="s">
        <v>7</v>
      </c>
      <c r="D8" s="21" t="s">
        <v>4</v>
      </c>
      <c r="E8" s="13">
        <v>15431605.691657905</v>
      </c>
      <c r="F8" s="27">
        <v>0.219</v>
      </c>
      <c r="G8" s="28">
        <f t="shared" si="0"/>
        <v>3379521.6464730813</v>
      </c>
      <c r="H8" s="22">
        <f>'Outside County'!H8</f>
        <v>0.225</v>
      </c>
      <c r="I8" s="28">
        <f t="shared" si="1"/>
        <v>3472111.2806230285</v>
      </c>
      <c r="J8" s="13"/>
    </row>
    <row r="9" spans="3:10" ht="12.75">
      <c r="C9" s="21" t="s">
        <v>8</v>
      </c>
      <c r="D9" s="21" t="s">
        <v>4</v>
      </c>
      <c r="E9" s="13">
        <v>8921171.659036985</v>
      </c>
      <c r="F9" s="27">
        <v>0.239</v>
      </c>
      <c r="G9" s="28">
        <f t="shared" si="0"/>
        <v>2132160.026509839</v>
      </c>
      <c r="H9" s="22">
        <f>'Outside County'!H9</f>
        <v>0.246</v>
      </c>
      <c r="I9" s="28">
        <f t="shared" si="1"/>
        <v>2194608.228123098</v>
      </c>
      <c r="J9" s="13"/>
    </row>
    <row r="10" spans="3:10" ht="12.75">
      <c r="C10" s="21" t="s">
        <v>9</v>
      </c>
      <c r="D10" s="21" t="s">
        <v>4</v>
      </c>
      <c r="E10" s="13">
        <v>4488942.9110380225</v>
      </c>
      <c r="F10" s="27">
        <v>0.257</v>
      </c>
      <c r="G10" s="28">
        <f t="shared" si="0"/>
        <v>1153658.328136772</v>
      </c>
      <c r="H10" s="22">
        <f>'Outside County'!H10</f>
        <v>0.265</v>
      </c>
      <c r="I10" s="28">
        <f t="shared" si="1"/>
        <v>1189569.871425076</v>
      </c>
      <c r="J10" s="13"/>
    </row>
    <row r="11" spans="3:10" ht="12.75">
      <c r="C11" s="21" t="s">
        <v>10</v>
      </c>
      <c r="D11" s="21" t="s">
        <v>4</v>
      </c>
      <c r="E11" s="13">
        <v>5601864.110310309</v>
      </c>
      <c r="F11" s="27">
        <v>0.303</v>
      </c>
      <c r="G11" s="28">
        <f t="shared" si="0"/>
        <v>1697364.8254240234</v>
      </c>
      <c r="H11" s="22">
        <f>'Outside County'!H11</f>
        <v>0.312</v>
      </c>
      <c r="I11" s="28">
        <f t="shared" si="1"/>
        <v>1747781.6024168164</v>
      </c>
      <c r="J11" s="13"/>
    </row>
    <row r="12" spans="3:10" ht="12.75">
      <c r="C12" s="21" t="s">
        <v>11</v>
      </c>
      <c r="D12" s="21" t="s">
        <v>4</v>
      </c>
      <c r="E12" s="13">
        <v>5711868.926585312</v>
      </c>
      <c r="F12" s="27">
        <v>0.372</v>
      </c>
      <c r="G12" s="28">
        <f t="shared" si="0"/>
        <v>2124815.240689736</v>
      </c>
      <c r="H12" s="22">
        <f>'Outside County'!H12</f>
        <v>0.383</v>
      </c>
      <c r="I12" s="28">
        <f t="shared" si="1"/>
        <v>2187645.7988821743</v>
      </c>
      <c r="J12" s="13"/>
    </row>
    <row r="13" spans="3:10" ht="12.75">
      <c r="C13" s="21" t="s">
        <v>12</v>
      </c>
      <c r="D13" s="21" t="s">
        <v>4</v>
      </c>
      <c r="E13" s="13">
        <v>2474796.525368054</v>
      </c>
      <c r="F13" s="27">
        <v>0.446</v>
      </c>
      <c r="G13" s="28">
        <f t="shared" si="0"/>
        <v>1103759.250314152</v>
      </c>
      <c r="H13" s="22">
        <f>'Outside County'!H13</f>
        <v>0.459</v>
      </c>
      <c r="I13" s="28">
        <f t="shared" si="1"/>
        <v>1135931.6051439368</v>
      </c>
      <c r="J13" s="13"/>
    </row>
    <row r="14" spans="3:10" ht="12.75">
      <c r="C14" s="21" t="s">
        <v>13</v>
      </c>
      <c r="D14" s="21" t="s">
        <v>4</v>
      </c>
      <c r="E14" s="13">
        <v>1707683.108360128</v>
      </c>
      <c r="F14" s="27">
        <v>0.534</v>
      </c>
      <c r="G14" s="28">
        <f t="shared" si="0"/>
        <v>911902.7798643084</v>
      </c>
      <c r="H14" s="22">
        <f>'Outside County'!H14</f>
        <v>0.55</v>
      </c>
      <c r="I14" s="28">
        <f t="shared" si="1"/>
        <v>939225.7095980705</v>
      </c>
      <c r="J14" s="13"/>
    </row>
    <row r="15" spans="3:10" ht="12.75">
      <c r="C15" s="21" t="s">
        <v>14</v>
      </c>
      <c r="D15" s="21" t="s">
        <v>4</v>
      </c>
      <c r="E15" s="13">
        <v>3352776.7228549547</v>
      </c>
      <c r="F15" s="27">
        <v>0.61</v>
      </c>
      <c r="G15" s="28">
        <f t="shared" si="0"/>
        <v>2045193.8009415222</v>
      </c>
      <c r="H15" s="22">
        <f>'Outside County'!H15</f>
        <v>0.628</v>
      </c>
      <c r="I15" s="28">
        <f t="shared" si="1"/>
        <v>2105543.7819529115</v>
      </c>
      <c r="J15" s="13"/>
    </row>
    <row r="16" spans="2:9" ht="12.75">
      <c r="B16" s="21" t="s">
        <v>15</v>
      </c>
      <c r="D16" s="21"/>
      <c r="F16" s="27"/>
      <c r="H16" s="22"/>
      <c r="I16" s="28"/>
    </row>
    <row r="17" spans="3:9" ht="12.75">
      <c r="C17" s="21" t="s">
        <v>5</v>
      </c>
      <c r="D17" s="21" t="s">
        <v>4</v>
      </c>
      <c r="E17" s="13">
        <v>2734681.287231704</v>
      </c>
      <c r="F17" s="27">
        <v>0.133</v>
      </c>
      <c r="G17" s="28">
        <f>E17*F17</f>
        <v>363712.6112018167</v>
      </c>
      <c r="H17" s="22">
        <f>'Outside County'!H17</f>
        <v>0.137</v>
      </c>
      <c r="I17" s="28">
        <f t="shared" si="1"/>
        <v>374651.3363507435</v>
      </c>
    </row>
    <row r="18" spans="3:10" ht="12.75">
      <c r="C18" s="21" t="s">
        <v>6</v>
      </c>
      <c r="D18" s="21" t="s">
        <v>4</v>
      </c>
      <c r="E18" s="13">
        <v>209131017.21669436</v>
      </c>
      <c r="F18" s="27">
        <v>0.174</v>
      </c>
      <c r="G18" s="28">
        <f>E18*F18</f>
        <v>36388796.995704815</v>
      </c>
      <c r="H18" s="22">
        <f>'Outside County'!H18</f>
        <v>0.179</v>
      </c>
      <c r="I18" s="28">
        <f t="shared" si="1"/>
        <v>37434452.08178829</v>
      </c>
      <c r="J18" s="13"/>
    </row>
    <row r="19" spans="3:10" ht="12.75">
      <c r="C19" s="21" t="s">
        <v>7</v>
      </c>
      <c r="D19" s="21" t="s">
        <v>4</v>
      </c>
      <c r="E19" s="13">
        <v>41174795.944085434</v>
      </c>
      <c r="F19" s="27">
        <v>0.182</v>
      </c>
      <c r="G19" s="28">
        <f>E19*F19</f>
        <v>7493812.861823549</v>
      </c>
      <c r="H19" s="22">
        <f>'Outside County'!H19</f>
        <v>0.187</v>
      </c>
      <c r="I19" s="28">
        <f t="shared" si="1"/>
        <v>7699686.841543976</v>
      </c>
      <c r="J19" s="13"/>
    </row>
    <row r="20" spans="3:10" ht="12.75">
      <c r="C20" s="21" t="s">
        <v>16</v>
      </c>
      <c r="D20" s="21" t="s">
        <v>4</v>
      </c>
      <c r="E20" s="13">
        <v>121447463.03585492</v>
      </c>
      <c r="F20" s="27">
        <v>0.199</v>
      </c>
      <c r="G20" s="28">
        <f>E20*F20</f>
        <v>24168045.14413513</v>
      </c>
      <c r="H20" s="22">
        <f>'Outside County'!H20</f>
        <v>0.205</v>
      </c>
      <c r="I20" s="28">
        <f t="shared" si="1"/>
        <v>24896729.922350258</v>
      </c>
      <c r="J20" s="13"/>
    </row>
    <row r="21" spans="1:9" ht="12.75">
      <c r="A21" s="21" t="s">
        <v>17</v>
      </c>
      <c r="B21" s="21"/>
      <c r="D21" s="21"/>
      <c r="F21" s="27"/>
      <c r="H21" s="22"/>
      <c r="I21" s="28"/>
    </row>
    <row r="22" spans="2:9" ht="12.75">
      <c r="B22" s="21" t="s">
        <v>19</v>
      </c>
      <c r="D22" s="21"/>
      <c r="F22" s="27"/>
      <c r="H22" s="22"/>
      <c r="I22" s="28"/>
    </row>
    <row r="23" spans="3:9" ht="12.75">
      <c r="C23" s="21" t="s">
        <v>20</v>
      </c>
      <c r="D23" s="21" t="s">
        <v>18</v>
      </c>
      <c r="E23" s="29">
        <f>'Adjusted Data'!F23</f>
        <v>830676.8018402599</v>
      </c>
      <c r="F23" s="27">
        <v>0.534</v>
      </c>
      <c r="G23" s="28">
        <f>E23*F23</f>
        <v>443581.41218269884</v>
      </c>
      <c r="H23" s="22">
        <f>'Outside County'!H29</f>
        <v>0.55</v>
      </c>
      <c r="I23" s="28">
        <f>H23*E23</f>
        <v>456872.241012143</v>
      </c>
    </row>
    <row r="24" spans="3:9" ht="12.75">
      <c r="C24" s="21" t="s">
        <v>21</v>
      </c>
      <c r="D24" s="21" t="s">
        <v>18</v>
      </c>
      <c r="E24" s="29">
        <f>'Adjusted Data'!F24</f>
        <v>8211925.501860373</v>
      </c>
      <c r="F24" s="27">
        <v>0.431</v>
      </c>
      <c r="G24" s="28">
        <f>E24*F24</f>
        <v>3539339.8913018205</v>
      </c>
      <c r="H24" s="22">
        <f>'Outside County'!H30</f>
        <v>0.444</v>
      </c>
      <c r="I24" s="28">
        <f>H24*E24</f>
        <v>3646094.9228260056</v>
      </c>
    </row>
    <row r="25" spans="3:9" ht="12.75">
      <c r="C25" s="21" t="s">
        <v>22</v>
      </c>
      <c r="D25" s="21" t="s">
        <v>18</v>
      </c>
      <c r="E25" s="29">
        <f>'Adjusted Data'!F25</f>
        <v>2260244.392</v>
      </c>
      <c r="F25" s="27">
        <v>0.504</v>
      </c>
      <c r="G25" s="28">
        <f>E25*F25</f>
        <v>1139163.173568</v>
      </c>
      <c r="H25" s="22">
        <f>'Outside County'!H31</f>
        <v>0.519</v>
      </c>
      <c r="I25" s="28">
        <f>H25*E25</f>
        <v>1173066.839448</v>
      </c>
    </row>
    <row r="26" spans="3:9" ht="12.75">
      <c r="C26" s="21" t="s">
        <v>23</v>
      </c>
      <c r="D26" s="21" t="s">
        <v>18</v>
      </c>
      <c r="E26" s="29">
        <f>'Adjusted Data'!F26</f>
        <v>3776508.8409999995</v>
      </c>
      <c r="F26" s="27">
        <v>0.404</v>
      </c>
      <c r="G26" s="28">
        <f>E26*F26</f>
        <v>1525709.571764</v>
      </c>
      <c r="H26" s="22">
        <f>'Outside County'!H32</f>
        <v>0.416</v>
      </c>
      <c r="I26" s="28">
        <f>H26*E26</f>
        <v>1571027.6778559997</v>
      </c>
    </row>
    <row r="27" spans="3:9" ht="12.75">
      <c r="C27" s="21" t="s">
        <v>24</v>
      </c>
      <c r="D27" s="21" t="s">
        <v>18</v>
      </c>
      <c r="E27" s="29">
        <f>'Adjusted Data'!F27</f>
        <v>4513783.622193385</v>
      </c>
      <c r="F27" s="27">
        <v>0.327</v>
      </c>
      <c r="G27" s="28">
        <f>E27*F27</f>
        <v>1476007.244457237</v>
      </c>
      <c r="H27" s="22">
        <f>'Outside County'!H33</f>
        <v>0.337</v>
      </c>
      <c r="I27" s="28">
        <f>H27*E27</f>
        <v>1521145.0806791708</v>
      </c>
    </row>
    <row r="28" spans="2:9" ht="12.75">
      <c r="B28" s="21" t="s">
        <v>25</v>
      </c>
      <c r="D28" s="21"/>
      <c r="E28" s="29"/>
      <c r="F28" s="27"/>
      <c r="H28" s="22"/>
      <c r="I28" s="28"/>
    </row>
    <row r="29" spans="3:9" ht="12.75">
      <c r="C29" s="21" t="s">
        <v>20</v>
      </c>
      <c r="D29" s="21" t="s">
        <v>18</v>
      </c>
      <c r="E29" s="29">
        <f>'Adjusted Data'!F29</f>
        <v>955001.3405599262</v>
      </c>
      <c r="F29" s="27">
        <v>0.432</v>
      </c>
      <c r="G29" s="28">
        <f>E29*F29</f>
        <v>412560.57912188815</v>
      </c>
      <c r="H29" s="22">
        <f>'Outside County'!H35</f>
        <v>0.445</v>
      </c>
      <c r="I29" s="28">
        <f>H29*E29</f>
        <v>424975.5965491672</v>
      </c>
    </row>
    <row r="30" spans="3:9" ht="12.75">
      <c r="C30" s="21" t="s">
        <v>21</v>
      </c>
      <c r="D30" s="21" t="s">
        <v>18</v>
      </c>
      <c r="E30" s="29">
        <f>'Adjusted Data'!F30</f>
        <v>5585457.32390735</v>
      </c>
      <c r="F30" s="27">
        <v>0.37</v>
      </c>
      <c r="G30" s="28">
        <f>E30*F30</f>
        <v>2066619.2098457196</v>
      </c>
      <c r="H30" s="22">
        <f>'Outside County'!H36</f>
        <v>0.381</v>
      </c>
      <c r="I30" s="28">
        <f>H30*E30</f>
        <v>2128059.2404087004</v>
      </c>
    </row>
    <row r="31" spans="3:9" ht="12.75">
      <c r="C31" s="21" t="s">
        <v>22</v>
      </c>
      <c r="D31" s="21" t="s">
        <v>18</v>
      </c>
      <c r="E31" s="29">
        <f>'Adjusted Data'!F31</f>
        <v>3794637.366</v>
      </c>
      <c r="F31" s="27">
        <v>0.412</v>
      </c>
      <c r="G31" s="28">
        <f>E31*F31</f>
        <v>1563390.5947919998</v>
      </c>
      <c r="H31" s="22">
        <f>'Outside County'!H37</f>
        <v>0.424</v>
      </c>
      <c r="I31" s="28">
        <f>H31*E31</f>
        <v>1608926.243184</v>
      </c>
    </row>
    <row r="32" spans="3:9" ht="12.75">
      <c r="C32" s="21" t="s">
        <v>23</v>
      </c>
      <c r="D32" s="21" t="s">
        <v>18</v>
      </c>
      <c r="E32" s="29">
        <f>'Adjusted Data'!F32</f>
        <v>11812905.780999998</v>
      </c>
      <c r="F32" s="27">
        <v>0.35</v>
      </c>
      <c r="G32" s="28">
        <f>E32*F32</f>
        <v>4134517.023349999</v>
      </c>
      <c r="H32" s="22">
        <f>'Outside County'!H38</f>
        <v>0.36</v>
      </c>
      <c r="I32" s="28">
        <f>H32*E32</f>
        <v>4252646.081159999</v>
      </c>
    </row>
    <row r="33" spans="3:9" ht="12.75">
      <c r="C33" s="21" t="s">
        <v>24</v>
      </c>
      <c r="D33" s="21" t="s">
        <v>18</v>
      </c>
      <c r="E33" s="29">
        <f>'Adjusted Data'!F33</f>
        <v>3391255.57148929</v>
      </c>
      <c r="F33" s="27">
        <v>0.289</v>
      </c>
      <c r="G33" s="28">
        <f>E33*F33</f>
        <v>980072.8601604047</v>
      </c>
      <c r="H33" s="22">
        <f>'Outside County'!H39</f>
        <v>0.298</v>
      </c>
      <c r="I33" s="28">
        <f>H33*E33</f>
        <v>1010594.1603038083</v>
      </c>
    </row>
    <row r="34" spans="2:9" ht="12.75">
      <c r="B34" s="21" t="s">
        <v>26</v>
      </c>
      <c r="D34" s="21"/>
      <c r="E34" s="29"/>
      <c r="F34" s="27"/>
      <c r="H34" s="22"/>
      <c r="I34" s="28"/>
    </row>
    <row r="35" spans="3:9" ht="12.75">
      <c r="C35" s="21" t="s">
        <v>20</v>
      </c>
      <c r="D35" s="21" t="s">
        <v>18</v>
      </c>
      <c r="E35" s="29">
        <f>'Adjusted Data'!F35</f>
        <v>3357890.2072448335</v>
      </c>
      <c r="F35" s="27">
        <v>0.373</v>
      </c>
      <c r="G35" s="28">
        <f>E35*F35</f>
        <v>1252493.047302323</v>
      </c>
      <c r="H35" s="22">
        <f>'Outside County'!H41</f>
        <v>0.384</v>
      </c>
      <c r="I35" s="28">
        <f>H35*E35</f>
        <v>1289429.839582016</v>
      </c>
    </row>
    <row r="36" spans="3:9" ht="12.75">
      <c r="C36" s="21" t="s">
        <v>21</v>
      </c>
      <c r="D36" s="21" t="s">
        <v>18</v>
      </c>
      <c r="E36" s="29">
        <f>'Adjusted Data'!F36</f>
        <v>17190398.17891355</v>
      </c>
      <c r="F36" s="27">
        <v>0.348</v>
      </c>
      <c r="G36" s="28">
        <f>E36*F36</f>
        <v>5982258.566261915</v>
      </c>
      <c r="H36" s="22">
        <f>'Outside County'!H42</f>
        <v>0.358</v>
      </c>
      <c r="I36" s="28">
        <f>H36*E36</f>
        <v>6154162.54805105</v>
      </c>
    </row>
    <row r="37" spans="3:9" ht="12.75">
      <c r="C37" s="21" t="s">
        <v>22</v>
      </c>
      <c r="D37" s="21" t="s">
        <v>18</v>
      </c>
      <c r="E37" s="29">
        <f>'Adjusted Data'!F37</f>
        <v>22674217.966</v>
      </c>
      <c r="F37" s="27">
        <v>0.362</v>
      </c>
      <c r="G37" s="28">
        <f>E37*F37</f>
        <v>8208066.903691999</v>
      </c>
      <c r="H37" s="22">
        <f>'Outside County'!H43</f>
        <v>0.373</v>
      </c>
      <c r="I37" s="28">
        <f>H37*E37</f>
        <v>8457483.301318</v>
      </c>
    </row>
    <row r="38" spans="3:9" ht="12.75">
      <c r="C38" s="21" t="s">
        <v>23</v>
      </c>
      <c r="D38" s="21" t="s">
        <v>18</v>
      </c>
      <c r="E38" s="29">
        <f>'Adjusted Data'!F38</f>
        <v>114039960.587</v>
      </c>
      <c r="F38" s="27">
        <v>0.331</v>
      </c>
      <c r="G38" s="28">
        <f>E38*F38</f>
        <v>37747226.954297</v>
      </c>
      <c r="H38" s="22">
        <f>'Outside County'!H44</f>
        <v>0.341</v>
      </c>
      <c r="I38" s="28">
        <f>H38*E38</f>
        <v>38887626.560167</v>
      </c>
    </row>
    <row r="39" spans="3:9" ht="12.75">
      <c r="C39" s="21" t="s">
        <v>24</v>
      </c>
      <c r="D39" s="21" t="s">
        <v>18</v>
      </c>
      <c r="E39" s="29">
        <f>'Adjusted Data'!F39</f>
        <v>8160549.328406549</v>
      </c>
      <c r="F39" s="27">
        <v>0.275</v>
      </c>
      <c r="G39" s="28">
        <f>E39*F39</f>
        <v>2244151.065311801</v>
      </c>
      <c r="H39" s="22">
        <f>'Outside County'!H45</f>
        <v>0.283</v>
      </c>
      <c r="I39" s="28">
        <f>H39*E39</f>
        <v>2309435.4599390533</v>
      </c>
    </row>
    <row r="40" spans="2:9" ht="12.75">
      <c r="B40" s="21" t="s">
        <v>27</v>
      </c>
      <c r="D40" s="21"/>
      <c r="E40" s="29"/>
      <c r="F40" s="27"/>
      <c r="H40" s="22"/>
      <c r="I40" s="28"/>
    </row>
    <row r="41" spans="3:9" ht="12.75">
      <c r="C41" s="21" t="s">
        <v>20</v>
      </c>
      <c r="D41" s="21" t="s">
        <v>18</v>
      </c>
      <c r="E41" s="29">
        <f>'Adjusted Data'!F41</f>
        <v>7131630.750405547</v>
      </c>
      <c r="F41" s="27">
        <v>0.289</v>
      </c>
      <c r="G41" s="28">
        <f>E41*F41</f>
        <v>2061041.286867203</v>
      </c>
      <c r="H41" s="22">
        <f>'Outside County'!H47</f>
        <v>0.298</v>
      </c>
      <c r="I41" s="28">
        <f>H41*E41</f>
        <v>2125225.963620853</v>
      </c>
    </row>
    <row r="42" spans="3:9" ht="12.75">
      <c r="C42" s="21" t="s">
        <v>21</v>
      </c>
      <c r="D42" s="21" t="s">
        <v>18</v>
      </c>
      <c r="E42" s="29">
        <f>'Adjusted Data'!F42</f>
        <v>31498134.40007177</v>
      </c>
      <c r="F42" s="27">
        <v>0.276</v>
      </c>
      <c r="G42" s="28">
        <f>E42*F42</f>
        <v>8693485.094419809</v>
      </c>
      <c r="H42" s="22">
        <f>'Outside County'!H48</f>
        <v>0.284</v>
      </c>
      <c r="I42" s="28">
        <f>H42*E42</f>
        <v>8945470.169620382</v>
      </c>
    </row>
    <row r="43" spans="3:9" ht="12.75">
      <c r="C43" s="21" t="s">
        <v>22</v>
      </c>
      <c r="D43" s="21" t="s">
        <v>18</v>
      </c>
      <c r="E43" s="29">
        <f>'Adjusted Data'!F43</f>
        <v>33417212.68000002</v>
      </c>
      <c r="F43" s="27">
        <v>0.285</v>
      </c>
      <c r="G43" s="28">
        <f>E43*F43</f>
        <v>9523905.613800004</v>
      </c>
      <c r="H43" s="22">
        <f>'Outside County'!H49</f>
        <v>0.293</v>
      </c>
      <c r="I43" s="28">
        <f>H43*E43</f>
        <v>9791243.315240005</v>
      </c>
    </row>
    <row r="44" spans="3:9" ht="12.75">
      <c r="C44" s="21" t="s">
        <v>23</v>
      </c>
      <c r="D44" s="21" t="s">
        <v>18</v>
      </c>
      <c r="E44" s="29">
        <f>'Adjusted Data'!F44</f>
        <v>358971308.67699975</v>
      </c>
      <c r="F44" s="27">
        <v>0.268</v>
      </c>
      <c r="G44" s="28">
        <f>E44*F44</f>
        <v>96204310.72543594</v>
      </c>
      <c r="H44" s="22">
        <f>'Outside County'!H50</f>
        <v>0.276</v>
      </c>
      <c r="I44" s="28">
        <f>H44*E44</f>
        <v>99076081.19485193</v>
      </c>
    </row>
    <row r="45" spans="3:9" ht="12.75">
      <c r="C45" s="21" t="s">
        <v>24</v>
      </c>
      <c r="D45" s="21" t="s">
        <v>18</v>
      </c>
      <c r="E45" s="29">
        <f>'Adjusted Data'!F45</f>
        <v>1053534.233107587</v>
      </c>
      <c r="F45" s="27">
        <v>0.211</v>
      </c>
      <c r="G45" s="28">
        <f>E45*F45</f>
        <v>222295.72318570086</v>
      </c>
      <c r="H45" s="22">
        <f>'Outside County'!H51</f>
        <v>0.217</v>
      </c>
      <c r="I45" s="28">
        <f>H45*E45</f>
        <v>228616.9285843464</v>
      </c>
    </row>
    <row r="46" spans="2:9" ht="12.75">
      <c r="B46" s="21" t="s">
        <v>28</v>
      </c>
      <c r="D46" s="21"/>
      <c r="E46" s="29"/>
      <c r="F46" s="27"/>
      <c r="H46" s="22"/>
      <c r="I46" s="28"/>
    </row>
    <row r="47" spans="3:9" ht="12.75">
      <c r="C47" s="21" t="s">
        <v>29</v>
      </c>
      <c r="D47" s="21" t="s">
        <v>18</v>
      </c>
      <c r="E47" s="29">
        <f>'Adjusted Data'!F47</f>
        <v>994823118.6819997</v>
      </c>
      <c r="F47" s="27">
        <v>0.169</v>
      </c>
      <c r="G47" s="28">
        <f>E47*F47</f>
        <v>168125107.05725795</v>
      </c>
      <c r="H47" s="22">
        <f>'Outside County'!H53</f>
        <v>0.174</v>
      </c>
      <c r="I47" s="28">
        <f>H47*E47</f>
        <v>173099222.65066794</v>
      </c>
    </row>
    <row r="48" spans="3:9" ht="12.75">
      <c r="C48" s="21" t="s">
        <v>30</v>
      </c>
      <c r="D48" s="21" t="s">
        <v>18</v>
      </c>
      <c r="E48" s="29">
        <f>'Adjusted Data'!F48</f>
        <v>100140529.62999998</v>
      </c>
      <c r="F48" s="27">
        <v>0.149</v>
      </c>
      <c r="G48" s="28">
        <f>E48*F48</f>
        <v>14920938.914869996</v>
      </c>
      <c r="H48" s="22">
        <f>'Outside County'!H54</f>
        <v>0.153</v>
      </c>
      <c r="I48" s="28">
        <f>H48*E48</f>
        <v>15321501.033389997</v>
      </c>
    </row>
    <row r="49" spans="3:9" ht="12.75">
      <c r="C49" s="21" t="s">
        <v>31</v>
      </c>
      <c r="D49" s="21" t="s">
        <v>18</v>
      </c>
      <c r="E49" s="29">
        <f>'Adjusted Data'!F49</f>
        <v>35610705.579</v>
      </c>
      <c r="F49" s="27">
        <v>0.131</v>
      </c>
      <c r="G49" s="28">
        <f>E49*F49</f>
        <v>4665002.430849001</v>
      </c>
      <c r="H49" s="22">
        <f>'Outside County'!H55</f>
        <v>0.135</v>
      </c>
      <c r="I49" s="28">
        <f>H49*E49</f>
        <v>4807445.253165001</v>
      </c>
    </row>
    <row r="50" spans="3:9" ht="12.75">
      <c r="C50" s="21" t="s">
        <v>32</v>
      </c>
      <c r="D50" s="21" t="s">
        <v>18</v>
      </c>
      <c r="E50" s="29">
        <f>'Adjusted Data'!F50</f>
        <v>10270090.558999995</v>
      </c>
      <c r="F50" s="27">
        <v>0.169</v>
      </c>
      <c r="G50" s="28">
        <f>E50*F50</f>
        <v>1735645.3044709992</v>
      </c>
      <c r="H50" s="22">
        <f>'Outside County'!H56</f>
        <v>0.174</v>
      </c>
      <c r="I50" s="28">
        <f>H50*E50</f>
        <v>1786995.757265999</v>
      </c>
    </row>
    <row r="51" spans="3:9" ht="25.5" customHeight="1">
      <c r="C51" s="51" t="s">
        <v>213</v>
      </c>
      <c r="D51" s="21" t="s">
        <v>34</v>
      </c>
      <c r="E51" s="29">
        <f>'Adjusted Data'!F51</f>
        <v>1337563337.5079281</v>
      </c>
      <c r="F51" s="27">
        <v>-0.091</v>
      </c>
      <c r="G51" s="28">
        <f>E51*F51</f>
        <v>-121718263.71322146</v>
      </c>
      <c r="H51" s="22">
        <f>'Outside County'!H57</f>
        <v>-0.094</v>
      </c>
      <c r="I51" s="28">
        <f>H51*E51</f>
        <v>-125730953.72574525</v>
      </c>
    </row>
    <row r="52" spans="1:9" ht="12.75">
      <c r="A52" s="21" t="s">
        <v>35</v>
      </c>
      <c r="D52" s="21"/>
      <c r="E52" s="29"/>
      <c r="F52" s="27"/>
      <c r="H52" s="22"/>
      <c r="I52" s="28"/>
    </row>
    <row r="53" spans="2:9" ht="12.75">
      <c r="B53" s="21" t="s">
        <v>37</v>
      </c>
      <c r="D53" s="21"/>
      <c r="E53" s="29"/>
      <c r="F53" s="27"/>
      <c r="H53" s="22"/>
      <c r="I53" s="28"/>
    </row>
    <row r="54" spans="3:9" ht="12.75">
      <c r="C54" s="21" t="s">
        <v>38</v>
      </c>
      <c r="D54" s="21" t="s">
        <v>36</v>
      </c>
      <c r="E54" s="29">
        <v>930853.941</v>
      </c>
      <c r="F54" s="27">
        <v>0.1</v>
      </c>
      <c r="G54" s="28">
        <f>E54*F54</f>
        <v>93085.3941</v>
      </c>
      <c r="H54" s="22">
        <f>'Outside County'!H60</f>
        <v>0.103</v>
      </c>
      <c r="I54" s="28">
        <f>H54*E54</f>
        <v>95877.95592299999</v>
      </c>
    </row>
    <row r="55" spans="3:9" ht="12.75">
      <c r="C55" s="21" t="s">
        <v>39</v>
      </c>
      <c r="D55" s="21" t="s">
        <v>36</v>
      </c>
      <c r="E55" s="29">
        <v>1453823.4540000004</v>
      </c>
      <c r="F55" s="27">
        <v>0.129</v>
      </c>
      <c r="G55" s="28">
        <f>E55*F55</f>
        <v>187543.22556600007</v>
      </c>
      <c r="H55" s="22">
        <f>'Outside County'!H61</f>
        <v>0.133</v>
      </c>
      <c r="I55" s="28">
        <f>H55*E55</f>
        <v>193358.51938200006</v>
      </c>
    </row>
    <row r="56" spans="3:9" ht="12.75">
      <c r="C56" s="21" t="s">
        <v>40</v>
      </c>
      <c r="D56" s="21" t="s">
        <v>36</v>
      </c>
      <c r="E56" s="29">
        <v>1569095.2659999998</v>
      </c>
      <c r="F56" s="27">
        <v>0.134</v>
      </c>
      <c r="G56" s="28">
        <f>E56*F56</f>
        <v>210258.765644</v>
      </c>
      <c r="H56" s="22">
        <f>'Outside County'!H62</f>
        <v>0.138</v>
      </c>
      <c r="I56" s="28">
        <f>H56*E56</f>
        <v>216535.146708</v>
      </c>
    </row>
    <row r="57" spans="3:9" ht="12.75">
      <c r="C57" s="21" t="s">
        <v>41</v>
      </c>
      <c r="D57" s="21" t="s">
        <v>36</v>
      </c>
      <c r="E57" s="29">
        <v>329692.0169999999</v>
      </c>
      <c r="F57" s="27">
        <v>0.161</v>
      </c>
      <c r="G57" s="28">
        <f>E57*F57</f>
        <v>53080.414736999985</v>
      </c>
      <c r="H57" s="22">
        <f>'Outside County'!H63</f>
        <v>0.166</v>
      </c>
      <c r="I57" s="28">
        <f>H57*E57</f>
        <v>54728.87482199998</v>
      </c>
    </row>
    <row r="58" spans="3:9" ht="12.75">
      <c r="C58" s="21" t="s">
        <v>32</v>
      </c>
      <c r="D58" s="21" t="s">
        <v>36</v>
      </c>
      <c r="E58" s="29">
        <v>1043888.3409999999</v>
      </c>
      <c r="F58" s="27">
        <v>0.079</v>
      </c>
      <c r="G58" s="28">
        <f>E58*F58</f>
        <v>82467.17893899999</v>
      </c>
      <c r="H58" s="22">
        <f>'Outside County'!H64</f>
        <v>0.081</v>
      </c>
      <c r="I58" s="28">
        <f>H58*E58</f>
        <v>84554.955621</v>
      </c>
    </row>
    <row r="59" spans="2:9" ht="12.75">
      <c r="B59" s="21" t="s">
        <v>42</v>
      </c>
      <c r="D59" s="21"/>
      <c r="E59" s="29"/>
      <c r="F59" s="27"/>
      <c r="H59" s="22"/>
      <c r="I59" s="28"/>
    </row>
    <row r="60" spans="3:9" ht="12.75">
      <c r="C60" s="21" t="s">
        <v>39</v>
      </c>
      <c r="D60" s="21" t="s">
        <v>36</v>
      </c>
      <c r="E60" s="29">
        <v>780097.8930000002</v>
      </c>
      <c r="F60" s="27">
        <v>0.038</v>
      </c>
      <c r="G60" s="28">
        <f>E60*F60</f>
        <v>29643.719934000004</v>
      </c>
      <c r="H60" s="22">
        <f>'Outside County'!H66</f>
        <v>0.039</v>
      </c>
      <c r="I60" s="28">
        <f>H60*E60</f>
        <v>30423.817827000006</v>
      </c>
    </row>
    <row r="61" spans="3:9" ht="12.75">
      <c r="C61" s="21" t="s">
        <v>40</v>
      </c>
      <c r="D61" s="21" t="s">
        <v>36</v>
      </c>
      <c r="E61" s="29">
        <v>3262238.49</v>
      </c>
      <c r="F61" s="27">
        <v>0.063</v>
      </c>
      <c r="G61" s="28">
        <f>E61*F61</f>
        <v>205521.02487000002</v>
      </c>
      <c r="H61" s="22">
        <f>'Outside County'!H67</f>
        <v>0.065</v>
      </c>
      <c r="I61" s="28">
        <f>H61*E61</f>
        <v>212045.50185000003</v>
      </c>
    </row>
    <row r="62" spans="3:9" ht="12.75">
      <c r="C62" s="21" t="s">
        <v>41</v>
      </c>
      <c r="D62" s="21" t="s">
        <v>36</v>
      </c>
      <c r="E62" s="29">
        <v>7289685.801</v>
      </c>
      <c r="F62" s="27">
        <v>0.095</v>
      </c>
      <c r="G62" s="28">
        <f>E62*F62</f>
        <v>692520.151095</v>
      </c>
      <c r="H62" s="22">
        <f>'Outside County'!H68</f>
        <v>0.098</v>
      </c>
      <c r="I62" s="28">
        <f>H62*E62</f>
        <v>714389.208498</v>
      </c>
    </row>
    <row r="63" spans="3:9" ht="12.75">
      <c r="C63" s="21" t="s">
        <v>43</v>
      </c>
      <c r="D63" s="21" t="s">
        <v>36</v>
      </c>
      <c r="E63" s="29">
        <v>5861675.322999999</v>
      </c>
      <c r="F63" s="27">
        <v>0.104</v>
      </c>
      <c r="G63" s="28">
        <f>E63*F63</f>
        <v>609614.2335919999</v>
      </c>
      <c r="H63" s="22">
        <f>'Outside County'!H69</f>
        <v>0.107</v>
      </c>
      <c r="I63" s="28">
        <f>H63*E63</f>
        <v>627199.2595609999</v>
      </c>
    </row>
    <row r="64" spans="3:9" ht="12.75">
      <c r="C64" s="21" t="s">
        <v>32</v>
      </c>
      <c r="D64" s="21" t="s">
        <v>36</v>
      </c>
      <c r="E64" s="29">
        <v>3186886.19</v>
      </c>
      <c r="F64" s="27">
        <v>0.048</v>
      </c>
      <c r="G64" s="28">
        <f>E64*F64</f>
        <v>152970.53712</v>
      </c>
      <c r="H64" s="22">
        <f>'Outside County'!H70</f>
        <v>0.049</v>
      </c>
      <c r="I64" s="28">
        <f>H64*E64</f>
        <v>156157.42331</v>
      </c>
    </row>
    <row r="65" spans="2:9" ht="12.75">
      <c r="B65" s="21" t="s">
        <v>44</v>
      </c>
      <c r="D65" s="21"/>
      <c r="E65" s="29"/>
      <c r="F65" s="27"/>
      <c r="H65" s="22"/>
      <c r="I65" s="28"/>
    </row>
    <row r="66" spans="3:9" ht="12.75">
      <c r="C66" s="21" t="s">
        <v>40</v>
      </c>
      <c r="D66" s="21" t="s">
        <v>36</v>
      </c>
      <c r="E66" s="29">
        <v>5038581.310999999</v>
      </c>
      <c r="F66" s="27">
        <v>0.039</v>
      </c>
      <c r="G66" s="28">
        <f>E66*F66</f>
        <v>196504.67112899997</v>
      </c>
      <c r="H66" s="22">
        <f>'Outside County'!H72</f>
        <v>0.04</v>
      </c>
      <c r="I66" s="28">
        <f>H66*E66</f>
        <v>201543.25243999995</v>
      </c>
    </row>
    <row r="67" spans="3:9" ht="12.75">
      <c r="C67" s="21" t="s">
        <v>41</v>
      </c>
      <c r="D67" s="21" t="s">
        <v>36</v>
      </c>
      <c r="E67" s="29">
        <v>18581442.228999995</v>
      </c>
      <c r="F67" s="27">
        <v>0.084</v>
      </c>
      <c r="G67" s="28">
        <f>E67*F67</f>
        <v>1560841.1472359996</v>
      </c>
      <c r="H67" s="22">
        <f>'Outside County'!H73</f>
        <v>0.086</v>
      </c>
      <c r="I67" s="28">
        <f>H67*E67</f>
        <v>1598004.0316939994</v>
      </c>
    </row>
    <row r="68" spans="3:9" ht="12.75">
      <c r="C68" s="21" t="s">
        <v>43</v>
      </c>
      <c r="D68" s="21" t="s">
        <v>36</v>
      </c>
      <c r="E68" s="29">
        <v>45223175.01700002</v>
      </c>
      <c r="F68" s="27">
        <v>0.095</v>
      </c>
      <c r="G68" s="28">
        <f>E68*F68</f>
        <v>4296201.626615002</v>
      </c>
      <c r="H68" s="22">
        <f>'Outside County'!H74</f>
        <v>0.098</v>
      </c>
      <c r="I68" s="28">
        <f>H68*E68</f>
        <v>4431871.151666002</v>
      </c>
    </row>
    <row r="69" spans="3:9" ht="12.75">
      <c r="C69" s="21" t="s">
        <v>32</v>
      </c>
      <c r="D69" s="21" t="s">
        <v>36</v>
      </c>
      <c r="E69" s="29">
        <v>5088436.991999999</v>
      </c>
      <c r="F69" s="27">
        <v>0.045</v>
      </c>
      <c r="G69" s="28">
        <f>E69*F69</f>
        <v>228979.66463999994</v>
      </c>
      <c r="H69" s="22">
        <f>'Outside County'!H75</f>
        <v>0.046</v>
      </c>
      <c r="I69" s="28">
        <f>H69*E69</f>
        <v>234068.10163199995</v>
      </c>
    </row>
    <row r="70" spans="2:9" ht="12.75">
      <c r="B70" s="21" t="s">
        <v>45</v>
      </c>
      <c r="D70" s="21"/>
      <c r="E70" s="29"/>
      <c r="F70" s="27"/>
      <c r="H70" s="22"/>
      <c r="I70" s="28"/>
    </row>
    <row r="71" spans="3:9" ht="12.75">
      <c r="C71" s="21" t="s">
        <v>41</v>
      </c>
      <c r="D71" s="21" t="s">
        <v>36</v>
      </c>
      <c r="E71" s="29">
        <v>1933465.8660000006</v>
      </c>
      <c r="F71" s="27">
        <v>0.008</v>
      </c>
      <c r="G71" s="28">
        <f>E71*F71</f>
        <v>15467.726928000006</v>
      </c>
      <c r="H71" s="22">
        <f>'Outside County'!H77</f>
        <v>0.008</v>
      </c>
      <c r="I71" s="28">
        <f>H71*E71</f>
        <v>15467.726928000006</v>
      </c>
    </row>
    <row r="72" spans="3:9" ht="12.75">
      <c r="C72" s="21" t="s">
        <v>43</v>
      </c>
      <c r="D72" s="21" t="s">
        <v>36</v>
      </c>
      <c r="E72" s="29">
        <v>14220747.584</v>
      </c>
      <c r="F72" s="27">
        <v>0.039</v>
      </c>
      <c r="G72" s="28">
        <f>E72*F72</f>
        <v>554609.155776</v>
      </c>
      <c r="H72" s="22">
        <f>'Outside County'!H78</f>
        <v>0.04</v>
      </c>
      <c r="I72" s="28">
        <f>H72*E72</f>
        <v>568829.90336</v>
      </c>
    </row>
    <row r="73" spans="3:9" ht="12.75">
      <c r="C73" s="21" t="s">
        <v>32</v>
      </c>
      <c r="D73" s="21" t="s">
        <v>36</v>
      </c>
      <c r="E73" s="29">
        <v>983128.2470000002</v>
      </c>
      <c r="F73" s="27">
        <v>0.027</v>
      </c>
      <c r="G73" s="28">
        <f>E73*F73</f>
        <v>26544.462669000004</v>
      </c>
      <c r="H73" s="22">
        <f>'Outside County'!H79</f>
        <v>0.028</v>
      </c>
      <c r="I73" s="28">
        <f>H73*E73</f>
        <v>27527.590916000005</v>
      </c>
    </row>
    <row r="74" spans="1:9" ht="12.75">
      <c r="A74" s="23" t="s">
        <v>46</v>
      </c>
      <c r="D74" s="21"/>
      <c r="E74" s="29"/>
      <c r="F74" s="27"/>
      <c r="H74" s="22"/>
      <c r="I74" s="28"/>
    </row>
    <row r="75" spans="2:9" ht="12.75">
      <c r="B75" s="21" t="s">
        <v>37</v>
      </c>
      <c r="D75" s="21"/>
      <c r="E75" s="29"/>
      <c r="F75" s="27"/>
      <c r="H75" s="22"/>
      <c r="I75" s="28"/>
    </row>
    <row r="76" spans="3:9" ht="12.75">
      <c r="C76" s="21" t="s">
        <v>48</v>
      </c>
      <c r="D76" s="21" t="s">
        <v>47</v>
      </c>
      <c r="E76" s="29">
        <v>567220.0430000001</v>
      </c>
      <c r="F76" s="27">
        <v>0.42</v>
      </c>
      <c r="G76" s="28">
        <f>E76*F76</f>
        <v>238232.41806000003</v>
      </c>
      <c r="H76" s="22">
        <f>'Outside County'!H82</f>
        <v>0.432</v>
      </c>
      <c r="I76" s="28">
        <f>H76*E76</f>
        <v>245039.058576</v>
      </c>
    </row>
    <row r="77" spans="3:9" ht="12.75">
      <c r="C77" s="21" t="s">
        <v>49</v>
      </c>
      <c r="D77" s="21" t="s">
        <v>47</v>
      </c>
      <c r="E77" s="29">
        <v>259.556</v>
      </c>
      <c r="F77" s="27">
        <v>0.42</v>
      </c>
      <c r="G77" s="28">
        <f>E77*F77</f>
        <v>109.01351999999999</v>
      </c>
      <c r="H77" s="22">
        <f>'Outside County'!H83</f>
        <v>0.432</v>
      </c>
      <c r="I77" s="28">
        <f>H77*E77</f>
        <v>112.128192</v>
      </c>
    </row>
    <row r="78" spans="2:9" ht="12.75">
      <c r="B78" s="21" t="s">
        <v>50</v>
      </c>
      <c r="D78" s="21"/>
      <c r="E78" s="29"/>
      <c r="F78" s="27"/>
      <c r="G78" s="24"/>
      <c r="H78" s="22"/>
      <c r="I78" s="28"/>
    </row>
    <row r="79" spans="3:9" ht="12.75">
      <c r="C79" s="21" t="s">
        <v>48</v>
      </c>
      <c r="D79" s="21" t="s">
        <v>47</v>
      </c>
      <c r="E79" s="29"/>
      <c r="F79" s="27"/>
      <c r="G79" s="24"/>
      <c r="H79" s="22"/>
      <c r="I79" s="28"/>
    </row>
    <row r="80" spans="3:9" ht="12.75">
      <c r="C80" s="21" t="s">
        <v>49</v>
      </c>
      <c r="D80" s="21" t="s">
        <v>47</v>
      </c>
      <c r="E80" s="29"/>
      <c r="F80" s="27"/>
      <c r="G80" s="24"/>
      <c r="H80" s="22"/>
      <c r="I80" s="28"/>
    </row>
    <row r="81" spans="3:9" ht="12.75">
      <c r="C81" s="21" t="s">
        <v>51</v>
      </c>
      <c r="D81" s="21" t="s">
        <v>47</v>
      </c>
      <c r="E81" s="29">
        <v>868983.086</v>
      </c>
      <c r="F81" s="27">
        <v>1.8</v>
      </c>
      <c r="G81" s="28">
        <f>E81*F81</f>
        <v>1564169.5548</v>
      </c>
      <c r="H81" s="22">
        <f>'Outside County'!H87</f>
        <v>1.853</v>
      </c>
      <c r="I81" s="28">
        <f>H81*E81</f>
        <v>1610225.658358</v>
      </c>
    </row>
    <row r="82" spans="3:9" ht="12.75">
      <c r="C82" s="21" t="s">
        <v>52</v>
      </c>
      <c r="D82" s="21" t="s">
        <v>47</v>
      </c>
      <c r="E82" s="29">
        <v>26.71</v>
      </c>
      <c r="F82" s="27">
        <v>1.1</v>
      </c>
      <c r="G82" s="28">
        <f>E82*F82</f>
        <v>29.381000000000004</v>
      </c>
      <c r="H82" s="22">
        <f>'Outside County'!H88</f>
        <v>1.1320000000000001</v>
      </c>
      <c r="I82" s="28">
        <f>H82*E82</f>
        <v>30.235720000000004</v>
      </c>
    </row>
    <row r="83" spans="3:9" ht="12.75">
      <c r="C83" s="21" t="s">
        <v>53</v>
      </c>
      <c r="D83" s="21" t="s">
        <v>47</v>
      </c>
      <c r="E83" s="29">
        <v>28439.725</v>
      </c>
      <c r="F83" s="27">
        <v>0.6</v>
      </c>
      <c r="G83" s="28">
        <f>E83*F83</f>
        <v>17063.835</v>
      </c>
      <c r="H83" s="22">
        <f>'Outside County'!H89</f>
        <v>0.618</v>
      </c>
      <c r="I83" s="28">
        <f>H83*E83</f>
        <v>17575.75005</v>
      </c>
    </row>
    <row r="84" spans="2:9" ht="12.75">
      <c r="B84" s="21" t="s">
        <v>54</v>
      </c>
      <c r="D84" s="21"/>
      <c r="E84" s="29"/>
      <c r="F84" s="27"/>
      <c r="G84" s="24"/>
      <c r="H84" s="22"/>
      <c r="I84" s="28"/>
    </row>
    <row r="85" spans="3:9" ht="12.75">
      <c r="C85" s="21" t="s">
        <v>48</v>
      </c>
      <c r="D85" s="21" t="s">
        <v>47</v>
      </c>
      <c r="E85" s="29"/>
      <c r="F85" s="27"/>
      <c r="G85" s="24"/>
      <c r="H85" s="22"/>
      <c r="I85" s="28"/>
    </row>
    <row r="86" spans="3:9" ht="12.75">
      <c r="C86" s="21" t="s">
        <v>49</v>
      </c>
      <c r="D86" s="21" t="s">
        <v>47</v>
      </c>
      <c r="E86" s="29"/>
      <c r="F86" s="27"/>
      <c r="G86" s="24"/>
      <c r="H86" s="22"/>
      <c r="I86" s="28"/>
    </row>
    <row r="87" spans="3:9" ht="12.75">
      <c r="C87" s="21" t="s">
        <v>51</v>
      </c>
      <c r="D87" s="21" t="s">
        <v>47</v>
      </c>
      <c r="E87" s="29">
        <v>2958874.38</v>
      </c>
      <c r="F87" s="27">
        <v>1.9</v>
      </c>
      <c r="G87" s="28">
        <f>E87*F87</f>
        <v>5621861.322</v>
      </c>
      <c r="H87" s="22">
        <f>'Outside County'!H93</f>
        <v>1.956</v>
      </c>
      <c r="I87" s="28">
        <f>H87*E87</f>
        <v>5787558.28728</v>
      </c>
    </row>
    <row r="88" spans="3:9" ht="12.75">
      <c r="C88" s="21" t="s">
        <v>52</v>
      </c>
      <c r="D88" s="21" t="s">
        <v>47</v>
      </c>
      <c r="E88" s="29">
        <v>35.41</v>
      </c>
      <c r="F88" s="27">
        <v>1.2</v>
      </c>
      <c r="G88" s="28">
        <f>E88*F88</f>
        <v>42.492</v>
      </c>
      <c r="H88" s="22">
        <f>'Outside County'!H94</f>
        <v>1.236</v>
      </c>
      <c r="I88" s="28">
        <f>H88*E88</f>
        <v>43.76676</v>
      </c>
    </row>
    <row r="89" spans="3:9" ht="12.75">
      <c r="C89" s="21" t="s">
        <v>53</v>
      </c>
      <c r="D89" s="21" t="s">
        <v>47</v>
      </c>
      <c r="E89" s="29">
        <v>32188.358</v>
      </c>
      <c r="F89" s="27">
        <v>1</v>
      </c>
      <c r="G89" s="28">
        <f>E89*F89</f>
        <v>32188.358</v>
      </c>
      <c r="H89" s="22">
        <f>'Outside County'!H95</f>
        <v>1.03</v>
      </c>
      <c r="I89" s="28">
        <f>H89*E89</f>
        <v>33154.00874</v>
      </c>
    </row>
    <row r="90" spans="3:9" ht="12.75">
      <c r="C90" s="21" t="s">
        <v>55</v>
      </c>
      <c r="D90" s="21" t="s">
        <v>47</v>
      </c>
      <c r="E90" s="29">
        <v>299717.917</v>
      </c>
      <c r="F90" s="27">
        <v>0.6</v>
      </c>
      <c r="G90" s="28">
        <f>E90*F90</f>
        <v>179830.7502</v>
      </c>
      <c r="H90" s="22">
        <f>'Outside County'!H96</f>
        <v>0.618</v>
      </c>
      <c r="I90" s="28">
        <f>H90*E90</f>
        <v>185225.672706</v>
      </c>
    </row>
    <row r="91" spans="2:9" ht="12.75">
      <c r="B91" s="21" t="s">
        <v>56</v>
      </c>
      <c r="D91" s="21"/>
      <c r="E91" s="29"/>
      <c r="F91" s="27"/>
      <c r="H91" s="22"/>
      <c r="I91" s="28"/>
    </row>
    <row r="92" spans="3:9" ht="12.75">
      <c r="C92" s="21" t="s">
        <v>48</v>
      </c>
      <c r="D92" s="21" t="s">
        <v>47</v>
      </c>
      <c r="E92" s="29"/>
      <c r="F92" s="27"/>
      <c r="G92" s="24"/>
      <c r="H92" s="22"/>
      <c r="I92" s="28"/>
    </row>
    <row r="93" spans="3:9" ht="12.75">
      <c r="C93" s="21" t="s">
        <v>49</v>
      </c>
      <c r="D93" s="21" t="s">
        <v>47</v>
      </c>
      <c r="E93" s="29"/>
      <c r="F93" s="27"/>
      <c r="G93" s="24"/>
      <c r="H93" s="22"/>
      <c r="I93" s="28"/>
    </row>
    <row r="94" spans="3:9" ht="12.75">
      <c r="C94" s="21" t="s">
        <v>51</v>
      </c>
      <c r="D94" s="21" t="s">
        <v>47</v>
      </c>
      <c r="E94" s="29">
        <v>1100960.628</v>
      </c>
      <c r="F94" s="27">
        <v>2.24</v>
      </c>
      <c r="G94" s="28">
        <f>E94*F94</f>
        <v>2466151.80672</v>
      </c>
      <c r="H94" s="22">
        <f>'Outside County'!H100</f>
        <v>2.306</v>
      </c>
      <c r="I94" s="28">
        <f>H94*E94</f>
        <v>2538815.208168</v>
      </c>
    </row>
    <row r="95" spans="3:9" ht="12.75">
      <c r="C95" s="21" t="s">
        <v>52</v>
      </c>
      <c r="D95" s="21" t="s">
        <v>47</v>
      </c>
      <c r="E95" s="29">
        <v>57.123000000000005</v>
      </c>
      <c r="F95" s="27">
        <v>1.5</v>
      </c>
      <c r="G95" s="28">
        <f>E95*F95</f>
        <v>85.68450000000001</v>
      </c>
      <c r="H95" s="22">
        <f>'Outside County'!H101</f>
        <v>1.544</v>
      </c>
      <c r="I95" s="28">
        <f>H95*E95</f>
        <v>88.19791200000002</v>
      </c>
    </row>
    <row r="96" spans="3:9" ht="12.75">
      <c r="C96" s="21" t="s">
        <v>53</v>
      </c>
      <c r="D96" s="21" t="s">
        <v>47</v>
      </c>
      <c r="E96" s="29">
        <v>120168.92300000001</v>
      </c>
      <c r="F96" s="27">
        <v>1.3</v>
      </c>
      <c r="G96" s="28">
        <f>E96*F96</f>
        <v>156219.59990000003</v>
      </c>
      <c r="H96" s="22">
        <f>'Outside County'!H102</f>
        <v>1.338</v>
      </c>
      <c r="I96" s="28">
        <f>H96*E96</f>
        <v>160786.01897400004</v>
      </c>
    </row>
    <row r="97" spans="3:9" ht="12.75">
      <c r="C97" s="21" t="s">
        <v>55</v>
      </c>
      <c r="D97" s="21" t="s">
        <v>47</v>
      </c>
      <c r="E97" s="29">
        <v>934700.1159999999</v>
      </c>
      <c r="F97" s="27">
        <v>0.9</v>
      </c>
      <c r="G97" s="28">
        <f>E97*F97</f>
        <v>841230.1044</v>
      </c>
      <c r="H97" s="22">
        <f>'Outside County'!H103</f>
        <v>0.927</v>
      </c>
      <c r="I97" s="28">
        <f>H97*E97</f>
        <v>866467.007532</v>
      </c>
    </row>
    <row r="98" spans="3:9" ht="12.75">
      <c r="C98" s="21" t="s">
        <v>57</v>
      </c>
      <c r="D98" s="21" t="s">
        <v>47</v>
      </c>
      <c r="E98" s="29">
        <v>14880.309000000001</v>
      </c>
      <c r="F98" s="27">
        <v>0.7</v>
      </c>
      <c r="G98" s="28">
        <f>E98*F98</f>
        <v>10416.2163</v>
      </c>
      <c r="H98" s="22">
        <f>'Outside County'!H104</f>
        <v>0.721</v>
      </c>
      <c r="I98" s="28">
        <f>H98*E98</f>
        <v>10728.702789</v>
      </c>
    </row>
    <row r="99" spans="1:9" ht="12.75">
      <c r="A99" s="21" t="s">
        <v>58</v>
      </c>
      <c r="D99" s="21"/>
      <c r="E99" s="29"/>
      <c r="F99" s="27"/>
      <c r="H99" s="22"/>
      <c r="I99" s="28"/>
    </row>
    <row r="100" spans="2:9" ht="12.75">
      <c r="B100" s="21" t="s">
        <v>60</v>
      </c>
      <c r="D100" s="21"/>
      <c r="E100" s="29"/>
      <c r="F100" s="27"/>
      <c r="H100" s="22"/>
      <c r="I100" s="28"/>
    </row>
    <row r="101" spans="3:9" ht="12.75">
      <c r="C101" s="21" t="s">
        <v>48</v>
      </c>
      <c r="D101" s="21" t="s">
        <v>59</v>
      </c>
      <c r="E101" s="29"/>
      <c r="F101" s="27"/>
      <c r="G101" s="24"/>
      <c r="H101" s="22"/>
      <c r="I101" s="28"/>
    </row>
    <row r="102" spans="3:9" ht="12.75">
      <c r="C102" s="21" t="s">
        <v>49</v>
      </c>
      <c r="D102" s="21" t="s">
        <v>59</v>
      </c>
      <c r="E102" s="29"/>
      <c r="F102" s="27"/>
      <c r="G102" s="24"/>
      <c r="H102" s="22"/>
      <c r="I102" s="28"/>
    </row>
    <row r="103" spans="3:9" ht="12.75">
      <c r="C103" s="21" t="s">
        <v>51</v>
      </c>
      <c r="D103" s="21" t="s">
        <v>59</v>
      </c>
      <c r="E103" s="29">
        <v>104538.05399999999</v>
      </c>
      <c r="F103" s="27">
        <v>18.61</v>
      </c>
      <c r="G103" s="28">
        <f>E103*F103</f>
        <v>1945453.1849399998</v>
      </c>
      <c r="H103" s="22">
        <f>'Outside County'!H109</f>
        <v>19.161</v>
      </c>
      <c r="I103" s="28">
        <f>H103*E103</f>
        <v>2003053.652694</v>
      </c>
    </row>
    <row r="104" spans="3:9" ht="12.75">
      <c r="C104" s="21" t="s">
        <v>52</v>
      </c>
      <c r="D104" s="21" t="s">
        <v>59</v>
      </c>
      <c r="E104" s="29">
        <v>154.591</v>
      </c>
      <c r="F104" s="27">
        <v>13</v>
      </c>
      <c r="G104" s="28">
        <f>E104*F104</f>
        <v>2009.683</v>
      </c>
      <c r="H104" s="22">
        <f>'Outside County'!H110</f>
        <v>13.385</v>
      </c>
      <c r="I104" s="28">
        <f>H104*E104</f>
        <v>2069.200535</v>
      </c>
    </row>
    <row r="105" spans="3:9" ht="12.75">
      <c r="C105" s="21" t="s">
        <v>53</v>
      </c>
      <c r="D105" s="21" t="s">
        <v>59</v>
      </c>
      <c r="E105" s="29">
        <v>84641.215</v>
      </c>
      <c r="F105" s="27">
        <v>8.9</v>
      </c>
      <c r="G105" s="28">
        <f>E105*F105</f>
        <v>753306.8135</v>
      </c>
      <c r="H105" s="22">
        <f>'Outside County'!H111</f>
        <v>9.163</v>
      </c>
      <c r="I105" s="28">
        <f>H105*E105</f>
        <v>775567.453045</v>
      </c>
    </row>
    <row r="106" spans="2:9" ht="12.75">
      <c r="B106" s="21" t="s">
        <v>61</v>
      </c>
      <c r="D106" s="21"/>
      <c r="E106" s="29"/>
      <c r="F106" s="27"/>
      <c r="H106" s="22"/>
      <c r="I106" s="28"/>
    </row>
    <row r="107" spans="3:9" ht="12.75">
      <c r="C107" s="21" t="s">
        <v>48</v>
      </c>
      <c r="D107" s="21" t="s">
        <v>59</v>
      </c>
      <c r="E107" s="29"/>
      <c r="F107" s="27"/>
      <c r="G107" s="24"/>
      <c r="H107" s="22"/>
      <c r="I107" s="28"/>
    </row>
    <row r="108" spans="3:9" ht="12.75">
      <c r="C108" s="21" t="s">
        <v>49</v>
      </c>
      <c r="D108" s="21" t="s">
        <v>59</v>
      </c>
      <c r="E108" s="29"/>
      <c r="F108" s="27"/>
      <c r="G108" s="24"/>
      <c r="H108" s="22"/>
      <c r="I108" s="28"/>
    </row>
    <row r="109" spans="3:9" ht="12.75">
      <c r="C109" s="21" t="s">
        <v>51</v>
      </c>
      <c r="D109" s="21" t="s">
        <v>59</v>
      </c>
      <c r="E109" s="29">
        <v>82299.8</v>
      </c>
      <c r="F109" s="27">
        <v>22.98</v>
      </c>
      <c r="G109" s="28">
        <f>E109*F109</f>
        <v>1891249.404</v>
      </c>
      <c r="H109" s="22">
        <f>'Outside County'!H115</f>
        <v>23.66</v>
      </c>
      <c r="I109" s="28">
        <f>H109*E109</f>
        <v>1947213.2680000002</v>
      </c>
    </row>
    <row r="110" spans="3:9" ht="12.75">
      <c r="C110" s="21" t="s">
        <v>52</v>
      </c>
      <c r="D110" s="21" t="s">
        <v>59</v>
      </c>
      <c r="E110" s="29">
        <v>368.027</v>
      </c>
      <c r="F110" s="27">
        <v>14.4</v>
      </c>
      <c r="G110" s="28">
        <f>E110*F110</f>
        <v>5299.5887999999995</v>
      </c>
      <c r="H110" s="22">
        <f>'Outside County'!H116</f>
        <v>14.826</v>
      </c>
      <c r="I110" s="28">
        <f>H110*E110</f>
        <v>5456.368302</v>
      </c>
    </row>
    <row r="111" spans="3:9" ht="12.75">
      <c r="C111" s="21" t="s">
        <v>53</v>
      </c>
      <c r="D111" s="21" t="s">
        <v>59</v>
      </c>
      <c r="E111" s="29">
        <v>34724.761</v>
      </c>
      <c r="F111" s="27">
        <v>12.2</v>
      </c>
      <c r="G111" s="28">
        <f>E111*F111</f>
        <v>423642.0842</v>
      </c>
      <c r="H111" s="22">
        <f>'Outside County'!H117</f>
        <v>12.561</v>
      </c>
      <c r="I111" s="28">
        <f>H111*E111</f>
        <v>436177.722921</v>
      </c>
    </row>
    <row r="112" spans="3:9" ht="12.75">
      <c r="C112" s="21" t="s">
        <v>55</v>
      </c>
      <c r="D112" s="21" t="s">
        <v>59</v>
      </c>
      <c r="E112" s="29">
        <v>237798.296</v>
      </c>
      <c r="F112" s="27">
        <v>6.7</v>
      </c>
      <c r="G112" s="28">
        <f>E112*F112</f>
        <v>1593248.5832</v>
      </c>
      <c r="H112" s="22">
        <f>'Outside County'!H118</f>
        <v>6.898</v>
      </c>
      <c r="I112" s="28">
        <f>H112*E112</f>
        <v>1640332.645808</v>
      </c>
    </row>
    <row r="113" spans="2:9" ht="12.75">
      <c r="B113" s="21" t="s">
        <v>62</v>
      </c>
      <c r="D113" s="21"/>
      <c r="E113" s="29"/>
      <c r="F113" s="27"/>
      <c r="H113" s="22"/>
      <c r="I113" s="28"/>
    </row>
    <row r="114" spans="3:9" ht="12.75">
      <c r="C114" s="21" t="s">
        <v>48</v>
      </c>
      <c r="D114" s="21" t="s">
        <v>59</v>
      </c>
      <c r="E114" s="29"/>
      <c r="F114" s="27"/>
      <c r="G114" s="24"/>
      <c r="H114" s="22"/>
      <c r="I114" s="28"/>
    </row>
    <row r="115" spans="3:9" ht="12.75">
      <c r="C115" s="21" t="s">
        <v>49</v>
      </c>
      <c r="D115" s="21" t="s">
        <v>59</v>
      </c>
      <c r="E115" s="29"/>
      <c r="F115" s="27"/>
      <c r="G115" s="24"/>
      <c r="H115" s="22"/>
      <c r="I115" s="28"/>
    </row>
    <row r="116" spans="3:9" ht="12.75">
      <c r="C116" s="21" t="s">
        <v>51</v>
      </c>
      <c r="D116" s="21" t="s">
        <v>59</v>
      </c>
      <c r="E116" s="29">
        <v>28868.424</v>
      </c>
      <c r="F116" s="27">
        <v>26.95</v>
      </c>
      <c r="G116" s="28">
        <f>E116*F116</f>
        <v>778004.0268</v>
      </c>
      <c r="H116" s="22">
        <f>'Outside County'!H122</f>
        <v>27.748</v>
      </c>
      <c r="I116" s="28">
        <f>H116*E116</f>
        <v>801041.029152</v>
      </c>
    </row>
    <row r="117" spans="3:9" ht="12.75">
      <c r="C117" s="21" t="s">
        <v>52</v>
      </c>
      <c r="D117" s="21" t="s">
        <v>59</v>
      </c>
      <c r="E117" s="29">
        <v>0.748</v>
      </c>
      <c r="F117" s="27">
        <v>17.5</v>
      </c>
      <c r="G117" s="28">
        <f>E117*F117</f>
        <v>13.09</v>
      </c>
      <c r="H117" s="22">
        <f>'Outside County'!H123</f>
        <v>18.018</v>
      </c>
      <c r="I117" s="28">
        <f>H117*E117</f>
        <v>13.477464000000001</v>
      </c>
    </row>
    <row r="118" spans="3:9" ht="12.75">
      <c r="C118" s="21" t="s">
        <v>53</v>
      </c>
      <c r="D118" s="21" t="s">
        <v>59</v>
      </c>
      <c r="E118" s="29">
        <v>13476.606</v>
      </c>
      <c r="F118" s="27">
        <v>15.5</v>
      </c>
      <c r="G118" s="28">
        <f>E118*F118</f>
        <v>208887.39299999998</v>
      </c>
      <c r="H118" s="22">
        <f>'Outside County'!H124</f>
        <v>15.959</v>
      </c>
      <c r="I118" s="28">
        <f>H118*E118</f>
        <v>215073.15515399998</v>
      </c>
    </row>
    <row r="119" spans="3:9" ht="12.75">
      <c r="C119" s="21" t="s">
        <v>55</v>
      </c>
      <c r="D119" s="21" t="s">
        <v>59</v>
      </c>
      <c r="E119" s="29">
        <v>134366.857</v>
      </c>
      <c r="F119" s="27">
        <v>8</v>
      </c>
      <c r="G119" s="28">
        <f>E119*F119</f>
        <v>1074934.856</v>
      </c>
      <c r="H119" s="22">
        <f>'Outside County'!H125</f>
        <v>8.237</v>
      </c>
      <c r="I119" s="28">
        <f>H119*E119</f>
        <v>1106779.8011089999</v>
      </c>
    </row>
    <row r="120" spans="3:9" ht="12.75">
      <c r="C120" s="21" t="s">
        <v>57</v>
      </c>
      <c r="D120" s="21" t="s">
        <v>59</v>
      </c>
      <c r="E120" s="29">
        <v>2916.639</v>
      </c>
      <c r="F120" s="27">
        <v>1.2</v>
      </c>
      <c r="G120" s="28">
        <f>E120*F120</f>
        <v>3499.9668</v>
      </c>
      <c r="H120" s="22">
        <f>'Outside County'!H126</f>
        <v>1.236</v>
      </c>
      <c r="I120" s="28">
        <f>H120*E120</f>
        <v>3604.965804</v>
      </c>
    </row>
    <row r="121" spans="3:9" ht="12.75">
      <c r="C121" s="21" t="s">
        <v>129</v>
      </c>
      <c r="E121" s="29">
        <f>SUM(E6:E15,E17:E20)</f>
        <v>507383532.99999994</v>
      </c>
      <c r="F121" s="27"/>
      <c r="G121" s="28">
        <f>SUM(G6:G15,G17:G20)</f>
        <v>100754647.96350664</v>
      </c>
      <c r="H121" s="30"/>
      <c r="I121" s="28">
        <f>SUM(I6:I15,I17:I20)</f>
        <v>103680746.9624958</v>
      </c>
    </row>
    <row r="122" spans="3:9" ht="12.75">
      <c r="C122" s="21" t="s">
        <v>130</v>
      </c>
      <c r="E122" s="29">
        <f>SUM(E23:E27,E29:E33,E35:E39,E41:E45,E47:E50)</f>
        <v>1783471677.9999998</v>
      </c>
      <c r="F122" s="27"/>
      <c r="G122" s="28">
        <f>SUM(G23:G27,G29:G33,G35:G39,G41:G45,G47:G51)</f>
        <v>257148626.53534403</v>
      </c>
      <c r="H122" s="30"/>
      <c r="I122" s="28">
        <f>SUM(I23:I27,I29:I33,I35:I39,I41:I45,I47:I51)</f>
        <v>264342394.33314532</v>
      </c>
    </row>
    <row r="123" spans="3:9" ht="12.75">
      <c r="C123" s="21" t="s">
        <v>131</v>
      </c>
      <c r="E123" s="29">
        <f>SUM(E54:E58,E60:E64,E66:E69,E71:E73)</f>
        <v>116776913.96200001</v>
      </c>
      <c r="F123" s="27"/>
      <c r="G123" s="28">
        <f>SUM(G54:G58,G60:G64,G66:G69,G71:G73)</f>
        <v>9195853.10059</v>
      </c>
      <c r="H123" s="30"/>
      <c r="I123" s="28">
        <f>SUM(I54:I58,I60:I64,I66:I69,I71:I73)</f>
        <v>9462582.422138</v>
      </c>
    </row>
    <row r="124" spans="3:9" ht="12.75">
      <c r="C124" s="21" t="s">
        <v>132</v>
      </c>
      <c r="E124" s="29">
        <f>SUM(E76:E77,E79:E83,E85:E90,E92:E98)</f>
        <v>6926512.284000002</v>
      </c>
      <c r="F124" s="27"/>
      <c r="G124" s="28">
        <f>SUM(G76:G77,G79:G83,G85:G90,G92:G98)</f>
        <v>11127630.536399998</v>
      </c>
      <c r="H124" s="30"/>
      <c r="I124" s="28">
        <f>SUM(I76:I77,I79:I83,I85:I90,I92:I98)</f>
        <v>11455849.701757</v>
      </c>
    </row>
    <row r="125" spans="3:9" ht="12.75">
      <c r="C125" s="21" t="s">
        <v>133</v>
      </c>
      <c r="E125" s="29">
        <f>SUM(E101:E105,E107:E112,E114:E120)</f>
        <v>724154.0179999999</v>
      </c>
      <c r="F125" s="27"/>
      <c r="G125" s="28">
        <f>SUM(G101:G105,G107:G112,G114:G120)</f>
        <v>8679548.674240002</v>
      </c>
      <c r="H125" s="30"/>
      <c r="I125" s="28">
        <f>SUM(I101:I105,I107:I112,I114:I120)</f>
        <v>8936382.739988</v>
      </c>
    </row>
    <row r="126" spans="3:9" ht="12.75">
      <c r="C126" s="21" t="s">
        <v>63</v>
      </c>
      <c r="E126" s="29"/>
      <c r="F126" s="27"/>
      <c r="G126" s="26">
        <f>SUM(G121:G125)</f>
        <v>386906306.8100807</v>
      </c>
      <c r="I126" s="26">
        <f>SUM(I121:I125)</f>
        <v>397877956.1595241</v>
      </c>
    </row>
    <row r="127" spans="3:9" ht="12.75">
      <c r="C127" s="21" t="s">
        <v>64</v>
      </c>
      <c r="E127" s="29">
        <v>10494862.633855913</v>
      </c>
      <c r="F127" s="27">
        <v>0.155</v>
      </c>
      <c r="G127" s="28">
        <f>E127*F127</f>
        <v>1626703.7082476665</v>
      </c>
      <c r="H127">
        <f>'Outside County'!H133</f>
        <v>0.159</v>
      </c>
      <c r="I127" s="28">
        <f>H127*E127</f>
        <v>1668683.15878309</v>
      </c>
    </row>
    <row r="128" spans="3:9" ht="12.75">
      <c r="C128" s="21" t="s">
        <v>65</v>
      </c>
      <c r="E128" s="29">
        <v>133281</v>
      </c>
      <c r="F128" s="27">
        <v>0.015</v>
      </c>
      <c r="G128" s="28">
        <f>E128*F128</f>
        <v>1999.215</v>
      </c>
      <c r="H128">
        <f>'Outside County'!H134</f>
        <v>0.015</v>
      </c>
      <c r="I128" s="28">
        <f>H128*E128</f>
        <v>1999.215</v>
      </c>
    </row>
    <row r="129" spans="3:9" ht="13.5" thickBot="1">
      <c r="C129" s="21" t="s">
        <v>134</v>
      </c>
      <c r="G129" s="28">
        <f>0.05*SUM(G17:G20,G23:G27,G29:G33,G35:G39,G41:G45,G47:G51,G54:G58,G60:G64,G66:G69,G71:G73,G76:G77,G81:G83,G87:G90,G94:G98,G103:G105,G109:G112,G116:G120)</f>
        <v>17728301.322971955</v>
      </c>
      <c r="I129" s="28">
        <f>0.05*SUM(I17:I20,I23:I27,I29:I33,I35:I39,I41:I45,I47:I51,I54:I58,I60:I64,I66:I69,I71:I73,I76:I77,I81:I83,I87:I90,I94:I98,I103:I105,I109:I112,I116:I120)</f>
        <v>18230136.468953073</v>
      </c>
    </row>
    <row r="130" spans="3:10" ht="13.5" thickTop="1">
      <c r="C130" s="21" t="s">
        <v>66</v>
      </c>
      <c r="E130" s="29"/>
      <c r="F130" s="27"/>
      <c r="G130" s="26">
        <f>G126+G127+G128-G129</f>
        <v>370806708.4103564</v>
      </c>
      <c r="I130" s="26">
        <f>I126+I127+I128-I129</f>
        <v>381318502.06435406</v>
      </c>
      <c r="J130" s="44" t="s">
        <v>212</v>
      </c>
    </row>
    <row r="131" spans="1:10" ht="13.5" thickBot="1">
      <c r="A131" s="54"/>
      <c r="B131" s="54"/>
      <c r="C131" s="43" t="s">
        <v>211</v>
      </c>
      <c r="E131" s="29"/>
      <c r="F131" s="27"/>
      <c r="G131" s="49">
        <f>G130/$E$122</f>
        <v>0.20791286622851346</v>
      </c>
      <c r="H131" s="54"/>
      <c r="I131" s="49">
        <f>I130/$E$122</f>
        <v>0.21380687272363522</v>
      </c>
      <c r="J131" s="55">
        <f>(I131/G131)-1</f>
        <v>0.028348445202249994</v>
      </c>
    </row>
    <row r="132" spans="5:9" ht="13.5" thickTop="1">
      <c r="E132" s="29"/>
      <c r="F132" s="27"/>
      <c r="I132" s="28"/>
    </row>
    <row r="133" spans="5:9" ht="12.75">
      <c r="E133" s="29"/>
      <c r="F133" s="27"/>
      <c r="I133" s="28"/>
    </row>
    <row r="134" spans="5:9" ht="12.75">
      <c r="E134" s="29"/>
      <c r="F134" s="27"/>
      <c r="I134" s="28"/>
    </row>
    <row r="135" spans="5:9" ht="12.75">
      <c r="E135" s="29"/>
      <c r="F135" s="27"/>
      <c r="I135" s="28"/>
    </row>
    <row r="136" spans="5:9" ht="12.75">
      <c r="E136" s="29"/>
      <c r="F136" s="27"/>
      <c r="I136" s="28"/>
    </row>
    <row r="137" spans="5:9" ht="12.75">
      <c r="E137" s="29"/>
      <c r="F137" s="27"/>
      <c r="I137" s="28"/>
    </row>
    <row r="138" spans="5:9" ht="12.75">
      <c r="E138" s="29"/>
      <c r="F138" s="27"/>
      <c r="I138" s="28"/>
    </row>
    <row r="139" spans="5:9" ht="12.75">
      <c r="E139" s="29"/>
      <c r="F139" s="27"/>
      <c r="I139" s="28"/>
    </row>
    <row r="140" spans="5:9" ht="12.75">
      <c r="E140" s="29"/>
      <c r="F140" s="27"/>
      <c r="I140" s="28"/>
    </row>
    <row r="141" spans="5:9" ht="12.75">
      <c r="E141" s="29"/>
      <c r="F141" s="27"/>
      <c r="I141" s="28"/>
    </row>
    <row r="142" spans="5:9" ht="12.75">
      <c r="E142" s="29"/>
      <c r="F142" s="27"/>
      <c r="I142" s="28"/>
    </row>
    <row r="143" spans="5:9" ht="12.75">
      <c r="E143" s="29"/>
      <c r="F143" s="27"/>
      <c r="I143" s="28"/>
    </row>
    <row r="144" spans="5:9" ht="12.75">
      <c r="E144" s="29"/>
      <c r="F144" s="27"/>
      <c r="I144" s="28"/>
    </row>
    <row r="145" spans="5:9" ht="12.75">
      <c r="E145" s="29"/>
      <c r="F145" s="27"/>
      <c r="I145" s="28"/>
    </row>
    <row r="146" spans="5:6" ht="12.75">
      <c r="E146" s="29"/>
      <c r="F146" s="27"/>
    </row>
    <row r="147" spans="5:6" ht="12.75">
      <c r="E147" s="29"/>
      <c r="F147" s="27"/>
    </row>
    <row r="148" spans="5:6" ht="12.75">
      <c r="E148" s="29"/>
      <c r="F148" s="27"/>
    </row>
    <row r="149" spans="5:6" ht="12.75">
      <c r="E149" s="29"/>
      <c r="F149" s="27"/>
    </row>
    <row r="150" spans="5:6" ht="12.75">
      <c r="E150" s="29"/>
      <c r="F150" s="27"/>
    </row>
    <row r="151" spans="5:6" ht="12.75">
      <c r="E151" s="29"/>
      <c r="F151" s="27"/>
    </row>
    <row r="152" spans="5:6" ht="12.75">
      <c r="E152" s="29"/>
      <c r="F152" s="27"/>
    </row>
    <row r="153" spans="5:6" ht="12.75">
      <c r="E153" s="29"/>
      <c r="F153" s="27"/>
    </row>
    <row r="154" spans="5:6" ht="12.75">
      <c r="E154" s="29"/>
      <c r="F154" s="27"/>
    </row>
    <row r="155" spans="5:6" ht="12.75">
      <c r="E155" s="29"/>
      <c r="F155" s="27"/>
    </row>
    <row r="156" spans="5:6" ht="12.75">
      <c r="E156" s="29"/>
      <c r="F156" s="27"/>
    </row>
    <row r="157" spans="5:6" ht="12.75">
      <c r="E157" s="29"/>
      <c r="F157" s="27"/>
    </row>
    <row r="158" spans="5:6" ht="12.75">
      <c r="E158" s="29"/>
      <c r="F158" s="27"/>
    </row>
    <row r="159" spans="5:6" ht="12.75">
      <c r="E159" s="29"/>
      <c r="F159" s="27"/>
    </row>
    <row r="160" spans="5:6" ht="12.75">
      <c r="E160" s="29"/>
      <c r="F160" s="27"/>
    </row>
    <row r="161" spans="5:6" ht="12.75">
      <c r="E161" s="29"/>
      <c r="F161" s="27"/>
    </row>
    <row r="162" spans="5:6" ht="12.75">
      <c r="E162" s="29"/>
      <c r="F162" s="27"/>
    </row>
    <row r="163" spans="5:6" ht="12.75">
      <c r="E163" s="29"/>
      <c r="F163" s="27"/>
    </row>
    <row r="164" spans="5:6" ht="12.75">
      <c r="E164" s="29"/>
      <c r="F164" s="27"/>
    </row>
    <row r="165" spans="5:6" ht="12.75">
      <c r="E165" s="29"/>
      <c r="F165" s="27"/>
    </row>
    <row r="166" spans="5:6" ht="12.75">
      <c r="E166" s="29"/>
      <c r="F166" s="27"/>
    </row>
    <row r="167" spans="5:6" ht="12.75">
      <c r="E167" s="29"/>
      <c r="F167" s="27"/>
    </row>
    <row r="168" spans="5:6" ht="12.75">
      <c r="E168" s="29"/>
      <c r="F168" s="27"/>
    </row>
    <row r="169" spans="5:6" ht="12.75">
      <c r="E169" s="29"/>
      <c r="F169" s="27"/>
    </row>
    <row r="170" spans="5:6" ht="12.75">
      <c r="E170" s="29"/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  <row r="191" ht="12.75">
      <c r="F191" s="27"/>
    </row>
    <row r="192" ht="12.75">
      <c r="F192" s="27"/>
    </row>
    <row r="193" ht="12.75">
      <c r="F193" s="27"/>
    </row>
    <row r="194" ht="12.75">
      <c r="F194" s="27"/>
    </row>
    <row r="195" ht="12.75">
      <c r="F195" s="27"/>
    </row>
    <row r="196" ht="12.75">
      <c r="F196" s="27"/>
    </row>
    <row r="197" ht="12.75">
      <c r="F197" s="27"/>
    </row>
    <row r="198" ht="12.75">
      <c r="F198" s="27"/>
    </row>
    <row r="199" ht="12.75">
      <c r="F199" s="27"/>
    </row>
    <row r="200" ht="12.75"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  <row r="254" ht="12.75">
      <c r="F254" s="27"/>
    </row>
    <row r="255" ht="12.75">
      <c r="F255" s="27"/>
    </row>
    <row r="256" ht="12.75">
      <c r="F256" s="27"/>
    </row>
    <row r="257" ht="12.75">
      <c r="F257" s="27"/>
    </row>
    <row r="258" ht="12.75">
      <c r="F258" s="27"/>
    </row>
    <row r="259" ht="12.75">
      <c r="F259" s="27"/>
    </row>
    <row r="260" ht="12.75">
      <c r="F260" s="27"/>
    </row>
    <row r="261" ht="12.75">
      <c r="F261" s="27"/>
    </row>
    <row r="262" ht="12.75">
      <c r="F262" s="27"/>
    </row>
    <row r="263" ht="12.75">
      <c r="F263" s="27"/>
    </row>
    <row r="264" ht="12.75">
      <c r="F264" s="27"/>
    </row>
    <row r="265" ht="12.75">
      <c r="F265" s="27"/>
    </row>
    <row r="266" ht="12.75">
      <c r="F266" s="27"/>
    </row>
    <row r="267" ht="12.75">
      <c r="F267" s="27"/>
    </row>
    <row r="268" ht="12.75">
      <c r="F268" s="27"/>
    </row>
    <row r="269" ht="12.75">
      <c r="F269" s="27"/>
    </row>
    <row r="270" ht="12.75">
      <c r="F270" s="27"/>
    </row>
    <row r="271" ht="12.75">
      <c r="F271" s="27"/>
    </row>
    <row r="272" ht="12.75">
      <c r="F272" s="27"/>
    </row>
    <row r="273" ht="12.75">
      <c r="F273" s="27"/>
    </row>
    <row r="274" ht="12.75">
      <c r="F274" s="27"/>
    </row>
    <row r="275" ht="12.75">
      <c r="F275" s="27"/>
    </row>
    <row r="276" ht="12.75">
      <c r="F276" s="27"/>
    </row>
  </sheetData>
  <printOptions/>
  <pageMargins left="0.75" right="0.5" top="0.75" bottom="0.5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6"/>
  <sheetViews>
    <sheetView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4.140625" style="0" customWidth="1"/>
    <col min="3" max="3" width="33.421875" style="0" customWidth="1"/>
    <col min="4" max="4" width="10.7109375" style="0" customWidth="1"/>
    <col min="5" max="5" width="12.28125" style="0" bestFit="1" customWidth="1"/>
    <col min="6" max="6" width="9.28125" style="0" bestFit="1" customWidth="1"/>
    <col min="7" max="7" width="14.7109375" style="0" customWidth="1"/>
    <col min="8" max="8" width="11.57421875" style="0" customWidth="1"/>
    <col min="9" max="9" width="13.140625" style="0" customWidth="1"/>
    <col min="10" max="10" width="10.57421875" style="0" customWidth="1"/>
  </cols>
  <sheetData>
    <row r="1" ht="12.75">
      <c r="A1" s="40" t="s">
        <v>69</v>
      </c>
    </row>
    <row r="3" spans="1:9" ht="25.5">
      <c r="A3" s="23" t="s">
        <v>0</v>
      </c>
      <c r="B3" s="21"/>
      <c r="C3" s="40"/>
      <c r="D3" s="23" t="s">
        <v>1</v>
      </c>
      <c r="E3" s="39" t="s">
        <v>197</v>
      </c>
      <c r="F3" s="39" t="s">
        <v>206</v>
      </c>
      <c r="G3" s="39" t="s">
        <v>208</v>
      </c>
      <c r="H3" s="39" t="s">
        <v>207</v>
      </c>
      <c r="I3" s="39" t="s">
        <v>209</v>
      </c>
    </row>
    <row r="4" spans="1:4" ht="12.75">
      <c r="A4" s="21" t="s">
        <v>214</v>
      </c>
      <c r="B4" s="21"/>
      <c r="D4" s="21"/>
    </row>
    <row r="5" spans="2:4" ht="12.75">
      <c r="B5" s="21" t="s">
        <v>3</v>
      </c>
      <c r="D5" s="21"/>
    </row>
    <row r="6" spans="3:10" ht="12.75">
      <c r="C6" s="21" t="s">
        <v>5</v>
      </c>
      <c r="D6" s="21" t="s">
        <v>4</v>
      </c>
      <c r="E6" s="13">
        <f>'Adjusted Data'!G6</f>
        <v>1197.735549194815</v>
      </c>
      <c r="F6" s="27">
        <v>0.16</v>
      </c>
      <c r="G6" s="28">
        <f aca="true" t="shared" si="0" ref="G6:G15">E6*F6</f>
        <v>191.63768787117039</v>
      </c>
      <c r="H6" s="27">
        <f>Nonprofit!H6</f>
        <v>0.165</v>
      </c>
      <c r="I6" s="25">
        <f>H6*E6</f>
        <v>197.62636561714447</v>
      </c>
      <c r="J6" s="13"/>
    </row>
    <row r="7" spans="3:10" ht="12.75">
      <c r="C7" s="21" t="s">
        <v>6</v>
      </c>
      <c r="D7" s="21" t="s">
        <v>4</v>
      </c>
      <c r="E7" s="13">
        <f>'Adjusted Data'!G7</f>
        <v>1288873.3260909722</v>
      </c>
      <c r="F7" s="27">
        <v>0.209</v>
      </c>
      <c r="G7" s="28">
        <f t="shared" si="0"/>
        <v>269374.5251530132</v>
      </c>
      <c r="H7" s="27">
        <f>Nonprofit!H7</f>
        <v>0.215</v>
      </c>
      <c r="I7" s="25">
        <f aca="true" t="shared" si="1" ref="I7:I15">H7*E7</f>
        <v>277107.765109559</v>
      </c>
      <c r="J7" s="13"/>
    </row>
    <row r="8" spans="3:10" ht="12.75">
      <c r="C8" s="21" t="s">
        <v>7</v>
      </c>
      <c r="D8" s="21" t="s">
        <v>4</v>
      </c>
      <c r="E8" s="13">
        <f>'Adjusted Data'!G8</f>
        <v>221325.53075414174</v>
      </c>
      <c r="F8" s="27">
        <v>0.219</v>
      </c>
      <c r="G8" s="28">
        <f t="shared" si="0"/>
        <v>48470.29123515704</v>
      </c>
      <c r="H8" s="27">
        <f>Nonprofit!H8</f>
        <v>0.225</v>
      </c>
      <c r="I8" s="25">
        <f t="shared" si="1"/>
        <v>49798.24441968189</v>
      </c>
      <c r="J8" s="13"/>
    </row>
    <row r="9" spans="3:10" ht="12.75">
      <c r="C9" s="21" t="s">
        <v>8</v>
      </c>
      <c r="D9" s="21" t="s">
        <v>4</v>
      </c>
      <c r="E9" s="13">
        <f>'Adjusted Data'!G9</f>
        <v>134364.6856982564</v>
      </c>
      <c r="F9" s="27">
        <v>0.239</v>
      </c>
      <c r="G9" s="28">
        <f t="shared" si="0"/>
        <v>32113.159881883275</v>
      </c>
      <c r="H9" s="27">
        <f>Nonprofit!H9</f>
        <v>0.246</v>
      </c>
      <c r="I9" s="25">
        <f t="shared" si="1"/>
        <v>33053.712681771074</v>
      </c>
      <c r="J9" s="13"/>
    </row>
    <row r="10" spans="3:10" ht="12.75">
      <c r="C10" s="21" t="s">
        <v>9</v>
      </c>
      <c r="D10" s="21" t="s">
        <v>4</v>
      </c>
      <c r="E10" s="13">
        <f>'Adjusted Data'!G10</f>
        <v>238988.8088489014</v>
      </c>
      <c r="F10" s="27">
        <v>0.257</v>
      </c>
      <c r="G10" s="28">
        <f t="shared" si="0"/>
        <v>61420.12387416766</v>
      </c>
      <c r="H10" s="27">
        <f>Nonprofit!H10</f>
        <v>0.265</v>
      </c>
      <c r="I10" s="25">
        <f t="shared" si="1"/>
        <v>63332.03434495887</v>
      </c>
      <c r="J10" s="13"/>
    </row>
    <row r="11" spans="3:10" ht="12.75">
      <c r="C11" s="21" t="s">
        <v>10</v>
      </c>
      <c r="D11" s="21" t="s">
        <v>4</v>
      </c>
      <c r="E11" s="13">
        <f>'Adjusted Data'!G11</f>
        <v>454113.8154444433</v>
      </c>
      <c r="F11" s="27">
        <v>0.303</v>
      </c>
      <c r="G11" s="28">
        <f t="shared" si="0"/>
        <v>137596.48607966633</v>
      </c>
      <c r="H11" s="27">
        <f>Nonprofit!H11</f>
        <v>0.312</v>
      </c>
      <c r="I11" s="25">
        <f t="shared" si="1"/>
        <v>141683.51041866632</v>
      </c>
      <c r="J11" s="13"/>
    </row>
    <row r="12" spans="3:10" ht="12.75">
      <c r="C12" s="21" t="s">
        <v>11</v>
      </c>
      <c r="D12" s="21" t="s">
        <v>4</v>
      </c>
      <c r="E12" s="13">
        <f>'Adjusted Data'!G12</f>
        <v>436710.02041909564</v>
      </c>
      <c r="F12" s="27">
        <v>0.372</v>
      </c>
      <c r="G12" s="28">
        <f t="shared" si="0"/>
        <v>162456.12759590358</v>
      </c>
      <c r="H12" s="27">
        <f>Nonprofit!H12</f>
        <v>0.383</v>
      </c>
      <c r="I12" s="25">
        <f t="shared" si="1"/>
        <v>167259.93782051365</v>
      </c>
      <c r="J12" s="13"/>
    </row>
    <row r="13" spans="3:10" ht="12.75">
      <c r="C13" s="21" t="s">
        <v>12</v>
      </c>
      <c r="D13" s="21" t="s">
        <v>4</v>
      </c>
      <c r="E13" s="13">
        <f>'Adjusted Data'!G13</f>
        <v>94535.75478603096</v>
      </c>
      <c r="F13" s="27">
        <v>0.446</v>
      </c>
      <c r="G13" s="28">
        <f t="shared" si="0"/>
        <v>42162.94663456981</v>
      </c>
      <c r="H13" s="27">
        <f>Nonprofit!H13</f>
        <v>0.459</v>
      </c>
      <c r="I13" s="25">
        <f t="shared" si="1"/>
        <v>43391.91144678821</v>
      </c>
      <c r="J13" s="13"/>
    </row>
    <row r="14" spans="3:10" ht="12.75">
      <c r="C14" s="21" t="s">
        <v>13</v>
      </c>
      <c r="D14" s="21" t="s">
        <v>4</v>
      </c>
      <c r="E14" s="13">
        <f>'Adjusted Data'!G14</f>
        <v>82280.21196254657</v>
      </c>
      <c r="F14" s="27">
        <v>0.534</v>
      </c>
      <c r="G14" s="28">
        <f t="shared" si="0"/>
        <v>43937.63318799987</v>
      </c>
      <c r="H14" s="27">
        <f>Nonprofit!H14</f>
        <v>0.55</v>
      </c>
      <c r="I14" s="25">
        <f t="shared" si="1"/>
        <v>45254.116579400616</v>
      </c>
      <c r="J14" s="13"/>
    </row>
    <row r="15" spans="3:10" ht="12.75">
      <c r="C15" s="21" t="s">
        <v>14</v>
      </c>
      <c r="D15" s="21" t="s">
        <v>4</v>
      </c>
      <c r="E15" s="13">
        <f>'Adjusted Data'!G15</f>
        <v>117791.58484627644</v>
      </c>
      <c r="F15" s="27">
        <v>0.61</v>
      </c>
      <c r="G15" s="28">
        <f t="shared" si="0"/>
        <v>71852.86675622863</v>
      </c>
      <c r="H15" s="27">
        <f>Nonprofit!H15</f>
        <v>0.628</v>
      </c>
      <c r="I15" s="25">
        <f t="shared" si="1"/>
        <v>73973.11528346161</v>
      </c>
      <c r="J15" s="13"/>
    </row>
    <row r="16" spans="2:8" ht="12.75">
      <c r="B16" s="21" t="s">
        <v>15</v>
      </c>
      <c r="D16" s="21"/>
      <c r="F16" s="27"/>
      <c r="H16" s="27"/>
    </row>
    <row r="17" spans="3:9" ht="12.75">
      <c r="C17" s="21" t="s">
        <v>5</v>
      </c>
      <c r="D17" s="21" t="s">
        <v>4</v>
      </c>
      <c r="E17" s="13">
        <f>'Adjusted Data'!G17</f>
        <v>175464.67623873774</v>
      </c>
      <c r="F17" s="27">
        <v>0.133</v>
      </c>
      <c r="G17" s="28">
        <f>E17*F17</f>
        <v>23336.80193975212</v>
      </c>
      <c r="H17" s="27">
        <f>Nonprofit!H17</f>
        <v>0.137</v>
      </c>
      <c r="I17" s="25">
        <f>H17*E17</f>
        <v>24038.660644707074</v>
      </c>
    </row>
    <row r="18" spans="3:10" ht="12.75">
      <c r="C18" s="21" t="s">
        <v>6</v>
      </c>
      <c r="D18" s="21" t="s">
        <v>4</v>
      </c>
      <c r="E18" s="13">
        <f>'Adjusted Data'!G18</f>
        <v>13030268.157548312</v>
      </c>
      <c r="F18" s="27">
        <v>0.174</v>
      </c>
      <c r="G18" s="28">
        <f>E18*F18</f>
        <v>2267266.659413406</v>
      </c>
      <c r="H18" s="27">
        <f>Nonprofit!H18</f>
        <v>0.179</v>
      </c>
      <c r="I18" s="25">
        <f>H18*E18</f>
        <v>2332418.000201148</v>
      </c>
      <c r="J18" s="13"/>
    </row>
    <row r="19" spans="3:10" ht="12.75">
      <c r="C19" s="21" t="s">
        <v>7</v>
      </c>
      <c r="D19" s="21" t="s">
        <v>4</v>
      </c>
      <c r="E19" s="13">
        <f>'Adjusted Data'!G19</f>
        <v>2583486.265163711</v>
      </c>
      <c r="F19" s="27">
        <v>0.182</v>
      </c>
      <c r="G19" s="28">
        <f>E19*F19</f>
        <v>470194.50025979534</v>
      </c>
      <c r="H19" s="27">
        <f>Nonprofit!H19</f>
        <v>0.187</v>
      </c>
      <c r="I19" s="25">
        <f>H19*E19</f>
        <v>483111.93158561393</v>
      </c>
      <c r="J19" s="13"/>
    </row>
    <row r="20" spans="3:10" ht="12.75">
      <c r="C20" s="21" t="s">
        <v>16</v>
      </c>
      <c r="D20" s="21" t="s">
        <v>4</v>
      </c>
      <c r="E20" s="13">
        <f>'Adjusted Data'!G20</f>
        <v>10223329.426649375</v>
      </c>
      <c r="F20" s="27">
        <v>0.199</v>
      </c>
      <c r="G20" s="28">
        <f>E20*F20</f>
        <v>2034442.5559032257</v>
      </c>
      <c r="H20" s="27">
        <f>Nonprofit!H20</f>
        <v>0.205</v>
      </c>
      <c r="I20" s="25">
        <f>H20*E20</f>
        <v>2095782.5324631217</v>
      </c>
      <c r="J20" s="13"/>
    </row>
    <row r="21" spans="1:8" ht="12.75">
      <c r="A21" s="21" t="s">
        <v>17</v>
      </c>
      <c r="B21" s="21"/>
      <c r="D21" s="21"/>
      <c r="F21" s="27"/>
      <c r="H21" s="27"/>
    </row>
    <row r="22" spans="2:8" ht="12.75">
      <c r="B22" s="21" t="s">
        <v>19</v>
      </c>
      <c r="D22" s="21"/>
      <c r="F22" s="27"/>
      <c r="H22" s="27"/>
    </row>
    <row r="23" spans="3:9" ht="12.75">
      <c r="C23" s="21" t="s">
        <v>20</v>
      </c>
      <c r="D23" s="21" t="s">
        <v>18</v>
      </c>
      <c r="E23" s="29">
        <f>'Adjusted Data'!G23</f>
        <v>29872.525538241658</v>
      </c>
      <c r="F23" s="27">
        <v>0.534</v>
      </c>
      <c r="G23" s="28">
        <f>E23*F23</f>
        <v>15951.928637421046</v>
      </c>
      <c r="H23" s="27">
        <f>Nonprofit!H23</f>
        <v>0.55</v>
      </c>
      <c r="I23" s="25">
        <f>H23*E23</f>
        <v>16429.889046032913</v>
      </c>
    </row>
    <row r="24" spans="3:9" ht="12.75">
      <c r="C24" s="21" t="s">
        <v>21</v>
      </c>
      <c r="D24" s="21" t="s">
        <v>18</v>
      </c>
      <c r="E24" s="29">
        <f>'Adjusted Data'!G24</f>
        <v>126298.98647545344</v>
      </c>
      <c r="F24" s="27">
        <v>0.431</v>
      </c>
      <c r="G24" s="28">
        <f>E24*F24</f>
        <v>54434.86317092043</v>
      </c>
      <c r="H24" s="27">
        <f>Nonprofit!H24</f>
        <v>0.444</v>
      </c>
      <c r="I24" s="25">
        <f>H24*E24</f>
        <v>56076.74999510132</v>
      </c>
    </row>
    <row r="25" spans="3:9" ht="12.75">
      <c r="C25" s="21" t="s">
        <v>22</v>
      </c>
      <c r="D25" s="21" t="s">
        <v>18</v>
      </c>
      <c r="E25" s="29">
        <f>'Adjusted Data'!G25</f>
        <v>6808.058</v>
      </c>
      <c r="F25" s="27">
        <v>0.504</v>
      </c>
      <c r="G25" s="28">
        <f>E25*F25</f>
        <v>3431.261232</v>
      </c>
      <c r="H25" s="27">
        <f>Nonprofit!H25</f>
        <v>0.519</v>
      </c>
      <c r="I25" s="25">
        <f>H25*E25</f>
        <v>3533.382102</v>
      </c>
    </row>
    <row r="26" spans="3:9" ht="12.75">
      <c r="C26" s="21" t="s">
        <v>23</v>
      </c>
      <c r="D26" s="21" t="s">
        <v>18</v>
      </c>
      <c r="E26" s="29">
        <f>'Adjusted Data'!G26</f>
        <v>199775.211</v>
      </c>
      <c r="F26" s="27">
        <v>0.404</v>
      </c>
      <c r="G26" s="28">
        <f>E26*F26</f>
        <v>80709.18524400001</v>
      </c>
      <c r="H26" s="27">
        <f>Nonprofit!H26</f>
        <v>0.416</v>
      </c>
      <c r="I26" s="25">
        <f>H26*E26</f>
        <v>83106.487776</v>
      </c>
    </row>
    <row r="27" spans="3:9" ht="12.75">
      <c r="C27" s="21" t="s">
        <v>24</v>
      </c>
      <c r="D27" s="21" t="s">
        <v>18</v>
      </c>
      <c r="E27" s="29">
        <f>'Adjusted Data'!G27</f>
        <v>237947.86909439613</v>
      </c>
      <c r="F27" s="27">
        <v>0.327</v>
      </c>
      <c r="G27" s="28">
        <f>E27*F27</f>
        <v>77808.95319386754</v>
      </c>
      <c r="H27" s="27">
        <f>Nonprofit!H27</f>
        <v>0.337</v>
      </c>
      <c r="I27" s="25">
        <f>H27*E27</f>
        <v>80188.43188481149</v>
      </c>
    </row>
    <row r="28" spans="2:8" ht="12.75">
      <c r="B28" s="21" t="s">
        <v>25</v>
      </c>
      <c r="D28" s="21"/>
      <c r="E28" s="29"/>
      <c r="F28" s="27"/>
      <c r="H28" s="27"/>
    </row>
    <row r="29" spans="3:9" ht="12.75">
      <c r="C29" s="21" t="s">
        <v>20</v>
      </c>
      <c r="D29" s="21" t="s">
        <v>18</v>
      </c>
      <c r="E29" s="29">
        <f>'Adjusted Data'!G29</f>
        <v>56333.153204569164</v>
      </c>
      <c r="F29" s="27">
        <v>0.432</v>
      </c>
      <c r="G29" s="28">
        <f>E29*F29</f>
        <v>24335.922184373878</v>
      </c>
      <c r="H29" s="27">
        <f>Nonprofit!H29</f>
        <v>0.445</v>
      </c>
      <c r="I29" s="25">
        <f>H29*E29</f>
        <v>25068.25317603328</v>
      </c>
    </row>
    <row r="30" spans="3:9" ht="12.75">
      <c r="C30" s="21" t="s">
        <v>21</v>
      </c>
      <c r="D30" s="21" t="s">
        <v>18</v>
      </c>
      <c r="E30" s="29">
        <f>'Adjusted Data'!G30</f>
        <v>289152.99337125145</v>
      </c>
      <c r="F30" s="27">
        <v>0.37</v>
      </c>
      <c r="G30" s="28">
        <f>E30*F30</f>
        <v>106986.60754736303</v>
      </c>
      <c r="H30" s="27">
        <f>Nonprofit!H30</f>
        <v>0.381</v>
      </c>
      <c r="I30" s="25">
        <f>H30*E30</f>
        <v>110167.2904744468</v>
      </c>
    </row>
    <row r="31" spans="3:9" ht="12.75">
      <c r="C31" s="21" t="s">
        <v>22</v>
      </c>
      <c r="D31" s="21" t="s">
        <v>18</v>
      </c>
      <c r="E31" s="29">
        <f>'Adjusted Data'!G31</f>
        <v>35092.916</v>
      </c>
      <c r="F31" s="27">
        <v>0.412</v>
      </c>
      <c r="G31" s="28">
        <f>E31*F31</f>
        <v>14458.281391999999</v>
      </c>
      <c r="H31" s="27">
        <f>Nonprofit!H31</f>
        <v>0.424</v>
      </c>
      <c r="I31" s="25">
        <f>H31*E31</f>
        <v>14879.396383999998</v>
      </c>
    </row>
    <row r="32" spans="3:9" ht="12.75">
      <c r="C32" s="21" t="s">
        <v>23</v>
      </c>
      <c r="D32" s="21" t="s">
        <v>18</v>
      </c>
      <c r="E32" s="29">
        <f>'Adjusted Data'!G32</f>
        <v>717607.5730000001</v>
      </c>
      <c r="F32" s="27">
        <v>0.35</v>
      </c>
      <c r="G32" s="28">
        <f>E32*F32</f>
        <v>251162.65055000002</v>
      </c>
      <c r="H32" s="27">
        <f>Nonprofit!H32</f>
        <v>0.36</v>
      </c>
      <c r="I32" s="25">
        <f>H32*E32</f>
        <v>258338.72628000003</v>
      </c>
    </row>
    <row r="33" spans="3:9" ht="12.75">
      <c r="C33" s="21" t="s">
        <v>24</v>
      </c>
      <c r="D33" s="21" t="s">
        <v>18</v>
      </c>
      <c r="E33" s="29">
        <f>'Adjusted Data'!G33</f>
        <v>56319.67376771792</v>
      </c>
      <c r="F33" s="27">
        <v>0.289</v>
      </c>
      <c r="G33" s="28">
        <f>E33*F33</f>
        <v>16276.385718870477</v>
      </c>
      <c r="H33" s="27">
        <f>Nonprofit!H33</f>
        <v>0.298</v>
      </c>
      <c r="I33" s="25">
        <f>H33*E33</f>
        <v>16783.26278277994</v>
      </c>
    </row>
    <row r="34" spans="2:8" ht="12.75">
      <c r="B34" s="21" t="s">
        <v>26</v>
      </c>
      <c r="D34" s="21"/>
      <c r="E34" s="29"/>
      <c r="F34" s="27"/>
      <c r="H34" s="27"/>
    </row>
    <row r="35" spans="3:9" ht="12.75">
      <c r="C35" s="21" t="s">
        <v>20</v>
      </c>
      <c r="D35" s="21" t="s">
        <v>18</v>
      </c>
      <c r="E35" s="29">
        <f>'Adjusted Data'!G35</f>
        <v>73929.06464117851</v>
      </c>
      <c r="F35" s="27">
        <v>0.373</v>
      </c>
      <c r="G35" s="28">
        <f>E35*F35</f>
        <v>27575.541111159586</v>
      </c>
      <c r="H35" s="27">
        <f>Nonprofit!H35</f>
        <v>0.384</v>
      </c>
      <c r="I35" s="25">
        <f>H35*E35</f>
        <v>28388.76082221255</v>
      </c>
    </row>
    <row r="36" spans="3:9" ht="12.75">
      <c r="C36" s="21" t="s">
        <v>21</v>
      </c>
      <c r="D36" s="21" t="s">
        <v>18</v>
      </c>
      <c r="E36" s="29">
        <f>'Adjusted Data'!G36</f>
        <v>1605575.2835001897</v>
      </c>
      <c r="F36" s="27">
        <v>0.348</v>
      </c>
      <c r="G36" s="28">
        <f>E36*F36</f>
        <v>558740.198658066</v>
      </c>
      <c r="H36" s="27">
        <f>Nonprofit!H36</f>
        <v>0.358</v>
      </c>
      <c r="I36" s="25">
        <f>H36*E36</f>
        <v>574795.9514930679</v>
      </c>
    </row>
    <row r="37" spans="3:9" ht="12.75">
      <c r="C37" s="21" t="s">
        <v>22</v>
      </c>
      <c r="D37" s="21" t="s">
        <v>18</v>
      </c>
      <c r="E37" s="29">
        <f>'Adjusted Data'!G37</f>
        <v>301405.6709999999</v>
      </c>
      <c r="F37" s="27">
        <v>0.362</v>
      </c>
      <c r="G37" s="28">
        <f>E37*F37</f>
        <v>109108.85290199997</v>
      </c>
      <c r="H37" s="27">
        <f>Nonprofit!H37</f>
        <v>0.373</v>
      </c>
      <c r="I37" s="25">
        <f>H37*E37</f>
        <v>112424.31528299997</v>
      </c>
    </row>
    <row r="38" spans="3:9" ht="12.75">
      <c r="C38" s="21" t="s">
        <v>23</v>
      </c>
      <c r="D38" s="21" t="s">
        <v>18</v>
      </c>
      <c r="E38" s="29">
        <f>'Adjusted Data'!G38</f>
        <v>7372973.968</v>
      </c>
      <c r="F38" s="27">
        <v>0.331</v>
      </c>
      <c r="G38" s="28">
        <f>E38*F38</f>
        <v>2440454.383408</v>
      </c>
      <c r="H38" s="27">
        <f>Nonprofit!H38</f>
        <v>0.341</v>
      </c>
      <c r="I38" s="25">
        <f>H38*E38</f>
        <v>2514184.1230880003</v>
      </c>
    </row>
    <row r="39" spans="3:9" ht="12.75">
      <c r="C39" s="21" t="s">
        <v>24</v>
      </c>
      <c r="D39" s="21" t="s">
        <v>18</v>
      </c>
      <c r="E39" s="29">
        <f>'Adjusted Data'!G39</f>
        <v>340804.41739313724</v>
      </c>
      <c r="F39" s="27">
        <v>0.275</v>
      </c>
      <c r="G39" s="28">
        <f>E39*F39</f>
        <v>93721.21478311275</v>
      </c>
      <c r="H39" s="27">
        <f>Nonprofit!H39</f>
        <v>0.283</v>
      </c>
      <c r="I39" s="25">
        <f>H39*E39</f>
        <v>96447.65012225782</v>
      </c>
    </row>
    <row r="40" spans="2:8" ht="12.75">
      <c r="B40" s="21" t="s">
        <v>27</v>
      </c>
      <c r="D40" s="21"/>
      <c r="E40" s="29"/>
      <c r="F40" s="27"/>
      <c r="H40" s="27"/>
    </row>
    <row r="41" spans="3:9" ht="12.75">
      <c r="C41" s="21" t="s">
        <v>20</v>
      </c>
      <c r="D41" s="21" t="s">
        <v>18</v>
      </c>
      <c r="E41" s="29">
        <f>'Adjusted Data'!G41</f>
        <v>20410.473141334784</v>
      </c>
      <c r="F41" s="27">
        <v>0.289</v>
      </c>
      <c r="G41" s="28">
        <f>E41*F41</f>
        <v>5898.626737845752</v>
      </c>
      <c r="H41" s="27">
        <f>Nonprofit!H41</f>
        <v>0.298</v>
      </c>
      <c r="I41" s="25">
        <f>H41*E41</f>
        <v>6082.320996117765</v>
      </c>
    </row>
    <row r="42" spans="3:9" ht="12.75">
      <c r="C42" s="21" t="s">
        <v>21</v>
      </c>
      <c r="D42" s="21" t="s">
        <v>18</v>
      </c>
      <c r="E42" s="29">
        <f>'Adjusted Data'!G42</f>
        <v>2142991.2158149933</v>
      </c>
      <c r="F42" s="27">
        <v>0.276</v>
      </c>
      <c r="G42" s="28">
        <f>E42*F42</f>
        <v>591465.5755649381</v>
      </c>
      <c r="H42" s="27">
        <f>Nonprofit!H42</f>
        <v>0.284</v>
      </c>
      <c r="I42" s="25">
        <f>H42*E42</f>
        <v>608609.505291458</v>
      </c>
    </row>
    <row r="43" spans="3:9" ht="12.75">
      <c r="C43" s="21" t="s">
        <v>22</v>
      </c>
      <c r="D43" s="21" t="s">
        <v>18</v>
      </c>
      <c r="E43" s="29">
        <f>'Adjusted Data'!G43</f>
        <v>43657.355</v>
      </c>
      <c r="F43" s="27">
        <v>0.285</v>
      </c>
      <c r="G43" s="28">
        <f>E43*F43</f>
        <v>12442.346175</v>
      </c>
      <c r="H43" s="27">
        <f>Nonprofit!H43</f>
        <v>0.293</v>
      </c>
      <c r="I43" s="25">
        <f>H43*E43</f>
        <v>12791.605015000001</v>
      </c>
    </row>
    <row r="44" spans="3:9" ht="12.75">
      <c r="C44" s="21" t="s">
        <v>23</v>
      </c>
      <c r="D44" s="21" t="s">
        <v>18</v>
      </c>
      <c r="E44" s="29">
        <f>'Adjusted Data'!G44</f>
        <v>17319995.452999994</v>
      </c>
      <c r="F44" s="27">
        <v>0.268</v>
      </c>
      <c r="G44" s="28">
        <f>E44*F44</f>
        <v>4641758.781403999</v>
      </c>
      <c r="H44" s="27">
        <f>Nonprofit!H44</f>
        <v>0.276</v>
      </c>
      <c r="I44" s="25">
        <f>H44*E44</f>
        <v>4780318.745027998</v>
      </c>
    </row>
    <row r="45" spans="3:9" ht="12.75">
      <c r="C45" s="21" t="s">
        <v>24</v>
      </c>
      <c r="D45" s="21" t="s">
        <v>18</v>
      </c>
      <c r="E45" s="29">
        <f>'Adjusted Data'!G45</f>
        <v>8959.50905754306</v>
      </c>
      <c r="F45" s="27">
        <v>0.211</v>
      </c>
      <c r="G45" s="28">
        <f>E45*F45</f>
        <v>1890.4564111415857</v>
      </c>
      <c r="H45" s="27">
        <f>Nonprofit!H45</f>
        <v>0.217</v>
      </c>
      <c r="I45" s="25">
        <f>H45*E45</f>
        <v>1944.2134654868441</v>
      </c>
    </row>
    <row r="46" spans="2:8" ht="12.75">
      <c r="B46" s="21" t="s">
        <v>28</v>
      </c>
      <c r="D46" s="21"/>
      <c r="E46" s="29"/>
      <c r="F46" s="27"/>
      <c r="H46" s="27"/>
    </row>
    <row r="47" spans="3:9" ht="12.75">
      <c r="C47" s="21" t="s">
        <v>29</v>
      </c>
      <c r="D47" s="21" t="s">
        <v>18</v>
      </c>
      <c r="E47" s="29">
        <f>'Adjusted Data'!G47</f>
        <v>18378201.324999996</v>
      </c>
      <c r="F47" s="27">
        <v>0.169</v>
      </c>
      <c r="G47" s="28">
        <f>E47*F47</f>
        <v>3105916.0239249994</v>
      </c>
      <c r="H47" s="27">
        <f>Nonprofit!H47</f>
        <v>0.174</v>
      </c>
      <c r="I47" s="25">
        <f>H47*E47</f>
        <v>3197807.030549999</v>
      </c>
    </row>
    <row r="48" spans="3:9" ht="12.75">
      <c r="C48" s="21" t="s">
        <v>30</v>
      </c>
      <c r="D48" s="21" t="s">
        <v>18</v>
      </c>
      <c r="E48" s="29">
        <f>'Adjusted Data'!G48</f>
        <v>0</v>
      </c>
      <c r="F48" s="27">
        <v>0.149</v>
      </c>
      <c r="G48" s="28">
        <f>E48*F48</f>
        <v>0</v>
      </c>
      <c r="H48" s="27">
        <f>Nonprofit!H48</f>
        <v>0.153</v>
      </c>
      <c r="I48" s="25">
        <f>H48*E48</f>
        <v>0</v>
      </c>
    </row>
    <row r="49" spans="3:9" ht="12.75">
      <c r="C49" s="21" t="s">
        <v>31</v>
      </c>
      <c r="D49" s="21" t="s">
        <v>18</v>
      </c>
      <c r="E49" s="29">
        <f>'Adjusted Data'!G49</f>
        <v>0</v>
      </c>
      <c r="F49" s="27">
        <v>0.131</v>
      </c>
      <c r="G49" s="28">
        <f>E49*F49</f>
        <v>0</v>
      </c>
      <c r="H49" s="27">
        <f>Nonprofit!H49</f>
        <v>0.135</v>
      </c>
      <c r="I49" s="25">
        <f>H49*E49</f>
        <v>0</v>
      </c>
    </row>
    <row r="50" spans="3:9" ht="12.75">
      <c r="C50" s="21" t="s">
        <v>32</v>
      </c>
      <c r="D50" s="21" t="s">
        <v>18</v>
      </c>
      <c r="E50" s="29">
        <f>'Adjusted Data'!G50</f>
        <v>6380140.305</v>
      </c>
      <c r="F50" s="27">
        <v>0.169</v>
      </c>
      <c r="G50" s="28">
        <f>E50*F50</f>
        <v>1078243.711545</v>
      </c>
      <c r="H50" s="27">
        <f>Nonprofit!H50</f>
        <v>0.174</v>
      </c>
      <c r="I50" s="25">
        <f>H50*E50</f>
        <v>1110144.4130699998</v>
      </c>
    </row>
    <row r="51" spans="3:9" ht="24.75" customHeight="1">
      <c r="C51" s="52" t="s">
        <v>213</v>
      </c>
      <c r="D51" s="21" t="s">
        <v>34</v>
      </c>
      <c r="E51" s="29">
        <f>'Adjusted Data'!G51</f>
        <v>52319361.86391167</v>
      </c>
      <c r="F51" s="27">
        <v>-0.091</v>
      </c>
      <c r="G51" s="28">
        <f>E51*F51</f>
        <v>-4761061.929615962</v>
      </c>
      <c r="H51" s="27">
        <f>Nonprofit!H51</f>
        <v>-0.094</v>
      </c>
      <c r="I51" s="25">
        <f>H51*E51</f>
        <v>-4918020.015207698</v>
      </c>
    </row>
    <row r="52" spans="1:8" ht="12.75">
      <c r="A52" s="21" t="s">
        <v>35</v>
      </c>
      <c r="D52" s="21"/>
      <c r="E52" s="29"/>
      <c r="F52" s="27"/>
      <c r="H52" s="27"/>
    </row>
    <row r="53" spans="2:8" ht="12.75">
      <c r="B53" s="21" t="s">
        <v>37</v>
      </c>
      <c r="D53" s="21"/>
      <c r="E53" s="29"/>
      <c r="F53" s="27"/>
      <c r="H53" s="27"/>
    </row>
    <row r="54" spans="3:9" ht="12.75">
      <c r="C54" s="21" t="s">
        <v>38</v>
      </c>
      <c r="D54" s="21" t="s">
        <v>36</v>
      </c>
      <c r="E54" s="29">
        <f>'Adjusted Data'!G54</f>
        <v>19963.597999999998</v>
      </c>
      <c r="F54" s="27">
        <v>0.1</v>
      </c>
      <c r="G54" s="28">
        <f>E54*F54</f>
        <v>1996.3598</v>
      </c>
      <c r="H54" s="27">
        <f>Nonprofit!H54</f>
        <v>0.103</v>
      </c>
      <c r="I54" s="25">
        <f>H54*E54</f>
        <v>2056.2505939999996</v>
      </c>
    </row>
    <row r="55" spans="3:9" ht="12.75">
      <c r="C55" s="21" t="s">
        <v>39</v>
      </c>
      <c r="D55" s="21" t="s">
        <v>36</v>
      </c>
      <c r="E55" s="29">
        <f>'Adjusted Data'!G55</f>
        <v>58662.35800000001</v>
      </c>
      <c r="F55" s="27">
        <v>0.129</v>
      </c>
      <c r="G55" s="28">
        <f>E55*F55</f>
        <v>7567.444182000001</v>
      </c>
      <c r="H55" s="27">
        <f>Nonprofit!H55</f>
        <v>0.133</v>
      </c>
      <c r="I55" s="25">
        <f>H55*E55</f>
        <v>7802.093614000001</v>
      </c>
    </row>
    <row r="56" spans="3:9" ht="12.75">
      <c r="C56" s="21" t="s">
        <v>40</v>
      </c>
      <c r="D56" s="21" t="s">
        <v>36</v>
      </c>
      <c r="E56" s="29">
        <f>'Adjusted Data'!G56</f>
        <v>83189.76900000001</v>
      </c>
      <c r="F56" s="27">
        <v>0.134</v>
      </c>
      <c r="G56" s="28">
        <f>E56*F56</f>
        <v>11147.429046000003</v>
      </c>
      <c r="H56" s="27">
        <f>Nonprofit!H56</f>
        <v>0.138</v>
      </c>
      <c r="I56" s="25">
        <f>H56*E56</f>
        <v>11480.188122000003</v>
      </c>
    </row>
    <row r="57" spans="3:9" ht="12.75">
      <c r="C57" s="21" t="s">
        <v>41</v>
      </c>
      <c r="D57" s="21" t="s">
        <v>36</v>
      </c>
      <c r="E57" s="29">
        <f>'Adjusted Data'!G57</f>
        <v>23874.138000000003</v>
      </c>
      <c r="F57" s="27">
        <v>0.161</v>
      </c>
      <c r="G57" s="28">
        <f>E57*F57</f>
        <v>3843.7362180000005</v>
      </c>
      <c r="H57" s="27">
        <f>Nonprofit!H57</f>
        <v>0.166</v>
      </c>
      <c r="I57" s="25">
        <f>H57*E57</f>
        <v>3963.1069080000007</v>
      </c>
    </row>
    <row r="58" spans="3:9" ht="12.75">
      <c r="C58" s="21" t="s">
        <v>32</v>
      </c>
      <c r="D58" s="21" t="s">
        <v>36</v>
      </c>
      <c r="E58" s="29">
        <f>'Adjusted Data'!G58</f>
        <v>419747.819</v>
      </c>
      <c r="F58" s="27">
        <v>0.079</v>
      </c>
      <c r="G58" s="28">
        <f>E58*F58</f>
        <v>33160.077701</v>
      </c>
      <c r="H58" s="27">
        <f>Nonprofit!H58</f>
        <v>0.081</v>
      </c>
      <c r="I58" s="25">
        <f>H58*E58</f>
        <v>33999.573339</v>
      </c>
    </row>
    <row r="59" spans="2:8" ht="12.75">
      <c r="B59" s="21" t="s">
        <v>42</v>
      </c>
      <c r="D59" s="21"/>
      <c r="E59" s="29"/>
      <c r="F59" s="27"/>
      <c r="H59" s="27"/>
    </row>
    <row r="60" spans="3:9" ht="12.75">
      <c r="C60" s="21" t="s">
        <v>39</v>
      </c>
      <c r="D60" s="21" t="s">
        <v>36</v>
      </c>
      <c r="E60" s="29">
        <f>'Adjusted Data'!G60</f>
        <v>40832.46599999999</v>
      </c>
      <c r="F60" s="27">
        <v>0.038</v>
      </c>
      <c r="G60" s="28">
        <f>E60*F60</f>
        <v>1551.6337079999996</v>
      </c>
      <c r="H60" s="27">
        <f>Nonprofit!H60</f>
        <v>0.039</v>
      </c>
      <c r="I60" s="25">
        <f>H60*E60</f>
        <v>1592.4661739999997</v>
      </c>
    </row>
    <row r="61" spans="3:9" ht="12.75">
      <c r="C61" s="21" t="s">
        <v>40</v>
      </c>
      <c r="D61" s="21" t="s">
        <v>36</v>
      </c>
      <c r="E61" s="29">
        <f>'Adjusted Data'!G61</f>
        <v>213067.83600000004</v>
      </c>
      <c r="F61" s="27">
        <v>0.063</v>
      </c>
      <c r="G61" s="28">
        <f>E61*F61</f>
        <v>13423.273668000003</v>
      </c>
      <c r="H61" s="27">
        <f>Nonprofit!H61</f>
        <v>0.065</v>
      </c>
      <c r="I61" s="25">
        <f>H61*E61</f>
        <v>13849.409340000004</v>
      </c>
    </row>
    <row r="62" spans="3:9" ht="12.75">
      <c r="C62" s="21" t="s">
        <v>41</v>
      </c>
      <c r="D62" s="21" t="s">
        <v>36</v>
      </c>
      <c r="E62" s="29">
        <f>'Adjusted Data'!G62</f>
        <v>523711.15100000007</v>
      </c>
      <c r="F62" s="27">
        <v>0.095</v>
      </c>
      <c r="G62" s="28">
        <f>E62*F62</f>
        <v>49752.55934500001</v>
      </c>
      <c r="H62" s="27">
        <f>Nonprofit!H62</f>
        <v>0.098</v>
      </c>
      <c r="I62" s="25">
        <f>H62*E62</f>
        <v>51323.69279800001</v>
      </c>
    </row>
    <row r="63" spans="3:9" ht="12.75">
      <c r="C63" s="21" t="s">
        <v>43</v>
      </c>
      <c r="D63" s="21" t="s">
        <v>36</v>
      </c>
      <c r="E63" s="29">
        <f>'Adjusted Data'!G63</f>
        <v>1455551.9770000002</v>
      </c>
      <c r="F63" s="27">
        <v>0.104</v>
      </c>
      <c r="G63" s="28">
        <f>E63*F63</f>
        <v>151377.405608</v>
      </c>
      <c r="H63" s="27">
        <f>Nonprofit!H63</f>
        <v>0.107</v>
      </c>
      <c r="I63" s="25">
        <f>H63*E63</f>
        <v>155744.06153900002</v>
      </c>
    </row>
    <row r="64" spans="3:9" ht="12.75">
      <c r="C64" s="21" t="s">
        <v>32</v>
      </c>
      <c r="D64" s="21" t="s">
        <v>36</v>
      </c>
      <c r="E64" s="29">
        <f>'Adjusted Data'!G64</f>
        <v>2114782.95</v>
      </c>
      <c r="F64" s="27">
        <v>0.048</v>
      </c>
      <c r="G64" s="28">
        <f>E64*F64</f>
        <v>101509.5816</v>
      </c>
      <c r="H64" s="27">
        <f>Nonprofit!H64</f>
        <v>0.049</v>
      </c>
      <c r="I64" s="25">
        <f>H64*E64</f>
        <v>103624.36455000001</v>
      </c>
    </row>
    <row r="65" spans="2:8" ht="12.75">
      <c r="B65" s="21" t="s">
        <v>44</v>
      </c>
      <c r="D65" s="21"/>
      <c r="E65" s="29"/>
      <c r="F65" s="27"/>
      <c r="H65" s="27"/>
    </row>
    <row r="66" spans="3:9" ht="12.75">
      <c r="C66" s="21" t="s">
        <v>40</v>
      </c>
      <c r="D66" s="21" t="s">
        <v>36</v>
      </c>
      <c r="E66" s="29">
        <f>'Adjusted Data'!G66</f>
        <v>300870.9720000001</v>
      </c>
      <c r="F66" s="27">
        <v>0.039</v>
      </c>
      <c r="G66" s="28">
        <f>E66*F66</f>
        <v>11733.967908000004</v>
      </c>
      <c r="H66" s="27">
        <f>Nonprofit!H66</f>
        <v>0.04</v>
      </c>
      <c r="I66" s="25">
        <f>H66*E66</f>
        <v>12034.838880000005</v>
      </c>
    </row>
    <row r="67" spans="3:9" ht="12.75">
      <c r="C67" s="21" t="s">
        <v>41</v>
      </c>
      <c r="D67" s="21" t="s">
        <v>36</v>
      </c>
      <c r="E67" s="29">
        <f>'Adjusted Data'!G67</f>
        <v>1009703.2690000001</v>
      </c>
      <c r="F67" s="27">
        <v>0.084</v>
      </c>
      <c r="G67" s="28">
        <f>E67*F67</f>
        <v>84815.074596</v>
      </c>
      <c r="H67" s="27">
        <f>Nonprofit!H67</f>
        <v>0.086</v>
      </c>
      <c r="I67" s="25">
        <f>H67*E67</f>
        <v>86834.481134</v>
      </c>
    </row>
    <row r="68" spans="3:9" ht="12.75">
      <c r="C68" s="21" t="s">
        <v>43</v>
      </c>
      <c r="D68" s="21" t="s">
        <v>36</v>
      </c>
      <c r="E68" s="29">
        <f>'Adjusted Data'!G68</f>
        <v>875528.328</v>
      </c>
      <c r="F68" s="27">
        <v>0.095</v>
      </c>
      <c r="G68" s="28">
        <f>E68*F68</f>
        <v>83175.19116</v>
      </c>
      <c r="H68" s="27">
        <f>Nonprofit!H68</f>
        <v>0.098</v>
      </c>
      <c r="I68" s="25">
        <f>H68*E68</f>
        <v>85801.776144</v>
      </c>
    </row>
    <row r="69" spans="3:9" ht="12.75">
      <c r="C69" s="21" t="s">
        <v>32</v>
      </c>
      <c r="D69" s="21" t="s">
        <v>36</v>
      </c>
      <c r="E69" s="29">
        <f>'Adjusted Data'!G69</f>
        <v>3796798.654</v>
      </c>
      <c r="F69" s="27">
        <v>0.045</v>
      </c>
      <c r="G69" s="28">
        <f>E69*F69</f>
        <v>170855.93943</v>
      </c>
      <c r="H69" s="27">
        <f>Nonprofit!H69</f>
        <v>0.046</v>
      </c>
      <c r="I69" s="25">
        <f>H69*E69</f>
        <v>174652.738084</v>
      </c>
    </row>
    <row r="70" spans="2:8" ht="12.75">
      <c r="B70" s="21" t="s">
        <v>45</v>
      </c>
      <c r="D70" s="21"/>
      <c r="E70" s="29"/>
      <c r="F70" s="27"/>
      <c r="H70" s="27"/>
    </row>
    <row r="71" spans="3:9" ht="12.75">
      <c r="C71" s="21" t="s">
        <v>41</v>
      </c>
      <c r="D71" s="21" t="s">
        <v>36</v>
      </c>
      <c r="E71" s="29">
        <f>'Adjusted Data'!G71</f>
        <v>56098.055000000015</v>
      </c>
      <c r="F71" s="27">
        <v>0.008</v>
      </c>
      <c r="G71" s="28">
        <f>E71*F71</f>
        <v>448.78444000000013</v>
      </c>
      <c r="H71" s="27">
        <f>Nonprofit!H71</f>
        <v>0.008</v>
      </c>
      <c r="I71" s="25">
        <f>H71*E71</f>
        <v>448.78444000000013</v>
      </c>
    </row>
    <row r="72" spans="3:9" ht="12.75">
      <c r="C72" s="21" t="s">
        <v>43</v>
      </c>
      <c r="D72" s="21" t="s">
        <v>36</v>
      </c>
      <c r="E72" s="29">
        <f>'Adjusted Data'!G72</f>
        <v>108160.685</v>
      </c>
      <c r="F72" s="27">
        <v>0.039</v>
      </c>
      <c r="G72" s="28">
        <f>E72*F72</f>
        <v>4218.266715</v>
      </c>
      <c r="H72" s="27">
        <f>Nonprofit!H72</f>
        <v>0.04</v>
      </c>
      <c r="I72" s="25">
        <f>H72*E72</f>
        <v>4326.4274</v>
      </c>
    </row>
    <row r="73" spans="3:9" ht="12.75">
      <c r="C73" s="21" t="s">
        <v>32</v>
      </c>
      <c r="D73" s="21" t="s">
        <v>36</v>
      </c>
      <c r="E73" s="29">
        <f>'Adjusted Data'!G73</f>
        <v>48810.882000000005</v>
      </c>
      <c r="F73" s="27">
        <v>0.027</v>
      </c>
      <c r="G73" s="28">
        <f>E73*F73</f>
        <v>1317.893814</v>
      </c>
      <c r="H73" s="27">
        <f>Nonprofit!H73</f>
        <v>0.028</v>
      </c>
      <c r="I73" s="25">
        <f>H73*E73</f>
        <v>1366.7046960000002</v>
      </c>
    </row>
    <row r="74" spans="1:8" ht="12.75">
      <c r="A74" s="38" t="s">
        <v>46</v>
      </c>
      <c r="D74" s="21"/>
      <c r="E74" s="29"/>
      <c r="F74" s="27"/>
      <c r="H74" s="27"/>
    </row>
    <row r="75" spans="2:8" ht="12.75">
      <c r="B75" s="21" t="s">
        <v>37</v>
      </c>
      <c r="D75" s="21"/>
      <c r="E75" s="29"/>
      <c r="F75" s="27"/>
      <c r="H75" s="27"/>
    </row>
    <row r="76" spans="3:9" ht="12.75">
      <c r="C76" s="21" t="s">
        <v>48</v>
      </c>
      <c r="D76" s="21" t="s">
        <v>47</v>
      </c>
      <c r="E76" s="29">
        <f>'Adjusted Data'!G76</f>
        <v>35839.495</v>
      </c>
      <c r="F76" s="27">
        <v>0.42</v>
      </c>
      <c r="G76" s="28">
        <f>E76*F76</f>
        <v>15052.5879</v>
      </c>
      <c r="H76" s="27">
        <f>Nonprofit!H76</f>
        <v>0.432</v>
      </c>
      <c r="I76" s="25">
        <f>H76*E76</f>
        <v>15482.66184</v>
      </c>
    </row>
    <row r="77" spans="3:9" ht="12.75">
      <c r="C77" s="21" t="s">
        <v>49</v>
      </c>
      <c r="D77" s="21" t="s">
        <v>47</v>
      </c>
      <c r="E77" s="29">
        <f>'Adjusted Data'!G77</f>
        <v>0</v>
      </c>
      <c r="F77" s="27">
        <v>0.42</v>
      </c>
      <c r="G77" s="28">
        <f>E77*F77</f>
        <v>0</v>
      </c>
      <c r="H77" s="27">
        <f>Nonprofit!H77</f>
        <v>0.432</v>
      </c>
      <c r="I77" s="25">
        <f>H77*E77</f>
        <v>0</v>
      </c>
    </row>
    <row r="78" spans="2:8" ht="12.75">
      <c r="B78" s="21" t="s">
        <v>50</v>
      </c>
      <c r="D78" s="21"/>
      <c r="E78" s="29"/>
      <c r="F78" s="27"/>
      <c r="G78" s="24"/>
      <c r="H78" s="27"/>
    </row>
    <row r="79" spans="3:8" ht="12.75">
      <c r="C79" s="21" t="s">
        <v>48</v>
      </c>
      <c r="D79" s="21" t="s">
        <v>47</v>
      </c>
      <c r="E79" s="29"/>
      <c r="F79" s="27"/>
      <c r="G79" s="24"/>
      <c r="H79" s="27"/>
    </row>
    <row r="80" spans="3:8" ht="12.75">
      <c r="C80" s="21" t="s">
        <v>49</v>
      </c>
      <c r="D80" s="21" t="s">
        <v>47</v>
      </c>
      <c r="E80" s="29"/>
      <c r="F80" s="27"/>
      <c r="G80" s="24"/>
      <c r="H80" s="27"/>
    </row>
    <row r="81" spans="3:9" ht="12.75">
      <c r="C81" s="21" t="s">
        <v>51</v>
      </c>
      <c r="D81" s="21" t="s">
        <v>47</v>
      </c>
      <c r="E81" s="29">
        <f>'Adjusted Data'!G81</f>
        <v>80809.593</v>
      </c>
      <c r="F81" s="27">
        <v>1.8</v>
      </c>
      <c r="G81" s="28">
        <f>E81*F81</f>
        <v>145457.26739999998</v>
      </c>
      <c r="H81" s="27">
        <f>Nonprofit!H81</f>
        <v>1.853</v>
      </c>
      <c r="I81" s="25">
        <f>H81*E81</f>
        <v>149740.17582899999</v>
      </c>
    </row>
    <row r="82" spans="3:9" ht="12.75">
      <c r="C82" s="21" t="s">
        <v>52</v>
      </c>
      <c r="D82" s="21" t="s">
        <v>47</v>
      </c>
      <c r="E82" s="29">
        <f>'Adjusted Data'!G82</f>
        <v>0</v>
      </c>
      <c r="F82" s="27">
        <v>1.1</v>
      </c>
      <c r="G82" s="28">
        <f>E82*F82</f>
        <v>0</v>
      </c>
      <c r="H82" s="27">
        <f>Nonprofit!H82</f>
        <v>1.1320000000000001</v>
      </c>
      <c r="I82" s="25">
        <f>H82*E82</f>
        <v>0</v>
      </c>
    </row>
    <row r="83" spans="3:9" ht="12.75">
      <c r="C83" s="21" t="s">
        <v>53</v>
      </c>
      <c r="D83" s="21" t="s">
        <v>47</v>
      </c>
      <c r="E83" s="29">
        <f>'Adjusted Data'!G83</f>
        <v>1778.718</v>
      </c>
      <c r="F83" s="27">
        <v>0.6</v>
      </c>
      <c r="G83" s="28">
        <f>E83*F83</f>
        <v>1067.2308</v>
      </c>
      <c r="H83" s="27">
        <f>Nonprofit!H83</f>
        <v>0.618</v>
      </c>
      <c r="I83" s="25">
        <f>H83*E83</f>
        <v>1099.247724</v>
      </c>
    </row>
    <row r="84" spans="2:8" ht="12.75">
      <c r="B84" s="21" t="s">
        <v>54</v>
      </c>
      <c r="D84" s="21"/>
      <c r="E84" s="29"/>
      <c r="F84" s="27"/>
      <c r="G84" s="24"/>
      <c r="H84" s="27"/>
    </row>
    <row r="85" spans="3:8" ht="12.75">
      <c r="C85" s="21" t="s">
        <v>48</v>
      </c>
      <c r="D85" s="21" t="s">
        <v>47</v>
      </c>
      <c r="E85" s="29">
        <f>'Adjusted Data'!G85</f>
        <v>0</v>
      </c>
      <c r="F85" s="27"/>
      <c r="G85" s="24"/>
      <c r="H85" s="27"/>
    </row>
    <row r="86" spans="3:8" ht="12.75">
      <c r="C86" s="21" t="s">
        <v>49</v>
      </c>
      <c r="D86" s="21" t="s">
        <v>47</v>
      </c>
      <c r="E86" s="29">
        <f>'Adjusted Data'!G86</f>
        <v>0</v>
      </c>
      <c r="F86" s="27"/>
      <c r="G86" s="24"/>
      <c r="H86" s="27"/>
    </row>
    <row r="87" spans="3:9" ht="12.75">
      <c r="C87" s="21" t="s">
        <v>51</v>
      </c>
      <c r="D87" s="21" t="s">
        <v>47</v>
      </c>
      <c r="E87" s="29">
        <f>'Adjusted Data'!G87</f>
        <v>368501.83599999995</v>
      </c>
      <c r="F87" s="27">
        <v>1.9</v>
      </c>
      <c r="G87" s="28">
        <f>E87*F87</f>
        <v>700153.4883999999</v>
      </c>
      <c r="H87" s="27">
        <f>Nonprofit!H87</f>
        <v>1.956</v>
      </c>
      <c r="I87" s="25">
        <f>H87*E87</f>
        <v>720789.5912159999</v>
      </c>
    </row>
    <row r="88" spans="3:9" ht="12.75">
      <c r="C88" s="21" t="s">
        <v>52</v>
      </c>
      <c r="D88" s="21" t="s">
        <v>47</v>
      </c>
      <c r="E88" s="29">
        <f>'Adjusted Data'!G88</f>
        <v>0</v>
      </c>
      <c r="F88" s="27">
        <v>1.2</v>
      </c>
      <c r="G88" s="28">
        <f>E88*F88</f>
        <v>0</v>
      </c>
      <c r="H88" s="27">
        <f>Nonprofit!H88</f>
        <v>1.236</v>
      </c>
      <c r="I88" s="25">
        <f>H88*E88</f>
        <v>0</v>
      </c>
    </row>
    <row r="89" spans="3:9" ht="12.75">
      <c r="C89" s="21" t="s">
        <v>53</v>
      </c>
      <c r="D89" s="21" t="s">
        <v>47</v>
      </c>
      <c r="E89" s="29">
        <f>'Adjusted Data'!G89</f>
        <v>10426.914</v>
      </c>
      <c r="F89" s="27">
        <v>1</v>
      </c>
      <c r="G89" s="28">
        <f>E89*F89</f>
        <v>10426.914</v>
      </c>
      <c r="H89" s="27">
        <f>Nonprofit!H89</f>
        <v>1.03</v>
      </c>
      <c r="I89" s="25">
        <f>H89*E89</f>
        <v>10739.721420000002</v>
      </c>
    </row>
    <row r="90" spans="3:9" ht="12.75">
      <c r="C90" s="21" t="s">
        <v>55</v>
      </c>
      <c r="D90" s="21" t="s">
        <v>47</v>
      </c>
      <c r="E90" s="29">
        <f>'Adjusted Data'!G90</f>
        <v>15037.178</v>
      </c>
      <c r="F90" s="27">
        <v>0.6</v>
      </c>
      <c r="G90" s="28">
        <f>E90*F90</f>
        <v>9022.3068</v>
      </c>
      <c r="H90" s="27">
        <f>Nonprofit!H90</f>
        <v>0.618</v>
      </c>
      <c r="I90" s="25">
        <f>H90*E90</f>
        <v>9292.976004</v>
      </c>
    </row>
    <row r="91" spans="2:8" ht="12.75">
      <c r="B91" s="21" t="s">
        <v>56</v>
      </c>
      <c r="D91" s="21"/>
      <c r="E91" s="29"/>
      <c r="F91" s="27"/>
      <c r="H91" s="27"/>
    </row>
    <row r="92" spans="3:8" ht="12.75">
      <c r="C92" s="21" t="s">
        <v>48</v>
      </c>
      <c r="D92" s="21" t="s">
        <v>47</v>
      </c>
      <c r="E92" s="29">
        <f>'Adjusted Data'!G92</f>
        <v>0</v>
      </c>
      <c r="F92" s="27"/>
      <c r="G92" s="24"/>
      <c r="H92" s="27"/>
    </row>
    <row r="93" spans="3:8" ht="12.75">
      <c r="C93" s="21" t="s">
        <v>49</v>
      </c>
      <c r="D93" s="21" t="s">
        <v>47</v>
      </c>
      <c r="E93" s="29">
        <f>'Adjusted Data'!G93</f>
        <v>0</v>
      </c>
      <c r="F93" s="27"/>
      <c r="G93" s="24"/>
      <c r="H93" s="27"/>
    </row>
    <row r="94" spans="3:9" ht="12.75">
      <c r="C94" s="21" t="s">
        <v>51</v>
      </c>
      <c r="D94" s="21" t="s">
        <v>47</v>
      </c>
      <c r="E94" s="29">
        <f>'Adjusted Data'!G94</f>
        <v>80828.546</v>
      </c>
      <c r="F94" s="27">
        <v>2.24</v>
      </c>
      <c r="G94" s="28">
        <f>E94*F94</f>
        <v>181055.94304</v>
      </c>
      <c r="H94" s="27">
        <f>Nonprofit!H94</f>
        <v>2.306</v>
      </c>
      <c r="I94" s="25">
        <f>H94*E94</f>
        <v>186390.627076</v>
      </c>
    </row>
    <row r="95" spans="3:9" ht="12.75">
      <c r="C95" s="21" t="s">
        <v>52</v>
      </c>
      <c r="D95" s="21" t="s">
        <v>47</v>
      </c>
      <c r="E95" s="29">
        <f>'Adjusted Data'!G95</f>
        <v>0</v>
      </c>
      <c r="F95" s="27">
        <v>1.5</v>
      </c>
      <c r="G95" s="28">
        <f>E95*F95</f>
        <v>0</v>
      </c>
      <c r="H95" s="27">
        <f>Nonprofit!H95</f>
        <v>1.544</v>
      </c>
      <c r="I95" s="25">
        <f>H95*E95</f>
        <v>0</v>
      </c>
    </row>
    <row r="96" spans="3:9" ht="12.75">
      <c r="C96" s="21" t="s">
        <v>53</v>
      </c>
      <c r="D96" s="21" t="s">
        <v>47</v>
      </c>
      <c r="E96" s="29">
        <f>'Adjusted Data'!G96</f>
        <v>0.26</v>
      </c>
      <c r="F96" s="27">
        <v>1.3</v>
      </c>
      <c r="G96" s="28">
        <f>E96*F96</f>
        <v>0.338</v>
      </c>
      <c r="H96" s="27">
        <f>Nonprofit!H96</f>
        <v>1.338</v>
      </c>
      <c r="I96" s="25">
        <f>H96*E96</f>
        <v>0.34788</v>
      </c>
    </row>
    <row r="97" spans="3:9" ht="12.75">
      <c r="C97" s="21" t="s">
        <v>55</v>
      </c>
      <c r="D97" s="21" t="s">
        <v>47</v>
      </c>
      <c r="E97" s="29">
        <f>'Adjusted Data'!G97</f>
        <v>167.956</v>
      </c>
      <c r="F97" s="27">
        <v>0.9</v>
      </c>
      <c r="G97" s="28">
        <f>E97*F97</f>
        <v>151.16039999999998</v>
      </c>
      <c r="H97" s="27">
        <f>Nonprofit!H97</f>
        <v>0.927</v>
      </c>
      <c r="I97" s="25">
        <f>H97*E97</f>
        <v>155.695212</v>
      </c>
    </row>
    <row r="98" spans="3:8" ht="12.75">
      <c r="C98" s="21" t="s">
        <v>57</v>
      </c>
      <c r="D98" s="21" t="s">
        <v>47</v>
      </c>
      <c r="E98" s="29">
        <f>'Adjusted Data'!G98</f>
        <v>0</v>
      </c>
      <c r="F98" s="27">
        <v>0.7</v>
      </c>
      <c r="G98" s="28">
        <f>E98*F98</f>
        <v>0</v>
      </c>
      <c r="H98" s="27">
        <f>Nonprofit!H98</f>
        <v>0.721</v>
      </c>
    </row>
    <row r="99" spans="1:8" ht="12.75">
      <c r="A99" s="21" t="s">
        <v>58</v>
      </c>
      <c r="D99" s="21"/>
      <c r="E99" s="29"/>
      <c r="F99" s="27"/>
      <c r="H99" s="27"/>
    </row>
    <row r="100" spans="2:8" ht="12.75">
      <c r="B100" s="21" t="s">
        <v>60</v>
      </c>
      <c r="D100" s="21"/>
      <c r="E100" s="29"/>
      <c r="F100" s="27"/>
      <c r="H100" s="27"/>
    </row>
    <row r="101" spans="3:8" ht="12.75">
      <c r="C101" s="21" t="s">
        <v>48</v>
      </c>
      <c r="D101" s="21" t="s">
        <v>59</v>
      </c>
      <c r="E101" s="29">
        <f>'Adjusted Data'!G101</f>
        <v>0</v>
      </c>
      <c r="F101" s="27"/>
      <c r="G101" s="24"/>
      <c r="H101" s="27"/>
    </row>
    <row r="102" spans="3:8" ht="12.75">
      <c r="C102" s="21" t="s">
        <v>49</v>
      </c>
      <c r="D102" s="21" t="s">
        <v>59</v>
      </c>
      <c r="E102" s="29">
        <f>'Adjusted Data'!G102</f>
        <v>0</v>
      </c>
      <c r="F102" s="27"/>
      <c r="G102" s="24"/>
      <c r="H102" s="27"/>
    </row>
    <row r="103" spans="3:9" ht="12.75">
      <c r="C103" s="21" t="s">
        <v>51</v>
      </c>
      <c r="D103" s="21" t="s">
        <v>59</v>
      </c>
      <c r="E103" s="29">
        <f>'Adjusted Data'!G103</f>
        <v>17559.992</v>
      </c>
      <c r="F103" s="27">
        <v>18.61</v>
      </c>
      <c r="G103" s="28">
        <f>E103*F103</f>
        <v>326791.45112</v>
      </c>
      <c r="H103" s="27">
        <f>Nonprofit!H103</f>
        <v>19.161</v>
      </c>
      <c r="I103" s="25">
        <f>H103*E103</f>
        <v>336467.006712</v>
      </c>
    </row>
    <row r="104" spans="3:9" ht="12.75">
      <c r="C104" s="21" t="s">
        <v>52</v>
      </c>
      <c r="D104" s="21" t="s">
        <v>59</v>
      </c>
      <c r="E104" s="29">
        <f>'Adjusted Data'!G104</f>
        <v>3.246</v>
      </c>
      <c r="F104" s="27">
        <v>13</v>
      </c>
      <c r="G104" s="28">
        <f>E104*F104</f>
        <v>42.198</v>
      </c>
      <c r="H104" s="27">
        <f>Nonprofit!H104</f>
        <v>13.385</v>
      </c>
      <c r="I104" s="25">
        <f>H104*E104</f>
        <v>43.44771</v>
      </c>
    </row>
    <row r="105" spans="3:9" ht="12.75">
      <c r="C105" s="21" t="s">
        <v>53</v>
      </c>
      <c r="D105" s="21" t="s">
        <v>59</v>
      </c>
      <c r="E105" s="29">
        <f>'Adjusted Data'!G105</f>
        <v>1981.684</v>
      </c>
      <c r="F105" s="27">
        <v>8.9</v>
      </c>
      <c r="G105" s="28">
        <f>E105*F105</f>
        <v>17636.9876</v>
      </c>
      <c r="H105" s="27">
        <f>Nonprofit!H105</f>
        <v>9.163</v>
      </c>
      <c r="I105" s="25">
        <f>H105*E105</f>
        <v>18158.170492</v>
      </c>
    </row>
    <row r="106" spans="2:8" ht="12.75">
      <c r="B106" s="21" t="s">
        <v>61</v>
      </c>
      <c r="D106" s="21"/>
      <c r="E106" s="29"/>
      <c r="F106" s="27"/>
      <c r="H106" s="27"/>
    </row>
    <row r="107" spans="3:8" ht="12.75">
      <c r="C107" s="21" t="s">
        <v>48</v>
      </c>
      <c r="D107" s="21" t="s">
        <v>59</v>
      </c>
      <c r="E107" s="29">
        <f>'Adjusted Data'!G107</f>
        <v>0</v>
      </c>
      <c r="F107" s="27"/>
      <c r="G107" s="24"/>
      <c r="H107" s="27"/>
    </row>
    <row r="108" spans="3:8" ht="12.75">
      <c r="C108" s="21" t="s">
        <v>49</v>
      </c>
      <c r="D108" s="21" t="s">
        <v>59</v>
      </c>
      <c r="E108" s="29">
        <f>'Adjusted Data'!G108</f>
        <v>0</v>
      </c>
      <c r="F108" s="27"/>
      <c r="G108" s="24"/>
      <c r="H108" s="27"/>
    </row>
    <row r="109" spans="3:9" ht="12.75">
      <c r="C109" s="21" t="s">
        <v>51</v>
      </c>
      <c r="D109" s="21" t="s">
        <v>59</v>
      </c>
      <c r="E109" s="29">
        <f>'Adjusted Data'!G109</f>
        <v>8685.203</v>
      </c>
      <c r="F109" s="27">
        <v>22.98</v>
      </c>
      <c r="G109" s="28">
        <f>E109*F109</f>
        <v>199585.96494</v>
      </c>
      <c r="H109" s="27">
        <f>Nonprofit!H109</f>
        <v>23.66</v>
      </c>
      <c r="I109" s="25">
        <f>H109*E109</f>
        <v>205491.90297999998</v>
      </c>
    </row>
    <row r="110" spans="3:9" ht="12.75">
      <c r="C110" s="21" t="s">
        <v>52</v>
      </c>
      <c r="D110" s="21" t="s">
        <v>59</v>
      </c>
      <c r="E110" s="29">
        <f>'Adjusted Data'!G110</f>
        <v>5.953</v>
      </c>
      <c r="F110" s="27">
        <v>14.4</v>
      </c>
      <c r="G110" s="28">
        <f>E110*F110</f>
        <v>85.7232</v>
      </c>
      <c r="H110" s="27">
        <f>Nonprofit!H110</f>
        <v>14.826</v>
      </c>
      <c r="I110" s="25">
        <f>H110*E110</f>
        <v>88.259178</v>
      </c>
    </row>
    <row r="111" spans="3:9" ht="12.75">
      <c r="C111" s="21" t="s">
        <v>53</v>
      </c>
      <c r="D111" s="21" t="s">
        <v>59</v>
      </c>
      <c r="E111" s="29">
        <f>'Adjusted Data'!G111</f>
        <v>243.915</v>
      </c>
      <c r="F111" s="27">
        <v>12.2</v>
      </c>
      <c r="G111" s="28">
        <f>E111*F111</f>
        <v>2975.763</v>
      </c>
      <c r="H111" s="27">
        <f>Nonprofit!H111</f>
        <v>12.561</v>
      </c>
      <c r="I111" s="25">
        <f>H111*E111</f>
        <v>3063.816315</v>
      </c>
    </row>
    <row r="112" spans="3:9" ht="12.75">
      <c r="C112" s="21" t="s">
        <v>55</v>
      </c>
      <c r="D112" s="21" t="s">
        <v>59</v>
      </c>
      <c r="E112" s="29">
        <f>'Adjusted Data'!G112</f>
        <v>1498.507</v>
      </c>
      <c r="F112" s="27">
        <v>6.7</v>
      </c>
      <c r="G112" s="28">
        <f>E112*F112</f>
        <v>10039.9969</v>
      </c>
      <c r="H112" s="27">
        <f>Nonprofit!H112</f>
        <v>6.898</v>
      </c>
      <c r="I112" s="25">
        <f>H112*E112</f>
        <v>10336.701286</v>
      </c>
    </row>
    <row r="113" spans="2:8" ht="12.75">
      <c r="B113" s="21" t="s">
        <v>62</v>
      </c>
      <c r="D113" s="21"/>
      <c r="E113" s="29"/>
      <c r="F113" s="27"/>
      <c r="H113" s="27"/>
    </row>
    <row r="114" spans="3:8" ht="12.75">
      <c r="C114" s="21" t="s">
        <v>48</v>
      </c>
      <c r="D114" s="21" t="s">
        <v>59</v>
      </c>
      <c r="E114" s="29">
        <f>'Adjusted Data'!G114</f>
        <v>0</v>
      </c>
      <c r="F114" s="27"/>
      <c r="G114" s="24"/>
      <c r="H114" s="27"/>
    </row>
    <row r="115" spans="3:8" ht="12.75">
      <c r="C115" s="21" t="s">
        <v>49</v>
      </c>
      <c r="D115" s="21" t="s">
        <v>59</v>
      </c>
      <c r="E115" s="29">
        <f>'Adjusted Data'!G115</f>
        <v>0</v>
      </c>
      <c r="F115" s="27"/>
      <c r="G115" s="24"/>
      <c r="H115" s="27"/>
    </row>
    <row r="116" spans="3:9" ht="12.75">
      <c r="C116" s="21" t="s">
        <v>51</v>
      </c>
      <c r="D116" s="21" t="s">
        <v>59</v>
      </c>
      <c r="E116" s="29">
        <f>'Adjusted Data'!G116</f>
        <v>105.581</v>
      </c>
      <c r="F116" s="27">
        <v>26.95</v>
      </c>
      <c r="G116" s="28">
        <f>E116*F116</f>
        <v>2845.40795</v>
      </c>
      <c r="H116" s="27">
        <f>Nonprofit!H116</f>
        <v>27.748</v>
      </c>
      <c r="I116" s="25">
        <f>H116*E116</f>
        <v>2929.6615880000004</v>
      </c>
    </row>
    <row r="117" spans="3:9" ht="12.75">
      <c r="C117" s="21" t="s">
        <v>52</v>
      </c>
      <c r="D117" s="21" t="s">
        <v>59</v>
      </c>
      <c r="E117" s="29">
        <f>'Adjusted Data'!G117</f>
        <v>0</v>
      </c>
      <c r="F117" s="27">
        <v>17.5</v>
      </c>
      <c r="G117" s="28">
        <f>E117*F117</f>
        <v>0</v>
      </c>
      <c r="H117" s="27">
        <f>Nonprofit!H117</f>
        <v>18.018</v>
      </c>
      <c r="I117" s="25">
        <f>H117*E117</f>
        <v>0</v>
      </c>
    </row>
    <row r="118" spans="3:9" ht="12.75">
      <c r="C118" s="21" t="s">
        <v>53</v>
      </c>
      <c r="D118" s="21" t="s">
        <v>59</v>
      </c>
      <c r="E118" s="29">
        <f>'Adjusted Data'!G118</f>
        <v>0.056</v>
      </c>
      <c r="F118" s="27">
        <v>15.5</v>
      </c>
      <c r="G118" s="28">
        <f>E118*F118</f>
        <v>0.868</v>
      </c>
      <c r="H118" s="27">
        <f>Nonprofit!H118</f>
        <v>15.959</v>
      </c>
      <c r="I118" s="25">
        <f>H118*E118</f>
        <v>0.8937039999999999</v>
      </c>
    </row>
    <row r="119" spans="3:9" ht="12.75">
      <c r="C119" s="21" t="s">
        <v>55</v>
      </c>
      <c r="D119" s="21" t="s">
        <v>59</v>
      </c>
      <c r="E119" s="29">
        <f>'Adjusted Data'!G119</f>
        <v>75.53</v>
      </c>
      <c r="F119" s="27">
        <v>8</v>
      </c>
      <c r="G119" s="28">
        <f>E119*F119</f>
        <v>604.24</v>
      </c>
      <c r="H119" s="27">
        <f>Nonprofit!H119</f>
        <v>8.237</v>
      </c>
      <c r="I119" s="25">
        <f>H119*E119</f>
        <v>622.14061</v>
      </c>
    </row>
    <row r="120" spans="3:9" ht="12.75">
      <c r="C120" s="21" t="s">
        <v>57</v>
      </c>
      <c r="D120" s="21" t="s">
        <v>59</v>
      </c>
      <c r="E120" s="29">
        <f>'Adjusted Data'!G120</f>
        <v>1.363</v>
      </c>
      <c r="F120" s="27">
        <v>1.2</v>
      </c>
      <c r="G120" s="28">
        <f>E120*F120</f>
        <v>1.6356</v>
      </c>
      <c r="H120" s="27">
        <f>Nonprofit!H120</f>
        <v>1.236</v>
      </c>
      <c r="I120" s="25">
        <f>H120*E120</f>
        <v>1.684668</v>
      </c>
    </row>
    <row r="121" spans="3:9" ht="12.75">
      <c r="C121" s="21" t="s">
        <v>129</v>
      </c>
      <c r="E121" s="29">
        <f>SUM(E6:E15,E17:E20)</f>
        <v>29082729.999999993</v>
      </c>
      <c r="F121" s="27"/>
      <c r="G121" s="28">
        <f>SUM(G6:G15,G17:G20)</f>
        <v>5664816.31560264</v>
      </c>
      <c r="H121" s="27"/>
      <c r="I121" s="28">
        <f>SUM(I6:I15,I17:I20)</f>
        <v>5830403.099365009</v>
      </c>
    </row>
    <row r="122" spans="3:9" ht="12.75">
      <c r="C122" s="21" t="s">
        <v>130</v>
      </c>
      <c r="E122" s="29">
        <f>SUM(E23:E27,E29:E33,E35:E39,E41:E45,E47:E50)</f>
        <v>55744252.99999999</v>
      </c>
      <c r="F122" s="27"/>
      <c r="G122" s="28">
        <f>SUM(G23:G27,G29:G33,G35:G39,G41:G45,G47:G51)</f>
        <v>8551709.821880117</v>
      </c>
      <c r="H122" s="27"/>
      <c r="I122" s="28">
        <f>SUM(I23:I27,I29:I33,I35:I39,I41:I45,I47:I51)</f>
        <v>8790490.488918107</v>
      </c>
    </row>
    <row r="123" spans="3:9" ht="12.75">
      <c r="C123" s="21" t="s">
        <v>131</v>
      </c>
      <c r="E123" s="29">
        <f>SUM(E54:E58,E60:E64,E66:E69,E71:E73)</f>
        <v>11149354.907</v>
      </c>
      <c r="F123" s="27"/>
      <c r="G123" s="28">
        <f>SUM(G54:G58,G60:G64,G66:G69,G71:G73)</f>
        <v>731894.6189390001</v>
      </c>
      <c r="H123" s="27"/>
      <c r="I123" s="28">
        <f>SUM(I54:I58,I60:I64,I66:I69,I71:I73)</f>
        <v>750900.957756</v>
      </c>
    </row>
    <row r="124" spans="3:9" ht="12.75">
      <c r="C124" s="21" t="s">
        <v>132</v>
      </c>
      <c r="E124" s="29">
        <f>SUM(E76:E77,E79:E83,E85:E90,E92:E98)</f>
        <v>593390.4959999999</v>
      </c>
      <c r="F124" s="27"/>
      <c r="G124" s="28">
        <f>SUM(G76:G77,G79:G83,G85:G90,G92:G98)</f>
        <v>1062387.2367399998</v>
      </c>
      <c r="H124" s="27"/>
      <c r="I124" s="28">
        <f>SUM(I76:I77,I79:I83,I85:I90,I92:I98)</f>
        <v>1093691.044201</v>
      </c>
    </row>
    <row r="125" spans="3:9" ht="12.75">
      <c r="C125" s="21" t="s">
        <v>133</v>
      </c>
      <c r="E125" s="29">
        <f>SUM(E101:E105,E107:E112,E114:E120)</f>
        <v>30161.030000000002</v>
      </c>
      <c r="F125" s="27"/>
      <c r="G125" s="28">
        <f>SUM(G101:G105,G107:G112,G114:G120)</f>
        <v>560610.2363100001</v>
      </c>
      <c r="H125" s="27"/>
      <c r="I125" s="28">
        <f>SUM(I101:I105,I107:I112,I114:I120)</f>
        <v>577203.6852429999</v>
      </c>
    </row>
    <row r="126" spans="3:9" ht="12.75">
      <c r="C126" s="21" t="s">
        <v>63</v>
      </c>
      <c r="E126" s="29"/>
      <c r="F126" s="27"/>
      <c r="G126" s="26">
        <f>SUM(G121:G125)</f>
        <v>16571418.229471756</v>
      </c>
      <c r="H126" s="27"/>
      <c r="I126" s="26">
        <f>SUM(I121:I125)</f>
        <v>17042689.275483117</v>
      </c>
    </row>
    <row r="127" spans="3:9" ht="12.75">
      <c r="C127" s="21" t="s">
        <v>64</v>
      </c>
      <c r="E127" s="29">
        <v>151332.6325138719</v>
      </c>
      <c r="F127" s="27">
        <v>0.155</v>
      </c>
      <c r="G127" s="28">
        <f>E127*F127</f>
        <v>23456.558039650146</v>
      </c>
      <c r="H127" s="27"/>
      <c r="I127" s="25">
        <f>H127*E127</f>
        <v>0</v>
      </c>
    </row>
    <row r="128" spans="3:9" ht="12.75">
      <c r="C128" s="21" t="s">
        <v>65</v>
      </c>
      <c r="E128" s="29">
        <v>647</v>
      </c>
      <c r="F128" s="27">
        <v>0.015</v>
      </c>
      <c r="G128" s="28">
        <f>E128*F128</f>
        <v>9.705</v>
      </c>
      <c r="H128" s="27"/>
      <c r="I128" s="25">
        <f>H128*E128</f>
        <v>0</v>
      </c>
    </row>
    <row r="129" spans="3:9" ht="13.5" thickBot="1">
      <c r="C129" s="21" t="s">
        <v>134</v>
      </c>
      <c r="G129" s="28">
        <f>0.05*SUM(G17:G20,G23:G27,G29:G33,G35:G39,G41:G45,G47:G51,G54:G58,G60:G64,G66:G69,G71:G73,G76:G77,G81:G83,G87:G90,G94:G98,G103:G105,G109:G112,G116:G120)</f>
        <v>785092.1215692651</v>
      </c>
      <c r="I129" s="28">
        <f>0.05*SUM(I17:I20,I23:I27,I29:I33,I35:I39,I41:I45,I47:I51,I54:I58,I60:I64,I66:I69,I71:I73,I76:I77,I81:I83,I87:I90,I94:I98,I103:I105,I109:I112,I116:I120)</f>
        <v>807381.865050635</v>
      </c>
    </row>
    <row r="130" spans="3:10" ht="13.5" thickTop="1">
      <c r="C130" s="21" t="s">
        <v>66</v>
      </c>
      <c r="E130" s="29"/>
      <c r="F130" s="27"/>
      <c r="G130" s="26">
        <f>G126+G127+G128-G129</f>
        <v>15809792.370942142</v>
      </c>
      <c r="H130" s="27"/>
      <c r="I130" s="26">
        <f>I126+I127+I128-I129</f>
        <v>16235307.410432482</v>
      </c>
      <c r="J130" s="44" t="s">
        <v>212</v>
      </c>
    </row>
    <row r="131" spans="3:10" ht="13.5" thickBot="1">
      <c r="C131" s="43" t="s">
        <v>211</v>
      </c>
      <c r="E131" s="29"/>
      <c r="G131" s="49">
        <f>G130/E122</f>
        <v>0.2836129559569512</v>
      </c>
      <c r="H131" s="53"/>
      <c r="I131" s="49">
        <f>I130/E122</f>
        <v>0.29124629960388</v>
      </c>
      <c r="J131" s="45">
        <f>(I131/G131)-1</f>
        <v>0.026914650711822308</v>
      </c>
    </row>
    <row r="132" spans="5:8" ht="13.5" thickTop="1">
      <c r="E132" s="29"/>
      <c r="F132" s="27"/>
      <c r="H132" s="27"/>
    </row>
    <row r="133" spans="5:6" ht="12.75">
      <c r="E133" s="29"/>
      <c r="F133" s="27"/>
    </row>
    <row r="134" spans="5:6" ht="12.75">
      <c r="E134" s="29"/>
      <c r="F134" s="27"/>
    </row>
    <row r="135" spans="5:6" ht="12.75">
      <c r="E135" s="29"/>
      <c r="F135" s="27"/>
    </row>
    <row r="136" spans="5:6" ht="12.75">
      <c r="E136" s="29"/>
      <c r="F136" s="27"/>
    </row>
    <row r="137" spans="5:6" ht="12.75">
      <c r="E137" s="29"/>
      <c r="F137" s="27"/>
    </row>
    <row r="138" spans="5:6" ht="12.75">
      <c r="E138" s="29"/>
      <c r="F138" s="27"/>
    </row>
    <row r="139" spans="5:6" ht="12.75">
      <c r="E139" s="29"/>
      <c r="F139" s="27"/>
    </row>
    <row r="140" spans="5:6" ht="12.75">
      <c r="E140" s="29"/>
      <c r="F140" s="27"/>
    </row>
    <row r="141" spans="5:6" ht="12.75">
      <c r="E141" s="29"/>
      <c r="F141" s="27"/>
    </row>
    <row r="142" spans="5:6" ht="12.75">
      <c r="E142" s="29"/>
      <c r="F142" s="27"/>
    </row>
    <row r="143" spans="5:6" ht="12.75">
      <c r="E143" s="29"/>
      <c r="F143" s="27"/>
    </row>
    <row r="144" spans="5:6" ht="12.75">
      <c r="E144" s="29"/>
      <c r="F144" s="27"/>
    </row>
    <row r="145" spans="5:6" ht="12.75">
      <c r="E145" s="29"/>
      <c r="F145" s="27"/>
    </row>
    <row r="146" spans="5:6" ht="12.75">
      <c r="E146" s="29"/>
      <c r="F146" s="27"/>
    </row>
    <row r="147" spans="5:6" ht="12.75">
      <c r="E147" s="29"/>
      <c r="F147" s="27"/>
    </row>
    <row r="148" spans="5:6" ht="12.75">
      <c r="E148" s="29"/>
      <c r="F148" s="27"/>
    </row>
    <row r="149" spans="5:6" ht="12.75">
      <c r="E149" s="29"/>
      <c r="F149" s="27"/>
    </row>
    <row r="150" spans="5:6" ht="12.75">
      <c r="E150" s="29"/>
      <c r="F150" s="27"/>
    </row>
    <row r="151" spans="5:6" ht="12.75">
      <c r="E151" s="29"/>
      <c r="F151" s="27"/>
    </row>
    <row r="152" spans="5:6" ht="12.75">
      <c r="E152" s="29"/>
      <c r="F152" s="27"/>
    </row>
    <row r="153" spans="5:6" ht="12.75">
      <c r="E153" s="29"/>
      <c r="F153" s="27"/>
    </row>
    <row r="154" spans="5:6" ht="12.75">
      <c r="E154" s="29"/>
      <c r="F154" s="27"/>
    </row>
    <row r="155" spans="5:6" ht="12.75">
      <c r="E155" s="29"/>
      <c r="F155" s="27"/>
    </row>
    <row r="156" spans="5:6" ht="12.75">
      <c r="E156" s="29"/>
      <c r="F156" s="27"/>
    </row>
    <row r="157" spans="5:6" ht="12.75">
      <c r="E157" s="29"/>
      <c r="F157" s="27"/>
    </row>
    <row r="158" spans="5:6" ht="12.75">
      <c r="E158" s="29"/>
      <c r="F158" s="27"/>
    </row>
    <row r="159" spans="5:6" ht="12.75">
      <c r="E159" s="29"/>
      <c r="F159" s="27"/>
    </row>
    <row r="160" spans="5:6" ht="12.75">
      <c r="E160" s="29"/>
      <c r="F160" s="27"/>
    </row>
    <row r="161" spans="5:6" ht="12.75">
      <c r="E161" s="29"/>
      <c r="F161" s="27"/>
    </row>
    <row r="162" spans="5:6" ht="12.75">
      <c r="E162" s="29"/>
      <c r="F162" s="27"/>
    </row>
    <row r="163" spans="5:6" ht="12.75">
      <c r="E163" s="29"/>
      <c r="F163" s="27"/>
    </row>
    <row r="164" spans="5:6" ht="12.75">
      <c r="E164" s="29"/>
      <c r="F164" s="27"/>
    </row>
    <row r="165" spans="5:6" ht="12.75">
      <c r="E165" s="29"/>
      <c r="F165" s="27"/>
    </row>
    <row r="166" spans="5:6" ht="12.75">
      <c r="E166" s="29"/>
      <c r="F166" s="27"/>
    </row>
    <row r="167" spans="5:6" ht="12.75">
      <c r="E167" s="29"/>
      <c r="F167" s="27"/>
    </row>
    <row r="168" spans="5:6" ht="12.75">
      <c r="E168" s="29"/>
      <c r="F168" s="27"/>
    </row>
    <row r="169" spans="5:6" ht="12.75">
      <c r="E169" s="29"/>
      <c r="F169" s="27"/>
    </row>
    <row r="170" spans="5:6" ht="12.75">
      <c r="E170" s="29"/>
      <c r="F170" s="27"/>
    </row>
    <row r="171" ht="12.75">
      <c r="F171" s="27"/>
    </row>
    <row r="172" ht="12.75">
      <c r="F172" s="27"/>
    </row>
    <row r="173" ht="12.75">
      <c r="F173" s="27"/>
    </row>
    <row r="174" ht="12.75">
      <c r="F174" s="27"/>
    </row>
    <row r="175" ht="12.75">
      <c r="F175" s="27"/>
    </row>
    <row r="176" ht="12.75">
      <c r="F176" s="27"/>
    </row>
    <row r="177" ht="12.75">
      <c r="F177" s="27"/>
    </row>
    <row r="178" ht="12.75">
      <c r="F178" s="27"/>
    </row>
    <row r="179" ht="12.75">
      <c r="F179" s="27"/>
    </row>
    <row r="180" ht="12.75">
      <c r="F180" s="27"/>
    </row>
    <row r="181" ht="12.75">
      <c r="F181" s="27"/>
    </row>
    <row r="182" ht="12.75">
      <c r="F182" s="27"/>
    </row>
    <row r="183" ht="12.75">
      <c r="F183" s="27"/>
    </row>
    <row r="184" ht="12.75">
      <c r="F184" s="27"/>
    </row>
    <row r="185" ht="12.75">
      <c r="F185" s="27"/>
    </row>
    <row r="186" ht="12.75">
      <c r="F186" s="27"/>
    </row>
    <row r="187" ht="12.75">
      <c r="F187" s="27"/>
    </row>
    <row r="188" ht="12.75">
      <c r="F188" s="27"/>
    </row>
    <row r="189" ht="12.75">
      <c r="F189" s="27"/>
    </row>
    <row r="190" ht="12.75">
      <c r="F190" s="27"/>
    </row>
    <row r="191" ht="12.75">
      <c r="F191" s="27"/>
    </row>
    <row r="192" ht="12.75">
      <c r="F192" s="27"/>
    </row>
    <row r="193" ht="12.75">
      <c r="F193" s="27"/>
    </row>
    <row r="194" ht="12.75">
      <c r="F194" s="27"/>
    </row>
    <row r="195" ht="12.75">
      <c r="F195" s="27"/>
    </row>
    <row r="196" ht="12.75">
      <c r="F196" s="27"/>
    </row>
    <row r="197" ht="12.75">
      <c r="F197" s="27"/>
    </row>
    <row r="198" ht="12.75">
      <c r="F198" s="27"/>
    </row>
    <row r="199" ht="12.75">
      <c r="F199" s="27"/>
    </row>
    <row r="200" ht="12.75">
      <c r="F200" s="27"/>
    </row>
    <row r="201" ht="12.75">
      <c r="F201" s="27"/>
    </row>
    <row r="202" ht="12.75">
      <c r="F202" s="27"/>
    </row>
    <row r="203" ht="12.75">
      <c r="F203" s="27"/>
    </row>
    <row r="204" ht="12.75">
      <c r="F204" s="27"/>
    </row>
    <row r="205" ht="12.75">
      <c r="F205" s="27"/>
    </row>
    <row r="206" ht="12.75">
      <c r="F206" s="27"/>
    </row>
    <row r="207" ht="12.75">
      <c r="F207" s="27"/>
    </row>
    <row r="208" ht="12.75">
      <c r="F208" s="27"/>
    </row>
    <row r="209" ht="12.75">
      <c r="F209" s="27"/>
    </row>
    <row r="210" ht="12.75">
      <c r="F210" s="27"/>
    </row>
    <row r="211" ht="12.75">
      <c r="F211" s="27"/>
    </row>
    <row r="212" ht="12.75">
      <c r="F212" s="27"/>
    </row>
    <row r="213" ht="12.75">
      <c r="F213" s="27"/>
    </row>
    <row r="214" ht="12.75">
      <c r="F214" s="27"/>
    </row>
    <row r="215" ht="12.75">
      <c r="F215" s="27"/>
    </row>
    <row r="216" ht="12.75">
      <c r="F216" s="27"/>
    </row>
    <row r="217" ht="12.75">
      <c r="F217" s="27"/>
    </row>
    <row r="218" ht="12.75">
      <c r="F218" s="27"/>
    </row>
    <row r="219" ht="12.75">
      <c r="F219" s="27"/>
    </row>
    <row r="220" ht="12.75">
      <c r="F220" s="27"/>
    </row>
    <row r="221" ht="12.75">
      <c r="F221" s="27"/>
    </row>
    <row r="222" ht="12.75">
      <c r="F222" s="27"/>
    </row>
    <row r="223" ht="12.75">
      <c r="F223" s="27"/>
    </row>
    <row r="224" ht="12.75">
      <c r="F224" s="27"/>
    </row>
    <row r="225" ht="12.75">
      <c r="F225" s="27"/>
    </row>
    <row r="226" ht="12.75">
      <c r="F226" s="27"/>
    </row>
    <row r="227" ht="12.75">
      <c r="F227" s="27"/>
    </row>
    <row r="228" ht="12.75">
      <c r="F228" s="27"/>
    </row>
    <row r="229" ht="12.75">
      <c r="F229" s="27"/>
    </row>
    <row r="230" ht="12.75">
      <c r="F230" s="27"/>
    </row>
    <row r="231" ht="12.75">
      <c r="F231" s="27"/>
    </row>
    <row r="232" ht="12.75">
      <c r="F232" s="27"/>
    </row>
    <row r="233" ht="12.75">
      <c r="F233" s="27"/>
    </row>
    <row r="234" ht="12.75">
      <c r="F234" s="27"/>
    </row>
    <row r="235" ht="12.75">
      <c r="F235" s="27"/>
    </row>
    <row r="236" ht="12.75">
      <c r="F236" s="27"/>
    </row>
    <row r="237" ht="12.75">
      <c r="F237" s="27"/>
    </row>
    <row r="238" ht="12.75">
      <c r="F238" s="27"/>
    </row>
    <row r="239" ht="12.75">
      <c r="F239" s="27"/>
    </row>
    <row r="240" ht="12.75">
      <c r="F240" s="27"/>
    </row>
    <row r="241" ht="12.75">
      <c r="F241" s="27"/>
    </row>
    <row r="242" ht="12.75">
      <c r="F242" s="27"/>
    </row>
    <row r="243" ht="12.75">
      <c r="F243" s="27"/>
    </row>
    <row r="244" ht="12.75">
      <c r="F244" s="27"/>
    </row>
    <row r="245" ht="12.75">
      <c r="F245" s="27"/>
    </row>
    <row r="246" ht="12.75">
      <c r="F246" s="27"/>
    </row>
    <row r="247" ht="12.75">
      <c r="F247" s="27"/>
    </row>
    <row r="248" ht="12.75">
      <c r="F248" s="27"/>
    </row>
    <row r="249" ht="12.75">
      <c r="F249" s="27"/>
    </row>
    <row r="250" ht="12.75">
      <c r="F250" s="27"/>
    </row>
    <row r="251" ht="12.75">
      <c r="F251" s="27"/>
    </row>
    <row r="252" ht="12.75">
      <c r="F252" s="27"/>
    </row>
    <row r="253" ht="12.75">
      <c r="F253" s="27"/>
    </row>
    <row r="254" ht="12.75">
      <c r="F254" s="27"/>
    </row>
    <row r="255" ht="12.75">
      <c r="F255" s="27"/>
    </row>
    <row r="256" ht="12.75">
      <c r="F256" s="27"/>
    </row>
    <row r="257" ht="12.75">
      <c r="F257" s="27"/>
    </row>
    <row r="258" ht="12.75">
      <c r="F258" s="27"/>
    </row>
    <row r="259" ht="12.75">
      <c r="F259" s="27"/>
    </row>
    <row r="260" ht="12.75">
      <c r="F260" s="27"/>
    </row>
    <row r="261" ht="12.75">
      <c r="F261" s="27"/>
    </row>
    <row r="262" ht="12.75">
      <c r="F262" s="27"/>
    </row>
    <row r="263" ht="12.75">
      <c r="F263" s="27"/>
    </row>
    <row r="264" ht="12.75">
      <c r="F264" s="27"/>
    </row>
    <row r="265" ht="12.75">
      <c r="F265" s="27"/>
    </row>
    <row r="266" ht="12.75">
      <c r="F266" s="27"/>
    </row>
    <row r="267" ht="12.75">
      <c r="F267" s="27"/>
    </row>
    <row r="268" ht="12.75">
      <c r="F268" s="27"/>
    </row>
    <row r="269" ht="12.75">
      <c r="F269" s="27"/>
    </row>
    <row r="270" ht="12.75">
      <c r="F270" s="27"/>
    </row>
    <row r="271" ht="12.75">
      <c r="F271" s="27"/>
    </row>
    <row r="272" ht="12.75">
      <c r="F272" s="27"/>
    </row>
    <row r="273" ht="12.75">
      <c r="F273" s="27"/>
    </row>
    <row r="274" ht="12.75">
      <c r="F274" s="27"/>
    </row>
    <row r="275" ht="12.75">
      <c r="F275" s="27"/>
    </row>
    <row r="276" ht="12.75">
      <c r="F276" s="27"/>
    </row>
  </sheetData>
  <printOptions/>
  <pageMargins left="0.75" right="0.75" top="0.75" bottom="1" header="0.5" footer="0.5"/>
  <pageSetup horizontalDpi="600" verticalDpi="600" orientation="landscape" r:id="rId1"/>
  <rowBreaks count="3" manualBreakCount="3">
    <brk id="39" max="9" man="1"/>
    <brk id="73" max="9" man="1"/>
    <brk id="10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"/>
  <sheetViews>
    <sheetView workbookViewId="0" topLeftCell="A121">
      <selection activeCell="A2" sqref="A2"/>
    </sheetView>
  </sheetViews>
  <sheetFormatPr defaultColWidth="9.140625" defaultRowHeight="12.75"/>
  <cols>
    <col min="1" max="1" width="2.8515625" style="0" customWidth="1"/>
    <col min="2" max="2" width="2.7109375" style="0" customWidth="1"/>
    <col min="3" max="3" width="42.28125" style="0" customWidth="1"/>
    <col min="4" max="4" width="11.28125" style="0" customWidth="1"/>
    <col min="5" max="5" width="13.28125" style="0" customWidth="1"/>
    <col min="7" max="7" width="15.00390625" style="0" customWidth="1"/>
    <col min="8" max="8" width="10.28125" style="0" customWidth="1"/>
    <col min="9" max="9" width="15.00390625" style="0" customWidth="1"/>
  </cols>
  <sheetData>
    <row r="1" spans="1:8" ht="12.75">
      <c r="A1" s="40" t="s">
        <v>196</v>
      </c>
      <c r="H1" s="54"/>
    </row>
    <row r="3" spans="1:9" ht="25.5">
      <c r="A3" s="23" t="s">
        <v>0</v>
      </c>
      <c r="B3" s="23"/>
      <c r="C3" s="40"/>
      <c r="D3" s="23" t="s">
        <v>1</v>
      </c>
      <c r="E3" s="39" t="s">
        <v>197</v>
      </c>
      <c r="F3" s="39" t="s">
        <v>206</v>
      </c>
      <c r="G3" s="39" t="s">
        <v>208</v>
      </c>
      <c r="H3" s="39" t="s">
        <v>207</v>
      </c>
      <c r="I3" s="39" t="s">
        <v>209</v>
      </c>
    </row>
    <row r="4" spans="1:4" ht="12.75">
      <c r="A4" s="21" t="s">
        <v>2</v>
      </c>
      <c r="B4" s="21"/>
      <c r="D4" s="21"/>
    </row>
    <row r="5" spans="2:4" ht="12.75">
      <c r="B5" s="21" t="s">
        <v>3</v>
      </c>
      <c r="D5" s="21"/>
    </row>
    <row r="6" spans="3:10" ht="12.75">
      <c r="C6" s="21" t="s">
        <v>5</v>
      </c>
      <c r="D6" s="21" t="s">
        <v>4</v>
      </c>
      <c r="E6" s="13">
        <f>'Regular Rate'!E6+Nonprofit!E6+Classroom!E6</f>
        <v>24065492.165779814</v>
      </c>
      <c r="F6" s="22">
        <v>0.16</v>
      </c>
      <c r="G6" s="25">
        <f>E6*F6</f>
        <v>3850478.7465247703</v>
      </c>
      <c r="H6" s="22">
        <v>0.165</v>
      </c>
      <c r="I6" s="25">
        <f>H6*E6</f>
        <v>3970806.2073536697</v>
      </c>
      <c r="J6" s="19"/>
    </row>
    <row r="7" spans="3:10" ht="12.75">
      <c r="C7" s="21" t="s">
        <v>6</v>
      </c>
      <c r="D7" s="21" t="s">
        <v>4</v>
      </c>
      <c r="E7" s="13">
        <f>'Regular Rate'!E7+Nonprofit!E7+Classroom!E7</f>
        <v>965766810.0768242</v>
      </c>
      <c r="F7" s="22">
        <v>0.209</v>
      </c>
      <c r="G7" s="25">
        <f aca="true" t="shared" si="0" ref="G7:G15">E7*F7</f>
        <v>201845263.30605626</v>
      </c>
      <c r="H7" s="22">
        <v>0.215</v>
      </c>
      <c r="I7" s="25">
        <f aca="true" t="shared" si="1" ref="I7:I20">H7*E7</f>
        <v>207639864.1665172</v>
      </c>
      <c r="J7" s="19"/>
    </row>
    <row r="8" spans="3:10" ht="12.75">
      <c r="C8" s="21" t="s">
        <v>7</v>
      </c>
      <c r="D8" s="21" t="s">
        <v>4</v>
      </c>
      <c r="E8" s="13">
        <f>'Regular Rate'!E8+Nonprofit!E8+Classroom!E8</f>
        <v>180043928.60876018</v>
      </c>
      <c r="F8" s="22">
        <v>0.219</v>
      </c>
      <c r="G8" s="25">
        <f t="shared" si="0"/>
        <v>39429620.36531848</v>
      </c>
      <c r="H8" s="22">
        <v>0.225</v>
      </c>
      <c r="I8" s="25">
        <f t="shared" si="1"/>
        <v>40509883.93697104</v>
      </c>
      <c r="J8" s="19"/>
    </row>
    <row r="9" spans="3:10" ht="12.75">
      <c r="C9" s="21" t="s">
        <v>8</v>
      </c>
      <c r="D9" s="21" t="s">
        <v>4</v>
      </c>
      <c r="E9" s="13">
        <f>'Regular Rate'!E9+Nonprofit!E9+Classroom!E9</f>
        <v>110853161.74261779</v>
      </c>
      <c r="F9" s="22">
        <v>0.239</v>
      </c>
      <c r="G9" s="25">
        <f t="shared" si="0"/>
        <v>26493905.65648565</v>
      </c>
      <c r="H9" s="22">
        <v>0.246</v>
      </c>
      <c r="I9" s="25">
        <f t="shared" si="1"/>
        <v>27269877.788683973</v>
      </c>
      <c r="J9" s="19"/>
    </row>
    <row r="10" spans="3:10" ht="12.75">
      <c r="C10" s="21" t="s">
        <v>9</v>
      </c>
      <c r="D10" s="21" t="s">
        <v>4</v>
      </c>
      <c r="E10" s="13">
        <f>'Regular Rate'!E10+Nonprofit!E10+Classroom!E10</f>
        <v>53890384.518821925</v>
      </c>
      <c r="F10" s="22">
        <v>0.257</v>
      </c>
      <c r="G10" s="25">
        <f t="shared" si="0"/>
        <v>13849828.821337234</v>
      </c>
      <c r="H10" s="22">
        <v>0.265</v>
      </c>
      <c r="I10" s="25">
        <f t="shared" si="1"/>
        <v>14280951.897487812</v>
      </c>
      <c r="J10" s="19"/>
    </row>
    <row r="11" spans="3:10" ht="12.75">
      <c r="C11" s="21" t="s">
        <v>10</v>
      </c>
      <c r="D11" s="21" t="s">
        <v>4</v>
      </c>
      <c r="E11" s="13">
        <f>'Regular Rate'!E11+Nonprofit!E11+Classroom!E11</f>
        <v>68906713.63799375</v>
      </c>
      <c r="F11" s="22">
        <v>0.303</v>
      </c>
      <c r="G11" s="25">
        <f t="shared" si="0"/>
        <v>20878734.232312106</v>
      </c>
      <c r="H11" s="22">
        <v>0.312</v>
      </c>
      <c r="I11" s="25">
        <f t="shared" si="1"/>
        <v>21498894.65505405</v>
      </c>
      <c r="J11" s="19"/>
    </row>
    <row r="12" spans="3:10" ht="12.75">
      <c r="C12" s="21" t="s">
        <v>11</v>
      </c>
      <c r="D12" s="21" t="s">
        <v>4</v>
      </c>
      <c r="E12" s="13">
        <f>'Regular Rate'!E12+Nonprofit!E12+Classroom!E12</f>
        <v>69255667.86615643</v>
      </c>
      <c r="F12" s="22">
        <v>0.372</v>
      </c>
      <c r="G12" s="25">
        <f t="shared" si="0"/>
        <v>25763108.44621019</v>
      </c>
      <c r="H12" s="22">
        <v>0.383</v>
      </c>
      <c r="I12" s="25">
        <f t="shared" si="1"/>
        <v>26524920.792737912</v>
      </c>
      <c r="J12" s="19"/>
    </row>
    <row r="13" spans="3:10" ht="12.75">
      <c r="C13" s="21" t="s">
        <v>12</v>
      </c>
      <c r="D13" s="21" t="s">
        <v>4</v>
      </c>
      <c r="E13" s="13">
        <f>'Regular Rate'!E13+Nonprofit!E13+Classroom!E13</f>
        <v>28702387.43519657</v>
      </c>
      <c r="F13" s="22">
        <v>0.446</v>
      </c>
      <c r="G13" s="25">
        <f t="shared" si="0"/>
        <v>12801264.796097672</v>
      </c>
      <c r="H13" s="22">
        <v>0.459</v>
      </c>
      <c r="I13" s="25">
        <f t="shared" si="1"/>
        <v>13174395.832755227</v>
      </c>
      <c r="J13" s="19"/>
    </row>
    <row r="14" spans="3:10" ht="12.75">
      <c r="C14" s="21" t="s">
        <v>13</v>
      </c>
      <c r="D14" s="21" t="s">
        <v>4</v>
      </c>
      <c r="E14" s="13">
        <f>'Regular Rate'!E14+Nonprofit!E14+Classroom!E14</f>
        <v>19940989.943538647</v>
      </c>
      <c r="F14" s="22">
        <v>0.534</v>
      </c>
      <c r="G14" s="25">
        <f t="shared" si="0"/>
        <v>10648488.629849639</v>
      </c>
      <c r="H14" s="22">
        <v>0.55</v>
      </c>
      <c r="I14" s="25">
        <f t="shared" si="1"/>
        <v>10967544.468946258</v>
      </c>
      <c r="J14" s="19"/>
    </row>
    <row r="15" spans="3:10" ht="12.75">
      <c r="C15" s="21" t="s">
        <v>14</v>
      </c>
      <c r="D15" s="21" t="s">
        <v>4</v>
      </c>
      <c r="E15" s="13">
        <f>'Regular Rate'!E15+Nonprofit!E15+Classroom!E15</f>
        <v>27874278.831747733</v>
      </c>
      <c r="F15" s="22">
        <v>0.61</v>
      </c>
      <c r="G15" s="25">
        <f t="shared" si="0"/>
        <v>17003310.087366115</v>
      </c>
      <c r="H15" s="22">
        <v>0.628</v>
      </c>
      <c r="I15" s="25">
        <f t="shared" si="1"/>
        <v>17505047.106337577</v>
      </c>
      <c r="J15" s="19"/>
    </row>
    <row r="16" spans="2:4" ht="12.75">
      <c r="B16" s="21" t="s">
        <v>15</v>
      </c>
      <c r="D16" s="21"/>
    </row>
    <row r="17" spans="3:10" ht="12.75">
      <c r="C17" s="21" t="s">
        <v>5</v>
      </c>
      <c r="D17" s="21" t="s">
        <v>4</v>
      </c>
      <c r="E17" s="13">
        <f>'Regular Rate'!E17+Nonprofit!E17+Classroom!E17+'Regular Rate'!E28</f>
        <v>16866972.2208086</v>
      </c>
      <c r="F17" s="22">
        <v>0.133</v>
      </c>
      <c r="G17" s="25">
        <f>E17*F17</f>
        <v>2243307.305367544</v>
      </c>
      <c r="H17" s="22">
        <v>0.137</v>
      </c>
      <c r="I17" s="25">
        <f t="shared" si="1"/>
        <v>2310775.1942507783</v>
      </c>
      <c r="J17" s="19"/>
    </row>
    <row r="18" spans="3:10" ht="12.75">
      <c r="C18" s="21" t="s">
        <v>6</v>
      </c>
      <c r="D18" s="21" t="s">
        <v>4</v>
      </c>
      <c r="E18" s="13">
        <f>'Regular Rate'!E18+Nonprofit!E18+Classroom!E18+'Regular Rate'!E29</f>
        <v>1195812691.2103925</v>
      </c>
      <c r="F18" s="22">
        <v>0.174</v>
      </c>
      <c r="G18" s="25">
        <f>E18*F18</f>
        <v>208071408.27060828</v>
      </c>
      <c r="H18" s="22">
        <v>0.179</v>
      </c>
      <c r="I18" s="25">
        <f t="shared" si="1"/>
        <v>214050471.72666025</v>
      </c>
      <c r="J18" s="19"/>
    </row>
    <row r="19" spans="3:10" ht="12.75">
      <c r="C19" s="21" t="s">
        <v>7</v>
      </c>
      <c r="D19" s="21" t="s">
        <v>4</v>
      </c>
      <c r="E19" s="13">
        <f>'Regular Rate'!E30</f>
        <v>445632.2601942716</v>
      </c>
      <c r="F19" s="22">
        <v>0.182</v>
      </c>
      <c r="G19" s="25">
        <f>E19*F19</f>
        <v>81105.07135535743</v>
      </c>
      <c r="H19" s="22">
        <v>0.187</v>
      </c>
      <c r="I19" s="25">
        <f t="shared" si="1"/>
        <v>83333.2326563288</v>
      </c>
      <c r="J19" s="19"/>
    </row>
    <row r="20" spans="3:10" ht="12.75">
      <c r="C20" s="21" t="s">
        <v>16</v>
      </c>
      <c r="D20" s="21" t="s">
        <v>4</v>
      </c>
      <c r="E20" s="13">
        <f>'Regular Rate'!E20+Nonprofit!E20+Classroom!E20+'Regular Rate'!E31</f>
        <v>629646230.3181925</v>
      </c>
      <c r="F20" s="22">
        <v>0.199</v>
      </c>
      <c r="G20" s="25">
        <f>E20*F20</f>
        <v>125299599.8333203</v>
      </c>
      <c r="H20" s="22">
        <v>0.205</v>
      </c>
      <c r="I20" s="25">
        <f t="shared" si="1"/>
        <v>129077477.21522945</v>
      </c>
      <c r="J20" s="19"/>
    </row>
    <row r="21" spans="1:4" ht="12.75">
      <c r="A21" t="s">
        <v>128</v>
      </c>
      <c r="C21" s="21"/>
      <c r="D21" s="21"/>
    </row>
    <row r="22" spans="2:4" ht="12.75">
      <c r="B22" s="21" t="s">
        <v>3</v>
      </c>
      <c r="D22" s="21"/>
    </row>
    <row r="23" spans="3:10" ht="12.75">
      <c r="C23" s="21" t="s">
        <v>5</v>
      </c>
      <c r="D23" s="21" t="s">
        <v>4</v>
      </c>
      <c r="E23" s="13">
        <f>'Regular Rate'!E23</f>
        <v>78704.91979239458</v>
      </c>
      <c r="F23" s="22">
        <v>0.12</v>
      </c>
      <c r="G23" s="25">
        <f>E23*F23</f>
        <v>9444.59037508735</v>
      </c>
      <c r="H23" s="22">
        <v>0.124</v>
      </c>
      <c r="I23" s="25">
        <f>H23*E23</f>
        <v>9759.410054256927</v>
      </c>
      <c r="J23" s="19"/>
    </row>
    <row r="24" spans="3:10" ht="12.75">
      <c r="C24" s="21" t="s">
        <v>6</v>
      </c>
      <c r="D24" s="21" t="s">
        <v>4</v>
      </c>
      <c r="E24" s="13">
        <f>'Regular Rate'!E24</f>
        <v>1194621.7111986987</v>
      </c>
      <c r="F24" s="22">
        <v>0.157</v>
      </c>
      <c r="G24" s="25">
        <f>E24*F24</f>
        <v>187555.6086581957</v>
      </c>
      <c r="H24" s="22">
        <v>0.162</v>
      </c>
      <c r="I24" s="25">
        <f>H24*E24</f>
        <v>193528.7172141892</v>
      </c>
      <c r="J24" s="19"/>
    </row>
    <row r="25" spans="3:10" ht="12.75">
      <c r="C25" s="21" t="s">
        <v>7</v>
      </c>
      <c r="D25" s="21" t="s">
        <v>4</v>
      </c>
      <c r="E25" s="13">
        <f>'Regular Rate'!E25</f>
        <v>18220.697532048693</v>
      </c>
      <c r="F25" s="22">
        <v>0.164</v>
      </c>
      <c r="G25" s="25">
        <f>E25*F25</f>
        <v>2988.194395255986</v>
      </c>
      <c r="H25" s="22">
        <v>0.169</v>
      </c>
      <c r="I25" s="25">
        <f>H25*E25</f>
        <v>3079.2978829162294</v>
      </c>
      <c r="J25" s="19"/>
    </row>
    <row r="26" spans="3:10" ht="12.75">
      <c r="C26" s="21" t="s">
        <v>8</v>
      </c>
      <c r="D26" s="21" t="s">
        <v>4</v>
      </c>
      <c r="E26" s="13">
        <f>'Regular Rate'!E26</f>
        <v>5784148.339968669</v>
      </c>
      <c r="F26" s="22">
        <v>0.179</v>
      </c>
      <c r="G26" s="25">
        <f>E26*F26</f>
        <v>1035362.5528543917</v>
      </c>
      <c r="H26" s="22">
        <v>0.184</v>
      </c>
      <c r="I26" s="25">
        <f>H26*E26</f>
        <v>1064283.2945542352</v>
      </c>
      <c r="J26" s="19"/>
    </row>
    <row r="27" spans="1:4" ht="12.75">
      <c r="A27" s="21" t="s">
        <v>17</v>
      </c>
      <c r="B27" s="21"/>
      <c r="D27" s="21"/>
    </row>
    <row r="28" spans="2:4" ht="12.75">
      <c r="B28" s="21" t="s">
        <v>19</v>
      </c>
      <c r="D28" s="21"/>
    </row>
    <row r="29" spans="3:10" ht="12.75">
      <c r="C29" s="21" t="s">
        <v>20</v>
      </c>
      <c r="D29" s="21" t="s">
        <v>18</v>
      </c>
      <c r="E29" s="13">
        <f>'Regular Rate'!E34+Nonprofit!E23+Classroom!E23</f>
        <v>30160204.29000618</v>
      </c>
      <c r="F29" s="22">
        <v>0.534</v>
      </c>
      <c r="G29" s="25">
        <f>E29*F29</f>
        <v>16105549.0908633</v>
      </c>
      <c r="H29" s="22">
        <v>0.55</v>
      </c>
      <c r="I29" s="25">
        <f>H29*E29</f>
        <v>16588112.3595034</v>
      </c>
      <c r="J29" s="19"/>
    </row>
    <row r="30" spans="3:10" ht="12.75">
      <c r="C30" s="21" t="s">
        <v>21</v>
      </c>
      <c r="D30" s="21" t="s">
        <v>18</v>
      </c>
      <c r="E30" s="13">
        <f>'Regular Rate'!E35+Nonprofit!E24+Classroom!E24</f>
        <v>17214129.566923693</v>
      </c>
      <c r="F30" s="22">
        <v>0.431</v>
      </c>
      <c r="G30" s="25">
        <f>E30*F30</f>
        <v>7419289.843344112</v>
      </c>
      <c r="H30" s="22">
        <v>0.444</v>
      </c>
      <c r="I30" s="25">
        <f>H30*E30</f>
        <v>7643073.527714119</v>
      </c>
      <c r="J30" s="19"/>
    </row>
    <row r="31" spans="3:10" ht="12.75">
      <c r="C31" s="21" t="s">
        <v>22</v>
      </c>
      <c r="D31" s="21" t="s">
        <v>18</v>
      </c>
      <c r="E31" s="13">
        <f>'Regular Rate'!E36+Nonprofit!E25+Classroom!E25</f>
        <v>11261865.196</v>
      </c>
      <c r="F31" s="22">
        <v>0.504</v>
      </c>
      <c r="G31" s="25">
        <f>E31*F31</f>
        <v>5675980.058784001</v>
      </c>
      <c r="H31" s="22">
        <v>0.519</v>
      </c>
      <c r="I31" s="25">
        <f>H31*E31</f>
        <v>5844908.036724</v>
      </c>
      <c r="J31" s="19"/>
    </row>
    <row r="32" spans="3:10" ht="12.75">
      <c r="C32" s="21" t="s">
        <v>23</v>
      </c>
      <c r="D32" s="21" t="s">
        <v>18</v>
      </c>
      <c r="E32" s="13">
        <f>'Regular Rate'!E37+Nonprofit!E26+Classroom!E26</f>
        <v>19165228.825999998</v>
      </c>
      <c r="F32" s="22">
        <v>0.404</v>
      </c>
      <c r="G32" s="25">
        <f>E32*F32</f>
        <v>7742752.445703999</v>
      </c>
      <c r="H32" s="22">
        <v>0.416</v>
      </c>
      <c r="I32" s="25">
        <f>H32*E32</f>
        <v>7972735.191615999</v>
      </c>
      <c r="J32" s="19"/>
    </row>
    <row r="33" spans="3:10" ht="12.75">
      <c r="C33" s="21" t="s">
        <v>24</v>
      </c>
      <c r="D33" s="21" t="s">
        <v>18</v>
      </c>
      <c r="E33" s="13">
        <f>'Regular Rate'!E38+Nonprofit!E27+Classroom!E27</f>
        <v>25718741.035605844</v>
      </c>
      <c r="F33" s="22">
        <v>0.327</v>
      </c>
      <c r="G33" s="25">
        <f>E33*F33</f>
        <v>8410028.318643112</v>
      </c>
      <c r="H33" s="22">
        <v>0.337</v>
      </c>
      <c r="I33" s="25">
        <f>H33*E33</f>
        <v>8667215.72899917</v>
      </c>
      <c r="J33" s="19"/>
    </row>
    <row r="34" spans="2:8" ht="12.75">
      <c r="B34" s="21" t="s">
        <v>25</v>
      </c>
      <c r="D34" s="21"/>
      <c r="E34" s="13"/>
      <c r="F34" s="22"/>
      <c r="H34" s="22"/>
    </row>
    <row r="35" spans="3:10" ht="12.75">
      <c r="C35" s="21" t="s">
        <v>20</v>
      </c>
      <c r="D35" s="21" t="s">
        <v>18</v>
      </c>
      <c r="E35" s="13">
        <f>'Regular Rate'!E40+Nonprofit!E29+Classroom!E29</f>
        <v>35047979.2898309</v>
      </c>
      <c r="F35" s="22">
        <v>0.432</v>
      </c>
      <c r="G35" s="25">
        <f>E35*F35</f>
        <v>15140727.053206949</v>
      </c>
      <c r="H35" s="22">
        <v>0.445</v>
      </c>
      <c r="I35" s="25">
        <f aca="true" t="shared" si="2" ref="I35:I57">H35*E35</f>
        <v>15596350.783974752</v>
      </c>
      <c r="J35" s="19"/>
    </row>
    <row r="36" spans="3:10" ht="12.75">
      <c r="C36" s="21" t="s">
        <v>21</v>
      </c>
      <c r="D36" s="21" t="s">
        <v>18</v>
      </c>
      <c r="E36" s="13">
        <f>'Regular Rate'!E41+Nonprofit!E30+Classroom!E30</f>
        <v>14590214.869473133</v>
      </c>
      <c r="F36" s="22">
        <v>0.37</v>
      </c>
      <c r="G36" s="25">
        <f>E36*F36</f>
        <v>5398379.501705059</v>
      </c>
      <c r="H36" s="22">
        <v>0.381</v>
      </c>
      <c r="I36" s="25">
        <f t="shared" si="2"/>
        <v>5558871.865269264</v>
      </c>
      <c r="J36" s="19"/>
    </row>
    <row r="37" spans="3:10" ht="12.75">
      <c r="C37" s="21" t="s">
        <v>22</v>
      </c>
      <c r="D37" s="21" t="s">
        <v>18</v>
      </c>
      <c r="E37" s="13">
        <f>'Regular Rate'!E42+Nonprofit!E31+Classroom!E31</f>
        <v>30502411.392</v>
      </c>
      <c r="F37" s="22">
        <v>0.412</v>
      </c>
      <c r="G37" s="25">
        <f>E37*F37</f>
        <v>12566993.493503999</v>
      </c>
      <c r="H37" s="22">
        <v>0.424</v>
      </c>
      <c r="I37" s="25">
        <f t="shared" si="2"/>
        <v>12933022.430208</v>
      </c>
      <c r="J37" s="19"/>
    </row>
    <row r="38" spans="3:10" ht="12.75">
      <c r="C38" s="21" t="s">
        <v>23</v>
      </c>
      <c r="D38" s="21" t="s">
        <v>18</v>
      </c>
      <c r="E38" s="13">
        <f>'Regular Rate'!E43+Nonprofit!E32+Classroom!E32</f>
        <v>71576333.225</v>
      </c>
      <c r="F38" s="22">
        <v>0.35</v>
      </c>
      <c r="G38" s="25">
        <f>E38*F38</f>
        <v>25051716.628749996</v>
      </c>
      <c r="H38" s="22">
        <v>0.36</v>
      </c>
      <c r="I38" s="25">
        <f t="shared" si="2"/>
        <v>25767479.960999995</v>
      </c>
      <c r="J38" s="19"/>
    </row>
    <row r="39" spans="3:10" ht="12.75">
      <c r="C39" s="21" t="s">
        <v>24</v>
      </c>
      <c r="D39" s="21" t="s">
        <v>18</v>
      </c>
      <c r="E39" s="13">
        <f>'Regular Rate'!E44+Nonprofit!E33+Classroom!E33</f>
        <v>13402718.209058449</v>
      </c>
      <c r="F39" s="22">
        <v>0.289</v>
      </c>
      <c r="G39" s="25">
        <f>E39*F39</f>
        <v>3873385.5624178913</v>
      </c>
      <c r="H39" s="22">
        <v>0.298</v>
      </c>
      <c r="I39" s="25">
        <f t="shared" si="2"/>
        <v>3994010.0262994175</v>
      </c>
      <c r="J39" s="19"/>
    </row>
    <row r="40" spans="2:8" ht="12.75">
      <c r="B40" s="21" t="s">
        <v>26</v>
      </c>
      <c r="D40" s="21"/>
      <c r="E40" s="13"/>
      <c r="F40" s="22"/>
      <c r="H40" s="22"/>
    </row>
    <row r="41" spans="3:10" ht="12.75">
      <c r="C41" s="21" t="s">
        <v>20</v>
      </c>
      <c r="D41" s="21" t="s">
        <v>18</v>
      </c>
      <c r="E41" s="13">
        <f>'Regular Rate'!E46+Nonprofit!E35+Classroom!E35</f>
        <v>72179636.05031928</v>
      </c>
      <c r="F41" s="22">
        <v>0.373</v>
      </c>
      <c r="G41" s="25">
        <f>E41*F41</f>
        <v>26923004.246769093</v>
      </c>
      <c r="H41" s="22">
        <v>0.384</v>
      </c>
      <c r="I41" s="25">
        <f t="shared" si="2"/>
        <v>27716980.243322607</v>
      </c>
      <c r="J41" s="19"/>
    </row>
    <row r="42" spans="3:10" ht="12.75">
      <c r="C42" s="21" t="s">
        <v>21</v>
      </c>
      <c r="D42" s="21" t="s">
        <v>18</v>
      </c>
      <c r="E42" s="13">
        <f>'Regular Rate'!E47+Nonprofit!E36+Classroom!E36</f>
        <v>72170125.42747018</v>
      </c>
      <c r="F42" s="22">
        <v>0.348</v>
      </c>
      <c r="G42" s="25">
        <f>E42*F42</f>
        <v>25115203.64875962</v>
      </c>
      <c r="H42" s="22">
        <v>0.358</v>
      </c>
      <c r="I42" s="25">
        <f t="shared" si="2"/>
        <v>25836904.903034322</v>
      </c>
      <c r="J42" s="19"/>
    </row>
    <row r="43" spans="3:10" ht="12.75">
      <c r="C43" s="21" t="s">
        <v>22</v>
      </c>
      <c r="D43" s="21" t="s">
        <v>18</v>
      </c>
      <c r="E43" s="13">
        <f>'Regular Rate'!E48+Nonprofit!E37+Classroom!E37</f>
        <v>170620173.46999997</v>
      </c>
      <c r="F43" s="22">
        <v>0.362</v>
      </c>
      <c r="G43" s="25">
        <f>E43*F43</f>
        <v>61764502.796139985</v>
      </c>
      <c r="H43" s="22">
        <v>0.373</v>
      </c>
      <c r="I43" s="25">
        <f t="shared" si="2"/>
        <v>63641324.704309985</v>
      </c>
      <c r="J43" s="19"/>
    </row>
    <row r="44" spans="3:10" ht="12.75">
      <c r="C44" s="21" t="s">
        <v>23</v>
      </c>
      <c r="D44" s="21" t="s">
        <v>18</v>
      </c>
      <c r="E44" s="13">
        <f>'Regular Rate'!E49+Nonprofit!E38+Classroom!E38</f>
        <v>740073228.576</v>
      </c>
      <c r="F44" s="22">
        <v>0.331</v>
      </c>
      <c r="G44" s="25">
        <f>E44*F44</f>
        <v>244964238.658656</v>
      </c>
      <c r="H44" s="22">
        <v>0.341</v>
      </c>
      <c r="I44" s="25">
        <f t="shared" si="2"/>
        <v>252364970.94441602</v>
      </c>
      <c r="J44" s="19"/>
    </row>
    <row r="45" spans="3:10" ht="12.75">
      <c r="C45" s="21" t="s">
        <v>24</v>
      </c>
      <c r="D45" s="21" t="s">
        <v>18</v>
      </c>
      <c r="E45" s="13">
        <f>'Regular Rate'!E50+Nonprofit!E39+Classroom!E39</f>
        <v>21012434.138132554</v>
      </c>
      <c r="F45" s="22">
        <v>0.275</v>
      </c>
      <c r="G45" s="25">
        <f>E45*F45</f>
        <v>5778419.387986452</v>
      </c>
      <c r="H45" s="22">
        <v>0.283</v>
      </c>
      <c r="I45" s="25">
        <f t="shared" si="2"/>
        <v>5946518.861091512</v>
      </c>
      <c r="J45" s="19"/>
    </row>
    <row r="46" spans="2:8" ht="12.75">
      <c r="B46" s="21" t="s">
        <v>27</v>
      </c>
      <c r="D46" s="21"/>
      <c r="E46" s="13"/>
      <c r="F46" s="22"/>
      <c r="H46" s="22"/>
    </row>
    <row r="47" spans="3:10" ht="12.75">
      <c r="C47" s="21" t="s">
        <v>20</v>
      </c>
      <c r="D47" s="21" t="s">
        <v>18</v>
      </c>
      <c r="E47" s="13">
        <f>'Regular Rate'!E52+Nonprofit!E41+Classroom!E41</f>
        <v>73416752.01758468</v>
      </c>
      <c r="F47" s="22">
        <v>0.289</v>
      </c>
      <c r="G47" s="25">
        <f>E47*F47</f>
        <v>21217441.33308197</v>
      </c>
      <c r="H47" s="22">
        <v>0.298</v>
      </c>
      <c r="I47" s="25">
        <f t="shared" si="2"/>
        <v>21878192.101240233</v>
      </c>
      <c r="J47" s="19"/>
    </row>
    <row r="48" spans="3:10" ht="12.75">
      <c r="C48" s="21" t="s">
        <v>21</v>
      </c>
      <c r="D48" s="21" t="s">
        <v>18</v>
      </c>
      <c r="E48" s="13">
        <f>'Regular Rate'!E53+Nonprofit!E42+Classroom!E42</f>
        <v>131277658.5218561</v>
      </c>
      <c r="F48" s="22">
        <v>0.276</v>
      </c>
      <c r="G48" s="25">
        <f>E48*F48</f>
        <v>36232633.75203229</v>
      </c>
      <c r="H48" s="22">
        <v>0.284</v>
      </c>
      <c r="I48" s="25">
        <f t="shared" si="2"/>
        <v>37282855.02020713</v>
      </c>
      <c r="J48" s="19"/>
    </row>
    <row r="49" spans="3:10" ht="12.75">
      <c r="C49" s="21" t="s">
        <v>22</v>
      </c>
      <c r="D49" s="21" t="s">
        <v>18</v>
      </c>
      <c r="E49" s="13">
        <f>'Regular Rate'!E54+Nonprofit!E43+Classroom!E43</f>
        <v>372196084.65300024</v>
      </c>
      <c r="F49" s="22">
        <v>0.285</v>
      </c>
      <c r="G49" s="25">
        <f>E49*F49</f>
        <v>106075884.12610506</v>
      </c>
      <c r="H49" s="22">
        <v>0.293</v>
      </c>
      <c r="I49" s="25">
        <f t="shared" si="2"/>
        <v>109053452.80332907</v>
      </c>
      <c r="J49" s="19"/>
    </row>
    <row r="50" spans="3:10" ht="12.75">
      <c r="C50" s="21" t="s">
        <v>23</v>
      </c>
      <c r="D50" s="21" t="s">
        <v>18</v>
      </c>
      <c r="E50" s="13">
        <f>'Regular Rate'!E55+Nonprofit!E44+Classroom!E44</f>
        <v>2028729835.3379998</v>
      </c>
      <c r="F50" s="22">
        <v>0.268</v>
      </c>
      <c r="G50" s="25">
        <f>E50*F50</f>
        <v>543699595.870584</v>
      </c>
      <c r="H50" s="22">
        <v>0.276</v>
      </c>
      <c r="I50" s="25">
        <f t="shared" si="2"/>
        <v>559929434.553288</v>
      </c>
      <c r="J50" s="19"/>
    </row>
    <row r="51" spans="3:10" ht="12.75">
      <c r="C51" s="21" t="s">
        <v>24</v>
      </c>
      <c r="D51" s="21" t="s">
        <v>18</v>
      </c>
      <c r="E51" s="13">
        <f>'Regular Rate'!E56+Nonprofit!E45+Classroom!E45</f>
        <v>1557720.7327401692</v>
      </c>
      <c r="F51" s="22">
        <v>0.211</v>
      </c>
      <c r="G51" s="25">
        <f>E51*F51</f>
        <v>328679.07460817567</v>
      </c>
      <c r="H51" s="22">
        <v>0.217</v>
      </c>
      <c r="I51" s="25">
        <f t="shared" si="2"/>
        <v>338025.3990046167</v>
      </c>
      <c r="J51" s="19"/>
    </row>
    <row r="52" spans="2:8" ht="12.75">
      <c r="B52" s="21" t="s">
        <v>28</v>
      </c>
      <c r="D52" s="21"/>
      <c r="E52" s="13"/>
      <c r="F52" s="22"/>
      <c r="H52" s="22"/>
    </row>
    <row r="53" spans="3:10" ht="12.75">
      <c r="C53" s="21" t="s">
        <v>29</v>
      </c>
      <c r="D53" s="21" t="s">
        <v>18</v>
      </c>
      <c r="E53" s="13">
        <f>'Regular Rate'!E58+Nonprofit!E47+Classroom!E47</f>
        <v>3810131615.3869987</v>
      </c>
      <c r="F53" s="22">
        <v>0.169</v>
      </c>
      <c r="G53" s="25">
        <f>E53*F53</f>
        <v>643912243.0004028</v>
      </c>
      <c r="H53" s="22">
        <v>0.174</v>
      </c>
      <c r="I53" s="25">
        <f t="shared" si="2"/>
        <v>662962901.0773377</v>
      </c>
      <c r="J53" s="19"/>
    </row>
    <row r="54" spans="3:10" ht="12.75">
      <c r="C54" s="21" t="s">
        <v>30</v>
      </c>
      <c r="D54" s="21" t="s">
        <v>18</v>
      </c>
      <c r="E54" s="13">
        <f>'Regular Rate'!E59+Nonprofit!E48+Classroom!E48</f>
        <v>178593465.72199997</v>
      </c>
      <c r="F54" s="22">
        <v>0.149</v>
      </c>
      <c r="G54" s="25">
        <f>E54*F54</f>
        <v>26610426.392577995</v>
      </c>
      <c r="H54" s="22">
        <v>0.153</v>
      </c>
      <c r="I54" s="25">
        <f t="shared" si="2"/>
        <v>27324800.255465996</v>
      </c>
      <c r="J54" s="19"/>
    </row>
    <row r="55" spans="3:10" ht="12.75">
      <c r="C55" s="21" t="s">
        <v>31</v>
      </c>
      <c r="D55" s="21" t="s">
        <v>18</v>
      </c>
      <c r="E55" s="13">
        <f>'Regular Rate'!E60+Nonprofit!E49+Classroom!E49</f>
        <v>74416753.763</v>
      </c>
      <c r="F55" s="22">
        <v>0.131</v>
      </c>
      <c r="G55" s="25">
        <f>E55*F55</f>
        <v>9748594.742953</v>
      </c>
      <c r="H55" s="22">
        <v>0.135</v>
      </c>
      <c r="I55" s="25">
        <f t="shared" si="2"/>
        <v>10046261.758005</v>
      </c>
      <c r="J55" s="19"/>
    </row>
    <row r="56" spans="3:10" ht="12.75">
      <c r="C56" s="21" t="s">
        <v>32</v>
      </c>
      <c r="D56" s="21" t="s">
        <v>18</v>
      </c>
      <c r="E56" s="13">
        <f>'Regular Rate'!E61+Nonprofit!E50+Classroom!E50</f>
        <v>44357433.303</v>
      </c>
      <c r="F56" s="22">
        <v>0.169</v>
      </c>
      <c r="G56" s="25">
        <f>E56*F56</f>
        <v>7496406.228207001</v>
      </c>
      <c r="H56" s="22">
        <v>0.174</v>
      </c>
      <c r="I56" s="25">
        <f t="shared" si="2"/>
        <v>7718193.394722</v>
      </c>
      <c r="J56" s="19"/>
    </row>
    <row r="57" spans="3:10" ht="12.75">
      <c r="C57" s="21" t="s">
        <v>33</v>
      </c>
      <c r="D57" s="21" t="s">
        <v>34</v>
      </c>
      <c r="E57" s="13">
        <f>'Regular Rate'!E62+Nonprofit!E51+Classroom!E51</f>
        <v>4979642408.7704</v>
      </c>
      <c r="F57" s="22">
        <v>-0.091</v>
      </c>
      <c r="G57" s="25">
        <f>E57*F57</f>
        <v>-453147459.1981064</v>
      </c>
      <c r="H57" s="22">
        <v>-0.094</v>
      </c>
      <c r="I57" s="25">
        <f t="shared" si="2"/>
        <v>-468086386.4244176</v>
      </c>
      <c r="J57" s="19"/>
    </row>
    <row r="58" spans="1:5" ht="12.75">
      <c r="A58" s="21" t="s">
        <v>35</v>
      </c>
      <c r="D58" s="21"/>
      <c r="E58" s="13"/>
    </row>
    <row r="59" spans="2:5" ht="12.75">
      <c r="B59" s="21" t="s">
        <v>37</v>
      </c>
      <c r="D59" s="21"/>
      <c r="E59" s="13"/>
    </row>
    <row r="60" spans="3:10" ht="12.75">
      <c r="C60" s="21" t="s">
        <v>38</v>
      </c>
      <c r="D60" s="21" t="s">
        <v>36</v>
      </c>
      <c r="E60" s="13">
        <f>'Regular Rate'!E65+Nonprofit!E54+Classroom!E54</f>
        <v>4428487.8270000005</v>
      </c>
      <c r="F60" s="22">
        <v>0.1</v>
      </c>
      <c r="G60" s="25">
        <f>E60*F60</f>
        <v>442848.7827000001</v>
      </c>
      <c r="H60" s="22">
        <v>0.103</v>
      </c>
      <c r="I60" s="25">
        <f>H60*E60</f>
        <v>456134.246181</v>
      </c>
      <c r="J60" s="19"/>
    </row>
    <row r="61" spans="3:10" ht="12.75">
      <c r="C61" s="21" t="s">
        <v>39</v>
      </c>
      <c r="D61" s="21" t="s">
        <v>36</v>
      </c>
      <c r="E61" s="13">
        <f>'Regular Rate'!E66+Nonprofit!E55+Classroom!E55</f>
        <v>8445785.236000001</v>
      </c>
      <c r="F61" s="22">
        <v>0.129</v>
      </c>
      <c r="G61" s="25">
        <f>E61*F61</f>
        <v>1089506.2954440003</v>
      </c>
      <c r="H61" s="22">
        <v>0.133</v>
      </c>
      <c r="I61" s="25">
        <f>H61*E61</f>
        <v>1123289.4363880001</v>
      </c>
      <c r="J61" s="19"/>
    </row>
    <row r="62" spans="3:10" ht="12.75">
      <c r="C62" s="21" t="s">
        <v>40</v>
      </c>
      <c r="D62" s="21" t="s">
        <v>36</v>
      </c>
      <c r="E62" s="13">
        <f>'Regular Rate'!E67+Nonprofit!E56+Classroom!E56</f>
        <v>7392582.669999998</v>
      </c>
      <c r="F62" s="22">
        <v>0.134</v>
      </c>
      <c r="G62" s="25">
        <f>E62*F62</f>
        <v>990606.0777799998</v>
      </c>
      <c r="H62" s="22">
        <v>0.138</v>
      </c>
      <c r="I62" s="25">
        <f>H62*E62</f>
        <v>1020176.4084599998</v>
      </c>
      <c r="J62" s="19"/>
    </row>
    <row r="63" spans="3:10" ht="12.75">
      <c r="C63" s="21" t="s">
        <v>41</v>
      </c>
      <c r="D63" s="21" t="s">
        <v>36</v>
      </c>
      <c r="E63" s="13">
        <f>'Regular Rate'!E68+Nonprofit!E57+Classroom!E57</f>
        <v>1380064.363</v>
      </c>
      <c r="F63" s="22">
        <v>0.161</v>
      </c>
      <c r="G63" s="25">
        <f>E63*F63</f>
        <v>222190.362443</v>
      </c>
      <c r="H63" s="22">
        <v>0.166</v>
      </c>
      <c r="I63" s="25">
        <f>H63*E63</f>
        <v>229090.684258</v>
      </c>
      <c r="J63" s="19"/>
    </row>
    <row r="64" spans="3:10" ht="12.75">
      <c r="C64" s="21" t="s">
        <v>32</v>
      </c>
      <c r="D64" s="21" t="s">
        <v>36</v>
      </c>
      <c r="E64" s="13">
        <f>'Regular Rate'!E69+Nonprofit!E58+Classroom!E58</f>
        <v>4662972.861</v>
      </c>
      <c r="F64" s="22">
        <v>0.079</v>
      </c>
      <c r="G64" s="25">
        <f>E64*F64</f>
        <v>368374.85601899994</v>
      </c>
      <c r="H64" s="22">
        <v>0.081</v>
      </c>
      <c r="I64" s="25">
        <f>H64*E64</f>
        <v>377700.801741</v>
      </c>
      <c r="J64" s="19"/>
    </row>
    <row r="65" spans="2:8" ht="12.75">
      <c r="B65" s="21" t="s">
        <v>42</v>
      </c>
      <c r="D65" s="21"/>
      <c r="E65" s="13"/>
      <c r="F65" s="22"/>
      <c r="H65" s="22"/>
    </row>
    <row r="66" spans="3:10" ht="12.75">
      <c r="C66" s="21" t="s">
        <v>39</v>
      </c>
      <c r="D66" s="21" t="s">
        <v>36</v>
      </c>
      <c r="E66" s="13">
        <f>'Regular Rate'!E71+Nonprofit!E60+Classroom!E60</f>
        <v>5710370.323</v>
      </c>
      <c r="F66" s="22">
        <v>0.038</v>
      </c>
      <c r="G66" s="25">
        <f>E66*F66</f>
        <v>216994.07227399998</v>
      </c>
      <c r="H66" s="22">
        <v>0.039</v>
      </c>
      <c r="I66" s="25">
        <f>H66*E66</f>
        <v>222704.442597</v>
      </c>
      <c r="J66" s="19"/>
    </row>
    <row r="67" spans="3:10" ht="12.75">
      <c r="C67" s="21" t="s">
        <v>40</v>
      </c>
      <c r="D67" s="21" t="s">
        <v>36</v>
      </c>
      <c r="E67" s="13">
        <f>'Regular Rate'!E72+Nonprofit!E61+Classroom!E61</f>
        <v>24761669.677999992</v>
      </c>
      <c r="F67" s="22">
        <v>0.063</v>
      </c>
      <c r="G67" s="25">
        <f>E67*F67</f>
        <v>1559985.1897139994</v>
      </c>
      <c r="H67" s="22">
        <v>0.065</v>
      </c>
      <c r="I67" s="25">
        <f>H67*E67</f>
        <v>1609508.5290699995</v>
      </c>
      <c r="J67" s="19"/>
    </row>
    <row r="68" spans="3:10" ht="12.75">
      <c r="C68" s="21" t="s">
        <v>41</v>
      </c>
      <c r="D68" s="21" t="s">
        <v>36</v>
      </c>
      <c r="E68" s="13">
        <f>'Regular Rate'!E73+Nonprofit!E62+Classroom!E62</f>
        <v>40485628.9</v>
      </c>
      <c r="F68" s="22">
        <v>0.095</v>
      </c>
      <c r="G68" s="25">
        <f>E68*F68</f>
        <v>3846134.7454999997</v>
      </c>
      <c r="H68" s="22">
        <v>0.098</v>
      </c>
      <c r="I68" s="25">
        <f>H68*E68</f>
        <v>3967591.6322</v>
      </c>
      <c r="J68" s="19"/>
    </row>
    <row r="69" spans="3:10" ht="12.75">
      <c r="C69" s="21" t="s">
        <v>43</v>
      </c>
      <c r="D69" s="21" t="s">
        <v>36</v>
      </c>
      <c r="E69" s="13">
        <f>'Regular Rate'!E74+Nonprofit!E63+Classroom!E63</f>
        <v>18712352.099999998</v>
      </c>
      <c r="F69" s="22">
        <v>0.104</v>
      </c>
      <c r="G69" s="25">
        <f>E69*F69</f>
        <v>1946084.6183999996</v>
      </c>
      <c r="H69" s="22">
        <v>0.107</v>
      </c>
      <c r="I69" s="25">
        <f>H69*E69</f>
        <v>2002221.6746999996</v>
      </c>
      <c r="J69" s="19"/>
    </row>
    <row r="70" spans="3:10" ht="12.75">
      <c r="C70" s="21" t="s">
        <v>32</v>
      </c>
      <c r="D70" s="21" t="s">
        <v>36</v>
      </c>
      <c r="E70" s="13">
        <f>'Regular Rate'!E75+Nonprofit!E64+Classroom!E64</f>
        <v>12278520.092000004</v>
      </c>
      <c r="F70" s="22">
        <v>0.048</v>
      </c>
      <c r="G70" s="25">
        <f>E70*F70</f>
        <v>589368.9644160002</v>
      </c>
      <c r="H70" s="22">
        <v>0.049</v>
      </c>
      <c r="I70" s="25">
        <f>H70*E70</f>
        <v>601647.4845080002</v>
      </c>
      <c r="J70" s="19"/>
    </row>
    <row r="71" spans="2:8" ht="12.75">
      <c r="B71" s="21" t="s">
        <v>44</v>
      </c>
      <c r="D71" s="21"/>
      <c r="E71" s="13"/>
      <c r="F71" s="22"/>
      <c r="H71" s="22"/>
    </row>
    <row r="72" spans="3:10" ht="12.75">
      <c r="C72" s="21" t="s">
        <v>40</v>
      </c>
      <c r="D72" s="21" t="s">
        <v>36</v>
      </c>
      <c r="E72" s="13">
        <f>'Regular Rate'!E77+Nonprofit!E66+Classroom!E66</f>
        <v>35742486.77</v>
      </c>
      <c r="F72" s="22">
        <v>0.039</v>
      </c>
      <c r="G72" s="25">
        <f>E72*F72</f>
        <v>1393956.9840300002</v>
      </c>
      <c r="H72" s="22">
        <v>0.04</v>
      </c>
      <c r="I72" s="25">
        <f>H72*E72</f>
        <v>1429699.4708000002</v>
      </c>
      <c r="J72" s="19"/>
    </row>
    <row r="73" spans="3:10" ht="12.75">
      <c r="C73" s="21" t="s">
        <v>41</v>
      </c>
      <c r="D73" s="21" t="s">
        <v>36</v>
      </c>
      <c r="E73" s="13">
        <f>'Regular Rate'!E78+Nonprofit!E67+Classroom!E67</f>
        <v>129179351.46699995</v>
      </c>
      <c r="F73" s="22">
        <v>0.084</v>
      </c>
      <c r="G73" s="25">
        <f>E73*F73</f>
        <v>10851065.523227997</v>
      </c>
      <c r="H73" s="22">
        <v>0.086</v>
      </c>
      <c r="I73" s="25">
        <f>H73*E73</f>
        <v>11109424.226161994</v>
      </c>
      <c r="J73" s="19"/>
    </row>
    <row r="74" spans="3:10" ht="12.75">
      <c r="C74" s="21" t="s">
        <v>43</v>
      </c>
      <c r="D74" s="21" t="s">
        <v>36</v>
      </c>
      <c r="E74" s="13">
        <f>'Regular Rate'!E79+Nonprofit!E68+Classroom!E68</f>
        <v>244695960.79200003</v>
      </c>
      <c r="F74" s="22">
        <v>0.095</v>
      </c>
      <c r="G74" s="25">
        <f>E74*F74</f>
        <v>23246116.275240004</v>
      </c>
      <c r="H74" s="22">
        <v>0.098</v>
      </c>
      <c r="I74" s="25">
        <f>H74*E74</f>
        <v>23980204.157616004</v>
      </c>
      <c r="J74" s="19"/>
    </row>
    <row r="75" spans="3:10" ht="12.75">
      <c r="C75" s="21" t="s">
        <v>32</v>
      </c>
      <c r="D75" s="21" t="s">
        <v>36</v>
      </c>
      <c r="E75" s="13">
        <f>'Regular Rate'!E80+Nonprofit!E69+Classroom!E69</f>
        <v>22386448.632000007</v>
      </c>
      <c r="F75" s="22">
        <v>0.045</v>
      </c>
      <c r="G75" s="25">
        <f>E75*F75</f>
        <v>1007390.1884400003</v>
      </c>
      <c r="H75" s="22">
        <v>0.046</v>
      </c>
      <c r="I75" s="25">
        <f>H75*E75</f>
        <v>1029776.6370720003</v>
      </c>
      <c r="J75" s="19"/>
    </row>
    <row r="76" spans="2:8" ht="12.75">
      <c r="B76" s="21" t="s">
        <v>45</v>
      </c>
      <c r="D76" s="21"/>
      <c r="E76" s="13"/>
      <c r="F76" s="22"/>
      <c r="H76" s="22"/>
    </row>
    <row r="77" spans="3:10" ht="12.75">
      <c r="C77" s="21" t="s">
        <v>41</v>
      </c>
      <c r="D77" s="21" t="s">
        <v>36</v>
      </c>
      <c r="E77" s="13">
        <f>'Regular Rate'!E82+Nonprofit!E71+Classroom!E71</f>
        <v>6525884.733000001</v>
      </c>
      <c r="F77" s="22">
        <v>0.008</v>
      </c>
      <c r="G77" s="25">
        <f>E77*F77</f>
        <v>52207.077864000006</v>
      </c>
      <c r="H77" s="22">
        <v>0.008</v>
      </c>
      <c r="I77" s="25">
        <f>H77*E77</f>
        <v>52207.077864000006</v>
      </c>
      <c r="J77" s="19"/>
    </row>
    <row r="78" spans="3:10" ht="12.75">
      <c r="C78" s="21" t="s">
        <v>43</v>
      </c>
      <c r="D78" s="21" t="s">
        <v>36</v>
      </c>
      <c r="E78" s="13">
        <f>'Regular Rate'!E83+Nonprofit!E72+Classroom!E72</f>
        <v>51355412.44800001</v>
      </c>
      <c r="F78" s="22">
        <v>0.039</v>
      </c>
      <c r="G78" s="25">
        <f>E78*F78</f>
        <v>2002861.0854720003</v>
      </c>
      <c r="H78" s="22">
        <v>0.04</v>
      </c>
      <c r="I78" s="25">
        <f>H78*E78</f>
        <v>2054216.4979200002</v>
      </c>
      <c r="J78" s="19"/>
    </row>
    <row r="79" spans="3:10" ht="12.75">
      <c r="C79" s="21" t="s">
        <v>32</v>
      </c>
      <c r="D79" s="21" t="s">
        <v>36</v>
      </c>
      <c r="E79" s="13">
        <f>'Regular Rate'!E84+Nonprofit!E73+Classroom!E73</f>
        <v>2302533.5660000006</v>
      </c>
      <c r="F79" s="22">
        <v>0.027</v>
      </c>
      <c r="G79" s="25">
        <f>E79*F79</f>
        <v>62168.40628200002</v>
      </c>
      <c r="H79" s="22">
        <v>0.028</v>
      </c>
      <c r="I79" s="25">
        <f>H79*E79</f>
        <v>64470.939848000016</v>
      </c>
      <c r="J79" s="19"/>
    </row>
    <row r="80" spans="1:5" ht="12.75">
      <c r="A80" s="23" t="s">
        <v>46</v>
      </c>
      <c r="D80" s="21"/>
      <c r="E80" s="13"/>
    </row>
    <row r="81" spans="2:5" ht="12.75">
      <c r="B81" s="21" t="s">
        <v>37</v>
      </c>
      <c r="D81" s="21"/>
      <c r="E81" s="13"/>
    </row>
    <row r="82" spans="3:10" ht="12.75">
      <c r="C82" s="21" t="s">
        <v>48</v>
      </c>
      <c r="D82" s="21" t="s">
        <v>47</v>
      </c>
      <c r="E82" s="13">
        <f>'Regular Rate'!E87+Nonprofit!E76+Classroom!E76</f>
        <v>4477365.727000001</v>
      </c>
      <c r="F82" s="22">
        <v>0.42</v>
      </c>
      <c r="G82" s="25">
        <f>E82*F82</f>
        <v>1880493.6053400002</v>
      </c>
      <c r="H82" s="22">
        <v>0.432</v>
      </c>
      <c r="I82" s="25">
        <f>H82*E82</f>
        <v>1934221.9940640004</v>
      </c>
      <c r="J82" s="19"/>
    </row>
    <row r="83" spans="3:10" ht="12.75">
      <c r="C83" s="21" t="s">
        <v>49</v>
      </c>
      <c r="D83" s="21" t="s">
        <v>47</v>
      </c>
      <c r="E83" s="13">
        <f>'Regular Rate'!E88+Nonprofit!E77+Classroom!E77</f>
        <v>86852.231</v>
      </c>
      <c r="F83" s="22">
        <v>0.42</v>
      </c>
      <c r="G83" s="25">
        <f>E83*F83</f>
        <v>36477.93702</v>
      </c>
      <c r="H83" s="22">
        <v>0.432</v>
      </c>
      <c r="I83" s="25">
        <f>H83*E83</f>
        <v>37520.163792</v>
      </c>
      <c r="J83" s="19"/>
    </row>
    <row r="84" spans="2:8" ht="12.75">
      <c r="B84" s="21" t="s">
        <v>50</v>
      </c>
      <c r="D84" s="21"/>
      <c r="E84" s="13"/>
      <c r="F84" s="22"/>
      <c r="H84" s="22"/>
    </row>
    <row r="85" spans="3:8" ht="12.75">
      <c r="C85" s="21" t="s">
        <v>48</v>
      </c>
      <c r="D85" s="21" t="s">
        <v>47</v>
      </c>
      <c r="E85" s="8">
        <f>'Regular Rate'!E90+Nonprofit!E79+Classroom!E79</f>
        <v>0</v>
      </c>
      <c r="F85" s="22"/>
      <c r="G85" s="25">
        <f>E85*F85</f>
        <v>0</v>
      </c>
      <c r="H85" s="22"/>
    </row>
    <row r="86" spans="3:8" ht="12.75">
      <c r="C86" s="21" t="s">
        <v>49</v>
      </c>
      <c r="D86" s="21" t="s">
        <v>47</v>
      </c>
      <c r="E86" s="8">
        <f>'Regular Rate'!E91+Nonprofit!E80+Classroom!E80</f>
        <v>0</v>
      </c>
      <c r="F86" s="22"/>
      <c r="G86" s="25">
        <f>E86*F86</f>
        <v>0</v>
      </c>
      <c r="H86" s="22"/>
    </row>
    <row r="87" spans="3:10" ht="12.75">
      <c r="C87" s="21" t="s">
        <v>51</v>
      </c>
      <c r="D87" s="21" t="s">
        <v>47</v>
      </c>
      <c r="E87" s="13">
        <f>'Regular Rate'!E92+Nonprofit!E81+Classroom!E81</f>
        <v>6146795.99</v>
      </c>
      <c r="F87" s="22">
        <v>1.8</v>
      </c>
      <c r="G87" s="25">
        <f>E87*F87</f>
        <v>11064232.782000002</v>
      </c>
      <c r="H87" s="22">
        <v>1.853</v>
      </c>
      <c r="I87" s="25">
        <f>H87*E87</f>
        <v>11390012.96947</v>
      </c>
      <c r="J87" s="19"/>
    </row>
    <row r="88" spans="3:10" ht="12.75">
      <c r="C88" s="21" t="s">
        <v>52</v>
      </c>
      <c r="D88" s="21" t="s">
        <v>47</v>
      </c>
      <c r="E88" s="13">
        <f>'Regular Rate'!E93+Nonprofit!E82+Classroom!E82</f>
        <v>1241.401</v>
      </c>
      <c r="F88" s="22">
        <v>1.1</v>
      </c>
      <c r="G88" s="25">
        <f>E88*F88</f>
        <v>1365.5411000000001</v>
      </c>
      <c r="H88" s="22">
        <v>1.1320000000000001</v>
      </c>
      <c r="I88" s="25">
        <f>H88*E88</f>
        <v>1405.2659320000002</v>
      </c>
      <c r="J88" s="19"/>
    </row>
    <row r="89" spans="3:10" ht="12.75">
      <c r="C89" s="21" t="s">
        <v>53</v>
      </c>
      <c r="D89" s="21" t="s">
        <v>47</v>
      </c>
      <c r="E89" s="13">
        <f>'Regular Rate'!E94+Nonprofit!E83+Classroom!E83</f>
        <v>141737.025</v>
      </c>
      <c r="F89" s="22">
        <v>0.6</v>
      </c>
      <c r="G89" s="25">
        <f>E89*F89</f>
        <v>85042.215</v>
      </c>
      <c r="H89" s="22">
        <v>0.618</v>
      </c>
      <c r="I89" s="25">
        <f>H89*E89</f>
        <v>87593.48144999999</v>
      </c>
      <c r="J89" s="19"/>
    </row>
    <row r="90" spans="2:8" ht="12.75">
      <c r="B90" s="21" t="s">
        <v>54</v>
      </c>
      <c r="D90" s="21"/>
      <c r="E90" s="13"/>
      <c r="F90" s="22"/>
      <c r="H90" s="22"/>
    </row>
    <row r="91" spans="3:8" ht="12.75">
      <c r="C91" s="21" t="s">
        <v>48</v>
      </c>
      <c r="D91" s="21" t="s">
        <v>47</v>
      </c>
      <c r="E91" s="8">
        <f>'Regular Rate'!E96+Nonprofit!E85+Classroom!E85</f>
        <v>0</v>
      </c>
      <c r="F91" s="22"/>
      <c r="G91" s="25">
        <f aca="true" t="shared" si="3" ref="G91:G96">E91*F91</f>
        <v>0</v>
      </c>
      <c r="H91" s="22"/>
    </row>
    <row r="92" spans="3:8" ht="12.75">
      <c r="C92" s="21" t="s">
        <v>49</v>
      </c>
      <c r="D92" s="21" t="s">
        <v>47</v>
      </c>
      <c r="E92" s="8">
        <f>'Regular Rate'!E97+Nonprofit!E86+Classroom!E86</f>
        <v>0</v>
      </c>
      <c r="F92" s="22"/>
      <c r="G92" s="25">
        <f t="shared" si="3"/>
        <v>0</v>
      </c>
      <c r="H92" s="22"/>
    </row>
    <row r="93" spans="3:10" ht="12.75">
      <c r="C93" s="21" t="s">
        <v>51</v>
      </c>
      <c r="D93" s="21" t="s">
        <v>47</v>
      </c>
      <c r="E93" s="13">
        <f>'Regular Rate'!E98+Nonprofit!E87+Classroom!E87</f>
        <v>17928938.84</v>
      </c>
      <c r="F93" s="22">
        <v>1.9</v>
      </c>
      <c r="G93" s="25">
        <f t="shared" si="3"/>
        <v>34064983.796</v>
      </c>
      <c r="H93" s="22">
        <v>1.956</v>
      </c>
      <c r="I93" s="25">
        <f>H93*E93</f>
        <v>35069004.37104</v>
      </c>
      <c r="J93" s="19"/>
    </row>
    <row r="94" spans="3:10" ht="12.75">
      <c r="C94" s="21" t="s">
        <v>52</v>
      </c>
      <c r="D94" s="21" t="s">
        <v>47</v>
      </c>
      <c r="E94" s="13">
        <f>'Regular Rate'!E99+Nonprofit!E88+Classroom!E88</f>
        <v>20154.229</v>
      </c>
      <c r="F94" s="22">
        <v>1.2</v>
      </c>
      <c r="G94" s="25">
        <f t="shared" si="3"/>
        <v>24185.0748</v>
      </c>
      <c r="H94" s="22">
        <v>1.236</v>
      </c>
      <c r="I94" s="25">
        <f>H94*E94</f>
        <v>24910.627044</v>
      </c>
      <c r="J94" s="19"/>
    </row>
    <row r="95" spans="3:10" ht="12.75">
      <c r="C95" s="21" t="s">
        <v>53</v>
      </c>
      <c r="D95" s="21" t="s">
        <v>47</v>
      </c>
      <c r="E95" s="13">
        <f>'Regular Rate'!E100+Nonprofit!E89+Classroom!E89</f>
        <v>697227.3960000001</v>
      </c>
      <c r="F95" s="22">
        <v>1</v>
      </c>
      <c r="G95" s="25">
        <f t="shared" si="3"/>
        <v>697227.3960000001</v>
      </c>
      <c r="H95" s="22">
        <v>1.03</v>
      </c>
      <c r="I95" s="25">
        <f>H95*E95</f>
        <v>718144.2178800001</v>
      </c>
      <c r="J95" s="19"/>
    </row>
    <row r="96" spans="3:10" ht="12.75">
      <c r="C96" s="21" t="s">
        <v>55</v>
      </c>
      <c r="D96" s="21" t="s">
        <v>47</v>
      </c>
      <c r="E96" s="13">
        <f>'Regular Rate'!E101+Nonprofit!E90+Classroom!E90</f>
        <v>2269993.145</v>
      </c>
      <c r="F96" s="22">
        <v>0.6</v>
      </c>
      <c r="G96" s="25">
        <f t="shared" si="3"/>
        <v>1361995.8869999999</v>
      </c>
      <c r="H96" s="22">
        <v>0.618</v>
      </c>
      <c r="I96" s="25">
        <f>H96*E96</f>
        <v>1402855.76361</v>
      </c>
      <c r="J96" s="19"/>
    </row>
    <row r="97" spans="2:8" ht="12.75">
      <c r="B97" s="21" t="s">
        <v>56</v>
      </c>
      <c r="D97" s="21"/>
      <c r="E97" s="13"/>
      <c r="F97" s="22"/>
      <c r="H97" s="22"/>
    </row>
    <row r="98" spans="3:8" ht="12.75">
      <c r="C98" s="21" t="s">
        <v>48</v>
      </c>
      <c r="D98" s="21" t="s">
        <v>47</v>
      </c>
      <c r="E98" s="8">
        <f>'Regular Rate'!E103+Nonprofit!E92+Classroom!E92</f>
        <v>0</v>
      </c>
      <c r="F98" s="22"/>
      <c r="G98" s="25">
        <f aca="true" t="shared" si="4" ref="G98:G104">E98*F98</f>
        <v>0</v>
      </c>
      <c r="H98" s="22"/>
    </row>
    <row r="99" spans="3:8" ht="12.75">
      <c r="C99" s="21" t="s">
        <v>49</v>
      </c>
      <c r="D99" s="21" t="s">
        <v>47</v>
      </c>
      <c r="E99" s="8">
        <f>'Regular Rate'!E104+Nonprofit!E93+Classroom!E93</f>
        <v>0</v>
      </c>
      <c r="F99" s="22"/>
      <c r="G99" s="25">
        <f t="shared" si="4"/>
        <v>0</v>
      </c>
      <c r="H99" s="22"/>
    </row>
    <row r="100" spans="3:10" ht="12.75">
      <c r="C100" s="21" t="s">
        <v>51</v>
      </c>
      <c r="D100" s="21" t="s">
        <v>47</v>
      </c>
      <c r="E100" s="13">
        <f>'Regular Rate'!E105+Nonprofit!E94+Classroom!E94</f>
        <v>3701184.9560000002</v>
      </c>
      <c r="F100" s="22">
        <v>2.24</v>
      </c>
      <c r="G100" s="25">
        <f t="shared" si="4"/>
        <v>8290654.301440001</v>
      </c>
      <c r="H100" s="22">
        <v>2.306</v>
      </c>
      <c r="I100" s="25">
        <f>H100*E100</f>
        <v>8534932.508536</v>
      </c>
      <c r="J100" s="19"/>
    </row>
    <row r="101" spans="3:10" ht="12.75">
      <c r="C101" s="21" t="s">
        <v>52</v>
      </c>
      <c r="D101" s="21" t="s">
        <v>47</v>
      </c>
      <c r="E101" s="13">
        <f>'Regular Rate'!E106+Nonprofit!E95+Classroom!E95</f>
        <v>1027.701</v>
      </c>
      <c r="F101" s="22">
        <v>1.5</v>
      </c>
      <c r="G101" s="25">
        <f t="shared" si="4"/>
        <v>1541.5515</v>
      </c>
      <c r="H101" s="22">
        <v>1.544</v>
      </c>
      <c r="I101" s="25">
        <f>H101*E101</f>
        <v>1586.770344</v>
      </c>
      <c r="J101" s="19"/>
    </row>
    <row r="102" spans="3:10" ht="12.75">
      <c r="C102" s="21" t="s">
        <v>53</v>
      </c>
      <c r="D102" s="21" t="s">
        <v>47</v>
      </c>
      <c r="E102" s="13">
        <f>'Regular Rate'!E107+Nonprofit!E96+Classroom!E96</f>
        <v>385944.51700000005</v>
      </c>
      <c r="F102" s="22">
        <v>1.3</v>
      </c>
      <c r="G102" s="25">
        <f t="shared" si="4"/>
        <v>501727.8721000001</v>
      </c>
      <c r="H102" s="22">
        <v>1.338</v>
      </c>
      <c r="I102" s="25">
        <f>H102*E102</f>
        <v>516393.76374600007</v>
      </c>
      <c r="J102" s="19"/>
    </row>
    <row r="103" spans="3:10" ht="12.75">
      <c r="C103" s="21" t="s">
        <v>55</v>
      </c>
      <c r="D103" s="21" t="s">
        <v>47</v>
      </c>
      <c r="E103" s="13">
        <f>'Regular Rate'!E108+Nonprofit!E97+Classroom!E97</f>
        <v>2865382.9439999997</v>
      </c>
      <c r="F103" s="22">
        <v>0.9</v>
      </c>
      <c r="G103" s="25">
        <f t="shared" si="4"/>
        <v>2578844.6495999997</v>
      </c>
      <c r="H103" s="22">
        <v>0.927</v>
      </c>
      <c r="I103" s="25">
        <f>H103*E103</f>
        <v>2656209.989088</v>
      </c>
      <c r="J103" s="19"/>
    </row>
    <row r="104" spans="3:10" ht="12.75">
      <c r="C104" s="21" t="s">
        <v>57</v>
      </c>
      <c r="D104" s="21" t="s">
        <v>47</v>
      </c>
      <c r="E104" s="13">
        <f>'Regular Rate'!E109+Nonprofit!E98+Classroom!E98</f>
        <v>72877.931</v>
      </c>
      <c r="F104" s="22">
        <v>0.7</v>
      </c>
      <c r="G104" s="25">
        <f t="shared" si="4"/>
        <v>51014.551699999996</v>
      </c>
      <c r="H104" s="22">
        <v>0.721</v>
      </c>
      <c r="I104" s="25">
        <f>H104*E104</f>
        <v>52544.988250999995</v>
      </c>
      <c r="J104" s="19"/>
    </row>
    <row r="105" spans="1:8" ht="12.75">
      <c r="A105" s="21" t="s">
        <v>58</v>
      </c>
      <c r="D105" s="21"/>
      <c r="E105" s="13"/>
      <c r="F105" s="22"/>
      <c r="H105" s="22"/>
    </row>
    <row r="106" spans="2:8" ht="12.75">
      <c r="B106" s="21" t="s">
        <v>60</v>
      </c>
      <c r="D106" s="21"/>
      <c r="E106" s="13"/>
      <c r="F106" s="22"/>
      <c r="H106" s="22"/>
    </row>
    <row r="107" spans="3:8" ht="12.75">
      <c r="C107" s="21" t="s">
        <v>48</v>
      </c>
      <c r="D107" s="21" t="s">
        <v>59</v>
      </c>
      <c r="E107" s="8">
        <f>'Regular Rate'!E112+Nonprofit!E101+Classroom!E101</f>
        <v>0</v>
      </c>
      <c r="F107" s="22"/>
      <c r="G107" s="25">
        <f>E107*F107</f>
        <v>0</v>
      </c>
      <c r="H107" s="22"/>
    </row>
    <row r="108" spans="3:8" ht="12.75">
      <c r="C108" s="21" t="s">
        <v>49</v>
      </c>
      <c r="D108" s="21" t="s">
        <v>59</v>
      </c>
      <c r="E108" s="8">
        <f>'Regular Rate'!E113+Nonprofit!E102+Classroom!E102</f>
        <v>0</v>
      </c>
      <c r="F108" s="22"/>
      <c r="G108" s="25">
        <f>E108*F108</f>
        <v>0</v>
      </c>
      <c r="H108" s="22"/>
    </row>
    <row r="109" spans="3:10" ht="12.75">
      <c r="C109" s="21" t="s">
        <v>51</v>
      </c>
      <c r="D109" s="21" t="s">
        <v>59</v>
      </c>
      <c r="E109" s="8">
        <f>'Regular Rate'!E114+Nonprofit!E103+Classroom!E103</f>
        <v>444916.11900000006</v>
      </c>
      <c r="F109" s="22">
        <v>18.61</v>
      </c>
      <c r="G109" s="25">
        <f>E109*F109</f>
        <v>8279888.974590001</v>
      </c>
      <c r="H109" s="22">
        <v>19.161</v>
      </c>
      <c r="I109" s="25">
        <f>H109*E109</f>
        <v>8525037.756159002</v>
      </c>
      <c r="J109" s="19"/>
    </row>
    <row r="110" spans="3:10" ht="12.75">
      <c r="C110" s="21" t="s">
        <v>52</v>
      </c>
      <c r="D110" s="21" t="s">
        <v>59</v>
      </c>
      <c r="E110" s="8">
        <f>'Regular Rate'!E115+Nonprofit!E104+Classroom!E104</f>
        <v>2666.126</v>
      </c>
      <c r="F110" s="22">
        <v>13</v>
      </c>
      <c r="G110" s="25">
        <f>E110*F110</f>
        <v>34659.638000000006</v>
      </c>
      <c r="H110" s="22">
        <v>13.385</v>
      </c>
      <c r="I110" s="25">
        <f>H110*E110</f>
        <v>35686.09651</v>
      </c>
      <c r="J110" s="19"/>
    </row>
    <row r="111" spans="3:10" ht="12.75">
      <c r="C111" s="21" t="s">
        <v>53</v>
      </c>
      <c r="D111" s="21" t="s">
        <v>59</v>
      </c>
      <c r="E111" s="8">
        <f>'Regular Rate'!E116+Nonprofit!E105+Classroom!E105</f>
        <v>460725.181</v>
      </c>
      <c r="F111" s="22">
        <v>8.9</v>
      </c>
      <c r="G111" s="25">
        <f>E111*F111</f>
        <v>4100454.1109</v>
      </c>
      <c r="H111" s="22">
        <v>9.163</v>
      </c>
      <c r="I111" s="25">
        <f>H111*E111</f>
        <v>4221624.8335029995</v>
      </c>
      <c r="J111" s="19"/>
    </row>
    <row r="112" spans="2:8" ht="12.75">
      <c r="B112" s="21" t="s">
        <v>61</v>
      </c>
      <c r="D112" s="21"/>
      <c r="E112" s="13"/>
      <c r="F112" s="22"/>
      <c r="H112" s="22"/>
    </row>
    <row r="113" spans="3:8" ht="12.75">
      <c r="C113" s="21" t="s">
        <v>48</v>
      </c>
      <c r="D113" s="21" t="s">
        <v>59</v>
      </c>
      <c r="E113" s="8">
        <f>'Regular Rate'!E118+Nonprofit!E107+Classroom!E107</f>
        <v>0</v>
      </c>
      <c r="F113" s="22"/>
      <c r="G113" s="25">
        <f aca="true" t="shared" si="5" ref="G113:G118">E113*F113</f>
        <v>0</v>
      </c>
      <c r="H113" s="22"/>
    </row>
    <row r="114" spans="3:8" ht="12.75">
      <c r="C114" s="21" t="s">
        <v>49</v>
      </c>
      <c r="D114" s="21" t="s">
        <v>59</v>
      </c>
      <c r="E114" s="8">
        <f>'Regular Rate'!E119+Nonprofit!E108+Classroom!E108</f>
        <v>0</v>
      </c>
      <c r="F114" s="22"/>
      <c r="G114" s="25">
        <f t="shared" si="5"/>
        <v>0</v>
      </c>
      <c r="H114" s="22"/>
    </row>
    <row r="115" spans="3:10" ht="12.75">
      <c r="C115" s="21" t="s">
        <v>51</v>
      </c>
      <c r="D115" s="21" t="s">
        <v>59</v>
      </c>
      <c r="E115" s="8">
        <f>'Regular Rate'!E120+Nonprofit!E109+Classroom!E109</f>
        <v>429844.91</v>
      </c>
      <c r="F115" s="22">
        <v>22.98</v>
      </c>
      <c r="G115" s="25">
        <f t="shared" si="5"/>
        <v>9877836.0318</v>
      </c>
      <c r="H115" s="22">
        <v>23.66</v>
      </c>
      <c r="I115" s="25">
        <f>H115*E115</f>
        <v>10170130.5706</v>
      </c>
      <c r="J115" s="19"/>
    </row>
    <row r="116" spans="3:10" ht="12.75">
      <c r="C116" s="21" t="s">
        <v>52</v>
      </c>
      <c r="D116" s="21" t="s">
        <v>59</v>
      </c>
      <c r="E116" s="8">
        <f>'Regular Rate'!E121+Nonprofit!E110+Classroom!E110</f>
        <v>4337.825</v>
      </c>
      <c r="F116" s="22">
        <v>14.4</v>
      </c>
      <c r="G116" s="25">
        <f t="shared" si="5"/>
        <v>62464.68</v>
      </c>
      <c r="H116" s="22">
        <v>14.826</v>
      </c>
      <c r="I116" s="25">
        <f>H116*E116</f>
        <v>64312.59345</v>
      </c>
      <c r="J116" s="19"/>
    </row>
    <row r="117" spans="3:10" ht="12.75">
      <c r="C117" s="21" t="s">
        <v>53</v>
      </c>
      <c r="D117" s="21" t="s">
        <v>59</v>
      </c>
      <c r="E117" s="8">
        <f>'Regular Rate'!E122+Nonprofit!E111+Classroom!E111</f>
        <v>284310.278</v>
      </c>
      <c r="F117" s="22">
        <v>12.2</v>
      </c>
      <c r="G117" s="25">
        <f t="shared" si="5"/>
        <v>3468585.3915999997</v>
      </c>
      <c r="H117" s="22">
        <v>12.561</v>
      </c>
      <c r="I117" s="25">
        <f>H117*E117</f>
        <v>3571221.401958</v>
      </c>
      <c r="J117" s="19"/>
    </row>
    <row r="118" spans="3:10" ht="12.75">
      <c r="C118" s="21" t="s">
        <v>55</v>
      </c>
      <c r="D118" s="21" t="s">
        <v>59</v>
      </c>
      <c r="E118" s="8">
        <f>'Regular Rate'!E123+Nonprofit!E112+Classroom!E112</f>
        <v>1517290.542</v>
      </c>
      <c r="F118" s="22">
        <v>6.7</v>
      </c>
      <c r="G118" s="25">
        <f t="shared" si="5"/>
        <v>10165846.6314</v>
      </c>
      <c r="H118" s="22">
        <v>6.898</v>
      </c>
      <c r="I118" s="25">
        <f>H118*E118</f>
        <v>10466270.158715999</v>
      </c>
      <c r="J118" s="19"/>
    </row>
    <row r="119" spans="2:8" ht="12.75">
      <c r="B119" s="21" t="s">
        <v>62</v>
      </c>
      <c r="D119" s="21"/>
      <c r="E119" s="13"/>
      <c r="F119" s="22"/>
      <c r="H119" s="22"/>
    </row>
    <row r="120" spans="3:8" ht="12.75">
      <c r="C120" s="21" t="s">
        <v>48</v>
      </c>
      <c r="D120" s="21" t="s">
        <v>59</v>
      </c>
      <c r="E120" s="8">
        <f>'Regular Rate'!E125+Nonprofit!E114+Classroom!E114</f>
        <v>0</v>
      </c>
      <c r="F120" s="22"/>
      <c r="G120" s="25">
        <f aca="true" t="shared" si="6" ref="G120:G126">E120*F120</f>
        <v>0</v>
      </c>
      <c r="H120" s="22"/>
    </row>
    <row r="121" spans="3:8" ht="12.75">
      <c r="C121" s="21" t="s">
        <v>49</v>
      </c>
      <c r="D121" s="21" t="s">
        <v>59</v>
      </c>
      <c r="E121" s="8">
        <f>'Regular Rate'!E126+Nonprofit!E115+Classroom!E115</f>
        <v>0</v>
      </c>
      <c r="F121" s="22"/>
      <c r="G121" s="25">
        <f t="shared" si="6"/>
        <v>0</v>
      </c>
      <c r="H121" s="22"/>
    </row>
    <row r="122" spans="3:10" ht="12.75">
      <c r="C122" s="21" t="s">
        <v>51</v>
      </c>
      <c r="D122" s="21" t="s">
        <v>59</v>
      </c>
      <c r="E122" s="8">
        <f>'Regular Rate'!E127+Nonprofit!E116+Classroom!E116</f>
        <v>57829.958</v>
      </c>
      <c r="F122" s="22">
        <v>26.95</v>
      </c>
      <c r="G122" s="25">
        <f t="shared" si="6"/>
        <v>1558517.3680999998</v>
      </c>
      <c r="H122" s="22">
        <v>27.748</v>
      </c>
      <c r="I122" s="25">
        <f>H122*E122</f>
        <v>1604665.6745840001</v>
      </c>
      <c r="J122" s="19"/>
    </row>
    <row r="123" spans="3:10" ht="12.75">
      <c r="C123" s="21" t="s">
        <v>52</v>
      </c>
      <c r="D123" s="21" t="s">
        <v>59</v>
      </c>
      <c r="E123" s="8">
        <f>'Regular Rate'!E128+Nonprofit!E117+Classroom!E117</f>
        <v>270.276</v>
      </c>
      <c r="F123" s="22">
        <v>17.5</v>
      </c>
      <c r="G123" s="25">
        <f t="shared" si="6"/>
        <v>4729.83</v>
      </c>
      <c r="H123" s="22">
        <v>18.018</v>
      </c>
      <c r="I123" s="25">
        <f>H123*E123</f>
        <v>4869.832968000001</v>
      </c>
      <c r="J123" s="19"/>
    </row>
    <row r="124" spans="3:10" ht="12.75">
      <c r="C124" s="21" t="s">
        <v>53</v>
      </c>
      <c r="D124" s="21" t="s">
        <v>59</v>
      </c>
      <c r="E124" s="8">
        <f>'Regular Rate'!E129+Nonprofit!E118+Classroom!E118</f>
        <v>42463.49399999999</v>
      </c>
      <c r="F124" s="22">
        <v>15.5</v>
      </c>
      <c r="G124" s="25">
        <f t="shared" si="6"/>
        <v>658184.1569999999</v>
      </c>
      <c r="H124" s="22">
        <v>15.959</v>
      </c>
      <c r="I124" s="25">
        <f>H124*E124</f>
        <v>677674.9007459999</v>
      </c>
      <c r="J124" s="19"/>
    </row>
    <row r="125" spans="3:10" ht="12.75">
      <c r="C125" s="21" t="s">
        <v>55</v>
      </c>
      <c r="D125" s="21" t="s">
        <v>59</v>
      </c>
      <c r="E125" s="8">
        <f>'Regular Rate'!E130+Nonprofit!E119+Classroom!E119</f>
        <v>639830.9670000001</v>
      </c>
      <c r="F125" s="22">
        <v>8</v>
      </c>
      <c r="G125" s="25">
        <f t="shared" si="6"/>
        <v>5118647.7360000005</v>
      </c>
      <c r="H125" s="22">
        <v>8.237</v>
      </c>
      <c r="I125" s="25">
        <f>H125*E125</f>
        <v>5270287.675179001</v>
      </c>
      <c r="J125" s="19"/>
    </row>
    <row r="126" spans="3:10" ht="12.75">
      <c r="C126" s="21" t="s">
        <v>57</v>
      </c>
      <c r="D126" s="21" t="s">
        <v>59</v>
      </c>
      <c r="E126" s="8">
        <f>'Regular Rate'!E131+Nonprofit!E120+Classroom!E120</f>
        <v>35531.534999999996</v>
      </c>
      <c r="F126" s="22">
        <v>1.2</v>
      </c>
      <c r="G126" s="25">
        <f t="shared" si="6"/>
        <v>42637.842</v>
      </c>
      <c r="H126" s="22">
        <v>1.236</v>
      </c>
      <c r="I126" s="25">
        <f>H126*E126</f>
        <v>43916.97725999999</v>
      </c>
      <c r="J126" s="19"/>
    </row>
    <row r="127" spans="3:9" ht="12.75">
      <c r="C127" s="21" t="s">
        <v>129</v>
      </c>
      <c r="E127" s="13">
        <f>SUM(E6:E15,E17:E20,E23:E26)</f>
        <v>3399147036.505517</v>
      </c>
      <c r="F127" s="22"/>
      <c r="G127" s="25">
        <f>SUM(G6:G15,G17:G20,G23:G26)</f>
        <v>709494774.5144925</v>
      </c>
      <c r="H127" s="22"/>
      <c r="I127" s="25">
        <f>SUM(I6:I15,I17:I20,I23:I26)</f>
        <v>730134894.9413471</v>
      </c>
    </row>
    <row r="128" spans="3:9" ht="12.75">
      <c r="C128" s="21" t="s">
        <v>130</v>
      </c>
      <c r="E128" s="13">
        <f>SUM(E29:E33,E35:E39,E41:E45,E47:E51,E53:E56)</f>
        <v>8059372743</v>
      </c>
      <c r="F128" s="22"/>
      <c r="G128" s="25">
        <f>SUM(G29:G33,G35:G39,G41:G45,G47:G51,G53:G57)</f>
        <v>1414104616.0576797</v>
      </c>
      <c r="H128" s="22"/>
      <c r="I128" s="25">
        <f>SUM(I29:I33,I35:I39,I41:I45,I47:I51,I53:I57)</f>
        <v>1454520209.5056648</v>
      </c>
    </row>
    <row r="129" spans="3:9" ht="12.75">
      <c r="C129" s="21" t="s">
        <v>131</v>
      </c>
      <c r="E129" s="13">
        <f>SUM(E60:E64,E66:E70,E72:E75,E77:E79)</f>
        <v>620446512.458</v>
      </c>
      <c r="F129" s="22"/>
      <c r="G129" s="25">
        <f>SUM(G60:G64,G66:G70,G72:G75,G77:G79)</f>
        <v>49887859.505246006</v>
      </c>
      <c r="H129" s="22"/>
      <c r="I129" s="25">
        <f>SUM(I60:I64,I66:I70,I72:I75,I77:I79)</f>
        <v>51330064.34738499</v>
      </c>
    </row>
    <row r="130" spans="3:9" ht="12.75">
      <c r="C130" s="21" t="s">
        <v>132</v>
      </c>
      <c r="E130" s="13">
        <f>SUM(E82:E83,E85:E89,E91:E96,E98:E104)</f>
        <v>38796724.03299999</v>
      </c>
      <c r="F130" s="22"/>
      <c r="G130" s="25">
        <f>SUM(G82:G83,G85:G89,G91:G96,G98:G104)</f>
        <v>60639787.16060001</v>
      </c>
      <c r="H130" s="22"/>
      <c r="I130" s="25">
        <f>SUM(I82:I83,I85:I89,I91:I96,I98:I104)</f>
        <v>62427336.874247</v>
      </c>
    </row>
    <row r="131" spans="3:9" ht="12.75">
      <c r="C131" s="21" t="s">
        <v>133</v>
      </c>
      <c r="E131" s="13">
        <f>SUM(E107:E111,E113:E118,E120:E126)</f>
        <v>3920017.211</v>
      </c>
      <c r="F131" s="22"/>
      <c r="G131" s="25">
        <f>SUM(G107:G111,G113:G118,G120:G126)</f>
        <v>43372452.391389996</v>
      </c>
      <c r="H131" s="22"/>
      <c r="I131" s="25">
        <f>SUM(I107:I111,I113:I118,I120:I126)</f>
        <v>44655698.471632995</v>
      </c>
    </row>
    <row r="132" spans="3:9" ht="12.75">
      <c r="C132" s="21" t="s">
        <v>63</v>
      </c>
      <c r="E132" s="13"/>
      <c r="F132" s="22"/>
      <c r="G132" s="25">
        <f>SUM(G127:G131)</f>
        <v>2277499489.6294084</v>
      </c>
      <c r="H132" s="22"/>
      <c r="I132" s="25">
        <f>SUM(I127:I131)</f>
        <v>2343068204.140277</v>
      </c>
    </row>
    <row r="133" spans="3:10" ht="12.75">
      <c r="C133" s="21" t="s">
        <v>64</v>
      </c>
      <c r="E133" s="13">
        <f>'Regular Rate'!E138+Nonprofit!E127+Classroom!E127</f>
        <v>111623457.76765853</v>
      </c>
      <c r="F133" s="22">
        <v>0.155</v>
      </c>
      <c r="G133" s="25">
        <f>E133*F133</f>
        <v>17301635.953987073</v>
      </c>
      <c r="H133" s="22">
        <v>0.159</v>
      </c>
      <c r="I133" s="25">
        <f>H133*E133</f>
        <v>17748129.78505771</v>
      </c>
      <c r="J133" s="19"/>
    </row>
    <row r="134" spans="3:10" ht="12.75">
      <c r="C134" s="21" t="s">
        <v>65</v>
      </c>
      <c r="E134" s="13">
        <f>'Regular Rate'!E139+Nonprofit!E128+Classroom!E128</f>
        <v>2557179</v>
      </c>
      <c r="F134" s="22">
        <v>0.015</v>
      </c>
      <c r="G134" s="25">
        <f>E134*F134</f>
        <v>38357.685</v>
      </c>
      <c r="H134" s="22">
        <v>0.015</v>
      </c>
      <c r="I134" s="25">
        <f>H134*E134</f>
        <v>38357.685</v>
      </c>
      <c r="J134" s="19"/>
    </row>
    <row r="135" spans="3:9" ht="12.75">
      <c r="C135" s="21" t="s">
        <v>135</v>
      </c>
      <c r="E135" s="13"/>
      <c r="G135" s="25">
        <f>Nonprofit!G129+Classroom!G129</f>
        <v>18513393.44454122</v>
      </c>
      <c r="I135" s="25">
        <f>Nonprofit!I129+Classroom!I129</f>
        <v>19037518.33400371</v>
      </c>
    </row>
    <row r="136" spans="3:9" ht="13.5" thickBot="1">
      <c r="C136" s="21" t="s">
        <v>194</v>
      </c>
      <c r="E136" s="13"/>
      <c r="G136" s="25">
        <v>0</v>
      </c>
      <c r="I136" s="25">
        <v>3745379</v>
      </c>
    </row>
    <row r="137" spans="3:10" ht="13.5" thickTop="1">
      <c r="C137" s="21" t="s">
        <v>66</v>
      </c>
      <c r="E137" s="13"/>
      <c r="G137" s="25">
        <f>G132+G133+G134-G135-G136</f>
        <v>2276326089.823854</v>
      </c>
      <c r="I137" s="25">
        <f>I132+I133+I134-I135-I136</f>
        <v>2338071794.2763305</v>
      </c>
      <c r="J137" s="44" t="s">
        <v>212</v>
      </c>
    </row>
    <row r="138" spans="3:10" ht="13.5" thickBot="1">
      <c r="C138" s="43" t="s">
        <v>211</v>
      </c>
      <c r="E138" s="13"/>
      <c r="G138" s="49">
        <f>G137/E128</f>
        <v>0.2824445726003883</v>
      </c>
      <c r="H138" s="43"/>
      <c r="I138" s="49">
        <f>I137/E128</f>
        <v>0.29010592620958897</v>
      </c>
      <c r="J138" s="46">
        <f>(I138/G138)-1</f>
        <v>0.02712515782712588</v>
      </c>
    </row>
    <row r="139" spans="1:5" ht="13.5" thickTop="1">
      <c r="A139" t="s">
        <v>195</v>
      </c>
      <c r="C139" s="21" t="s">
        <v>200</v>
      </c>
      <c r="E139" s="13"/>
    </row>
    <row r="140" spans="5:7" ht="12.75">
      <c r="E140" s="13"/>
      <c r="G140" s="19"/>
    </row>
    <row r="141" spans="5:7" ht="12.75">
      <c r="E141" s="13"/>
      <c r="G141" s="19"/>
    </row>
    <row r="142" spans="5:7" ht="12.75">
      <c r="E142" s="13"/>
      <c r="G142" s="19"/>
    </row>
    <row r="143" spans="5:7" ht="12.75">
      <c r="E143" s="13"/>
      <c r="G143" s="19"/>
    </row>
    <row r="144" spans="5:7" ht="12.75">
      <c r="E144" s="13"/>
      <c r="G144" s="19"/>
    </row>
    <row r="145" ht="12.75">
      <c r="E145" s="13"/>
    </row>
    <row r="146" ht="12.75">
      <c r="E146" s="13"/>
    </row>
    <row r="147" ht="12.75">
      <c r="E147" s="13"/>
    </row>
    <row r="148" ht="12.75">
      <c r="E148" s="13"/>
    </row>
    <row r="149" ht="12.75">
      <c r="E149" s="13"/>
    </row>
    <row r="150" ht="12.75">
      <c r="E150" s="13"/>
    </row>
    <row r="151" ht="12.75">
      <c r="E151" s="13"/>
    </row>
    <row r="152" ht="12.75">
      <c r="E152" s="13"/>
    </row>
    <row r="153" ht="12.75">
      <c r="E153" s="13"/>
    </row>
    <row r="154" ht="12.75">
      <c r="E154" s="13"/>
    </row>
    <row r="155" ht="12.75">
      <c r="E155" s="13"/>
    </row>
    <row r="156" ht="12.75">
      <c r="E156" s="13"/>
    </row>
    <row r="157" ht="12.75">
      <c r="E157" s="13"/>
    </row>
    <row r="158" ht="12.75">
      <c r="E158" s="13"/>
    </row>
    <row r="159" ht="12.75">
      <c r="E159" s="13"/>
    </row>
    <row r="160" ht="12.75">
      <c r="E160" s="13"/>
    </row>
    <row r="161" ht="12.75">
      <c r="E161" s="13"/>
    </row>
    <row r="162" ht="12.75">
      <c r="E162" s="13"/>
    </row>
    <row r="163" ht="12.75">
      <c r="E163" s="13"/>
    </row>
    <row r="164" ht="12.75">
      <c r="E164" s="13"/>
    </row>
    <row r="165" ht="12.75">
      <c r="E165" s="13"/>
    </row>
    <row r="166" ht="12.75">
      <c r="E166" s="13"/>
    </row>
    <row r="167" ht="12.75">
      <c r="E167" s="13"/>
    </row>
    <row r="168" ht="12.75">
      <c r="E168" s="13"/>
    </row>
    <row r="169" ht="12.75">
      <c r="E169" s="13"/>
    </row>
    <row r="170" ht="12.75">
      <c r="E170" s="13"/>
    </row>
    <row r="171" ht="12.75">
      <c r="E171" s="13"/>
    </row>
    <row r="172" ht="12.75">
      <c r="E172" s="13"/>
    </row>
    <row r="173" ht="12.75">
      <c r="E173" s="13"/>
    </row>
    <row r="174" ht="12.75">
      <c r="E174" s="13"/>
    </row>
    <row r="175" ht="12.75">
      <c r="E175" s="13"/>
    </row>
    <row r="176" ht="12.75">
      <c r="E176" s="13"/>
    </row>
    <row r="177" ht="12.75">
      <c r="E177" s="13"/>
    </row>
    <row r="178" ht="12.75">
      <c r="E178" s="13"/>
    </row>
    <row r="179" ht="12.75">
      <c r="E179" s="13"/>
    </row>
    <row r="180" ht="12.75">
      <c r="E180" s="13"/>
    </row>
    <row r="181" ht="12.75">
      <c r="E181" s="13"/>
    </row>
    <row r="182" ht="12.75">
      <c r="E182" s="13"/>
    </row>
    <row r="183" ht="12.75">
      <c r="E183" s="13"/>
    </row>
    <row r="184" ht="12.75">
      <c r="E184" s="13"/>
    </row>
    <row r="185" ht="12.75">
      <c r="E185" s="13"/>
    </row>
    <row r="186" ht="12.75">
      <c r="E186" s="13"/>
    </row>
    <row r="187" ht="12.75">
      <c r="E187" s="13"/>
    </row>
    <row r="188" ht="12.75">
      <c r="E188" s="13"/>
    </row>
    <row r="189" ht="12.75">
      <c r="E189" s="13"/>
    </row>
    <row r="190" ht="12.75">
      <c r="E190" s="13"/>
    </row>
    <row r="191" ht="12.75">
      <c r="E191" s="13"/>
    </row>
    <row r="192" ht="12.75">
      <c r="E192" s="13"/>
    </row>
    <row r="193" ht="12.75">
      <c r="E193" s="13"/>
    </row>
    <row r="194" ht="12.75">
      <c r="E194" s="13"/>
    </row>
    <row r="195" ht="12.75">
      <c r="E195" s="13"/>
    </row>
    <row r="196" ht="12.75">
      <c r="E196" s="13"/>
    </row>
    <row r="197" ht="12.75">
      <c r="E197" s="13"/>
    </row>
    <row r="198" ht="12.75">
      <c r="E198" s="13"/>
    </row>
    <row r="199" ht="12.75">
      <c r="E199" s="13"/>
    </row>
    <row r="200" ht="12.75">
      <c r="E200" s="13"/>
    </row>
    <row r="201" ht="12.75">
      <c r="E201" s="13"/>
    </row>
    <row r="202" ht="12.75">
      <c r="E202" s="13"/>
    </row>
    <row r="203" ht="12.75">
      <c r="E203" s="13"/>
    </row>
    <row r="204" ht="12.75">
      <c r="E204" s="13"/>
    </row>
    <row r="205" ht="12.75">
      <c r="E205" s="13"/>
    </row>
    <row r="206" ht="12.75">
      <c r="E206" s="13"/>
    </row>
    <row r="207" ht="12.75">
      <c r="E207" s="13"/>
    </row>
    <row r="208" ht="12.75">
      <c r="E208" s="13"/>
    </row>
    <row r="209" ht="12.75">
      <c r="E209" s="13"/>
    </row>
    <row r="210" ht="12.75">
      <c r="E210" s="13"/>
    </row>
    <row r="211" ht="12.75">
      <c r="E211" s="13"/>
    </row>
    <row r="212" ht="12.75">
      <c r="E212" s="13"/>
    </row>
    <row r="213" ht="12.75">
      <c r="E213" s="13"/>
    </row>
    <row r="214" ht="12.75">
      <c r="E214" s="13"/>
    </row>
    <row r="215" ht="12.75">
      <c r="E215" s="13"/>
    </row>
    <row r="216" ht="12.75">
      <c r="E216" s="13"/>
    </row>
    <row r="217" ht="12.75">
      <c r="E217" s="13"/>
    </row>
    <row r="218" ht="12.75">
      <c r="E218" s="13"/>
    </row>
    <row r="219" ht="12.75">
      <c r="E219" s="13"/>
    </row>
    <row r="220" ht="12.75">
      <c r="E220" s="13"/>
    </row>
    <row r="221" ht="12.75">
      <c r="E221" s="13"/>
    </row>
    <row r="222" ht="12.75">
      <c r="E222" s="13"/>
    </row>
    <row r="223" ht="12.75">
      <c r="E223" s="13"/>
    </row>
    <row r="224" ht="12.75">
      <c r="E224" s="13"/>
    </row>
    <row r="225" ht="12.75">
      <c r="E225" s="13"/>
    </row>
    <row r="226" ht="12.75">
      <c r="E226" s="13"/>
    </row>
    <row r="227" ht="12.75">
      <c r="E227" s="13"/>
    </row>
    <row r="228" ht="12.75">
      <c r="E228" s="13"/>
    </row>
    <row r="229" ht="12.75">
      <c r="E229" s="13"/>
    </row>
    <row r="230" ht="12.75">
      <c r="E230" s="13"/>
    </row>
    <row r="231" ht="12.75">
      <c r="E231" s="13"/>
    </row>
    <row r="232" ht="12.75">
      <c r="E232" s="13"/>
    </row>
    <row r="233" ht="12.75">
      <c r="E233" s="13"/>
    </row>
    <row r="234" ht="12.75">
      <c r="E234" s="13"/>
    </row>
    <row r="235" ht="12.75">
      <c r="E235" s="13"/>
    </row>
    <row r="236" ht="12.75">
      <c r="E236" s="13"/>
    </row>
    <row r="237" ht="12.75">
      <c r="E237" s="13"/>
    </row>
    <row r="238" ht="12.75">
      <c r="E238" s="13"/>
    </row>
    <row r="239" ht="12.75">
      <c r="E239" s="13"/>
    </row>
    <row r="240" ht="12.75">
      <c r="E240" s="13"/>
    </row>
    <row r="241" ht="12.75">
      <c r="E241" s="13"/>
    </row>
    <row r="242" ht="12.75">
      <c r="E242" s="13"/>
    </row>
    <row r="243" ht="12.75">
      <c r="E243" s="13"/>
    </row>
    <row r="244" ht="12.75">
      <c r="E244" s="13"/>
    </row>
    <row r="245" ht="12.75">
      <c r="E245" s="13"/>
    </row>
    <row r="246" ht="12.75">
      <c r="E246" s="13"/>
    </row>
    <row r="247" ht="12.75">
      <c r="E247" s="13"/>
    </row>
    <row r="248" ht="12.75">
      <c r="E248" s="13"/>
    </row>
    <row r="249" ht="12.75">
      <c r="E249" s="13"/>
    </row>
    <row r="250" ht="12.75">
      <c r="E250" s="13"/>
    </row>
    <row r="251" ht="12.75">
      <c r="E251" s="13"/>
    </row>
    <row r="252" ht="12.75">
      <c r="E252" s="13"/>
    </row>
    <row r="253" ht="12.75">
      <c r="E253" s="13"/>
    </row>
    <row r="254" ht="12.75">
      <c r="E254" s="13"/>
    </row>
    <row r="255" ht="12.75">
      <c r="E255" s="13"/>
    </row>
    <row r="256" ht="12.75">
      <c r="E256" s="13"/>
    </row>
    <row r="257" ht="12.75">
      <c r="E257" s="13"/>
    </row>
    <row r="258" ht="12.75">
      <c r="E258" s="13"/>
    </row>
    <row r="259" ht="12.75">
      <c r="E259" s="13"/>
    </row>
    <row r="260" ht="12.75">
      <c r="E260" s="13"/>
    </row>
    <row r="261" ht="12.75">
      <c r="E261" s="13"/>
    </row>
    <row r="262" ht="12.75">
      <c r="E262" s="13"/>
    </row>
    <row r="263" ht="12.75">
      <c r="E263" s="13"/>
    </row>
    <row r="264" ht="12.75">
      <c r="E264" s="13"/>
    </row>
    <row r="265" ht="12.75">
      <c r="E265" s="13"/>
    </row>
    <row r="266" ht="12.75">
      <c r="E266" s="13"/>
    </row>
    <row r="267" ht="12.75">
      <c r="E267" s="13"/>
    </row>
    <row r="268" ht="12.75">
      <c r="E268" s="13"/>
    </row>
    <row r="269" ht="12.75">
      <c r="E269" s="13"/>
    </row>
    <row r="270" ht="12.75">
      <c r="E270" s="13"/>
    </row>
    <row r="271" ht="12.75">
      <c r="E271" s="13"/>
    </row>
    <row r="272" ht="12.75">
      <c r="E272" s="13"/>
    </row>
    <row r="273" ht="12.75">
      <c r="E273" s="13"/>
    </row>
    <row r="274" ht="12.75">
      <c r="E274" s="13"/>
    </row>
  </sheetData>
  <printOptions/>
  <pageMargins left="0.17" right="0.18" top="0.17" bottom="0.26" header="0.5" footer="0.5"/>
  <pageSetup fitToHeight="3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2" sqref="A2"/>
    </sheetView>
  </sheetViews>
  <sheetFormatPr defaultColWidth="9.140625" defaultRowHeight="12.75"/>
  <cols>
    <col min="1" max="1" width="3.00390625" style="0" customWidth="1"/>
    <col min="2" max="2" width="32.00390625" style="0" customWidth="1"/>
    <col min="3" max="3" width="11.7109375" style="0" customWidth="1"/>
    <col min="5" max="5" width="15.00390625" style="0" bestFit="1" customWidth="1"/>
    <col min="7" max="7" width="13.140625" style="0" customWidth="1"/>
  </cols>
  <sheetData>
    <row r="1" spans="1:6" ht="12.75">
      <c r="A1" s="40" t="s">
        <v>198</v>
      </c>
      <c r="F1" s="54"/>
    </row>
    <row r="4" ht="12.75">
      <c r="A4" s="21" t="s">
        <v>136</v>
      </c>
    </row>
    <row r="5" spans="1:7" ht="25.5">
      <c r="A5" s="23" t="s">
        <v>137</v>
      </c>
      <c r="C5" s="39" t="s">
        <v>197</v>
      </c>
      <c r="D5" s="39" t="s">
        <v>206</v>
      </c>
      <c r="E5" s="39" t="s">
        <v>208</v>
      </c>
      <c r="F5" s="39" t="s">
        <v>207</v>
      </c>
      <c r="G5" s="39" t="s">
        <v>209</v>
      </c>
    </row>
    <row r="6" ht="12.75">
      <c r="A6" s="21" t="s">
        <v>151</v>
      </c>
    </row>
    <row r="7" spans="2:7" ht="12.75">
      <c r="B7" s="21" t="s">
        <v>138</v>
      </c>
      <c r="C7" s="13">
        <v>110326382.09881371</v>
      </c>
      <c r="D7" s="22">
        <v>0.132</v>
      </c>
      <c r="E7" s="25">
        <f>D7*C7</f>
        <v>14563082.437043412</v>
      </c>
      <c r="F7" s="22">
        <v>0.136</v>
      </c>
      <c r="G7" s="25">
        <f>F7*C7</f>
        <v>15004387.965438666</v>
      </c>
    </row>
    <row r="8" spans="2:7" ht="12.75">
      <c r="B8" s="21" t="s">
        <v>139</v>
      </c>
      <c r="C8" s="13">
        <v>147201817.9011863</v>
      </c>
      <c r="D8" s="22">
        <v>0.171</v>
      </c>
      <c r="E8" s="25">
        <f>D8*C8</f>
        <v>25171510.861102857</v>
      </c>
      <c r="F8" s="22">
        <v>0.176</v>
      </c>
      <c r="G8" s="25">
        <f>F8*C8</f>
        <v>25907519.950608786</v>
      </c>
    </row>
    <row r="9" spans="1:6" ht="12.75">
      <c r="A9" t="s">
        <v>150</v>
      </c>
      <c r="B9" s="21"/>
      <c r="C9" s="13"/>
      <c r="D9" s="22"/>
      <c r="F9" s="22"/>
    </row>
    <row r="10" spans="2:7" ht="12.75">
      <c r="B10" s="21" t="s">
        <v>140</v>
      </c>
      <c r="C10" s="13">
        <v>23777245.366760828</v>
      </c>
      <c r="D10" s="22">
        <v>0.122</v>
      </c>
      <c r="E10" s="25">
        <f aca="true" t="shared" si="0" ref="E10:E22">D10*C10</f>
        <v>2900823.934744821</v>
      </c>
      <c r="F10" s="22">
        <v>0.125</v>
      </c>
      <c r="G10" s="25">
        <f aca="true" t="shared" si="1" ref="G10:G22">F10*C10</f>
        <v>2972155.6708451035</v>
      </c>
    </row>
    <row r="11" spans="2:7" ht="12.75">
      <c r="B11" s="21" t="s">
        <v>94</v>
      </c>
      <c r="C11" s="13">
        <v>1123376.139571339</v>
      </c>
      <c r="D11" s="22">
        <v>0.055</v>
      </c>
      <c r="E11" s="25">
        <f t="shared" si="0"/>
        <v>61785.68767642364</v>
      </c>
      <c r="F11" s="22">
        <v>0.056</v>
      </c>
      <c r="G11" s="25">
        <f t="shared" si="1"/>
        <v>62909.06381599498</v>
      </c>
    </row>
    <row r="12" spans="2:7" ht="12.75">
      <c r="B12" s="21" t="s">
        <v>141</v>
      </c>
      <c r="C12" s="13">
        <v>1033401.2442594327</v>
      </c>
      <c r="D12" s="22">
        <v>0.107</v>
      </c>
      <c r="E12" s="25">
        <f t="shared" si="0"/>
        <v>110573.93313575929</v>
      </c>
      <c r="F12" s="22">
        <v>0.11</v>
      </c>
      <c r="G12" s="25">
        <f t="shared" si="1"/>
        <v>113674.1368685376</v>
      </c>
    </row>
    <row r="13" spans="2:8" ht="12.75">
      <c r="B13" s="21" t="s">
        <v>142</v>
      </c>
      <c r="C13" s="13">
        <v>23809882.472982854</v>
      </c>
      <c r="D13" s="22">
        <v>0.11</v>
      </c>
      <c r="E13" s="25">
        <f t="shared" si="0"/>
        <v>2619087.072028114</v>
      </c>
      <c r="F13" s="22">
        <v>0.113</v>
      </c>
      <c r="G13" s="25">
        <f t="shared" si="1"/>
        <v>2690516.7194470624</v>
      </c>
      <c r="H13" s="33"/>
    </row>
    <row r="14" spans="2:7" ht="12.75">
      <c r="B14" s="21" t="s">
        <v>95</v>
      </c>
      <c r="C14" s="13">
        <v>5794222.40527184</v>
      </c>
      <c r="D14" s="22">
        <v>0.046</v>
      </c>
      <c r="E14" s="25">
        <f t="shared" si="0"/>
        <v>266534.23064250464</v>
      </c>
      <c r="F14" s="22">
        <v>0.047</v>
      </c>
      <c r="G14" s="25">
        <f t="shared" si="1"/>
        <v>272328.4530477765</v>
      </c>
    </row>
    <row r="15" spans="2:7" ht="12.75">
      <c r="B15" s="21" t="s">
        <v>143</v>
      </c>
      <c r="C15" s="13">
        <v>6307892.628432462</v>
      </c>
      <c r="D15" s="22">
        <v>0.099</v>
      </c>
      <c r="E15" s="25">
        <f t="shared" si="0"/>
        <v>624481.3702148137</v>
      </c>
      <c r="F15" s="22">
        <v>0.102</v>
      </c>
      <c r="G15" s="25">
        <f t="shared" si="1"/>
        <v>643405.0481001111</v>
      </c>
    </row>
    <row r="16" spans="2:7" ht="12.75">
      <c r="B16" s="21" t="s">
        <v>144</v>
      </c>
      <c r="C16" s="13">
        <v>76135393.25601777</v>
      </c>
      <c r="D16" s="22">
        <v>0.098</v>
      </c>
      <c r="E16" s="25">
        <f t="shared" si="0"/>
        <v>7461268.539089742</v>
      </c>
      <c r="F16" s="22">
        <v>0.101</v>
      </c>
      <c r="G16" s="25">
        <f t="shared" si="1"/>
        <v>7689674.718857796</v>
      </c>
    </row>
    <row r="17" spans="2:7" ht="12.75">
      <c r="B17" s="21" t="s">
        <v>96</v>
      </c>
      <c r="C17" s="13">
        <v>6820023.218437642</v>
      </c>
      <c r="D17" s="22">
        <v>0.044</v>
      </c>
      <c r="E17" s="25">
        <f t="shared" si="0"/>
        <v>300081.02161125623</v>
      </c>
      <c r="F17" s="22">
        <v>0.045</v>
      </c>
      <c r="G17" s="25">
        <f t="shared" si="1"/>
        <v>306901.04482969386</v>
      </c>
    </row>
    <row r="18" spans="2:7" ht="12.75">
      <c r="B18" s="21" t="s">
        <v>145</v>
      </c>
      <c r="C18" s="13">
        <v>50699738.572822876</v>
      </c>
      <c r="D18" s="22">
        <v>0.093</v>
      </c>
      <c r="E18" s="25">
        <f t="shared" si="0"/>
        <v>4715075.687272527</v>
      </c>
      <c r="F18" s="22">
        <v>0.095</v>
      </c>
      <c r="G18" s="25">
        <f t="shared" si="1"/>
        <v>4816475.164418173</v>
      </c>
    </row>
    <row r="19" spans="2:7" ht="12.75">
      <c r="B19" s="21" t="s">
        <v>146</v>
      </c>
      <c r="C19" s="13">
        <v>408201899.7464689</v>
      </c>
      <c r="D19" s="22">
        <v>0.056</v>
      </c>
      <c r="E19" s="25">
        <f t="shared" si="0"/>
        <v>22859306.385802258</v>
      </c>
      <c r="F19" s="22">
        <v>0.057</v>
      </c>
      <c r="G19" s="25">
        <f t="shared" si="1"/>
        <v>23267508.285548728</v>
      </c>
    </row>
    <row r="20" spans="2:7" ht="12.75">
      <c r="B20" s="21" t="s">
        <v>147</v>
      </c>
      <c r="C20" s="13">
        <v>84279427.018804</v>
      </c>
      <c r="D20" s="22">
        <v>0.041</v>
      </c>
      <c r="E20" s="25">
        <f t="shared" si="0"/>
        <v>3455456.507770964</v>
      </c>
      <c r="F20" s="22">
        <v>0.042</v>
      </c>
      <c r="G20" s="25">
        <f t="shared" si="1"/>
        <v>3539735.934789768</v>
      </c>
    </row>
    <row r="21" spans="2:7" ht="12.75">
      <c r="B21" s="21" t="s">
        <v>148</v>
      </c>
      <c r="C21" s="13">
        <v>48475255.93016998</v>
      </c>
      <c r="D21" s="22">
        <v>0.028</v>
      </c>
      <c r="E21" s="25">
        <f t="shared" si="0"/>
        <v>1357307.1660447593</v>
      </c>
      <c r="F21" s="22">
        <v>0.029</v>
      </c>
      <c r="G21" s="25">
        <f t="shared" si="1"/>
        <v>1405782.4219749295</v>
      </c>
    </row>
    <row r="22" spans="2:7" ht="12.75">
      <c r="B22" s="21" t="s">
        <v>149</v>
      </c>
      <c r="C22" s="13">
        <v>227893107.45459175</v>
      </c>
      <c r="D22" s="22">
        <v>-0.008</v>
      </c>
      <c r="E22" s="25">
        <f t="shared" si="0"/>
        <v>-1823144.859636734</v>
      </c>
      <c r="F22" s="22">
        <v>-0.008</v>
      </c>
      <c r="G22" s="25">
        <f t="shared" si="1"/>
        <v>-1823144.859636734</v>
      </c>
    </row>
    <row r="23" spans="1:6" ht="12.75">
      <c r="A23" s="21"/>
      <c r="F23" s="22"/>
    </row>
    <row r="24" spans="1:6" ht="12.75">
      <c r="A24" s="21" t="s">
        <v>150</v>
      </c>
      <c r="C24" s="13">
        <f>SUM(C10:C21)</f>
        <v>736457757.9999999</v>
      </c>
      <c r="F24" s="22"/>
    </row>
    <row r="25" spans="1:6" ht="12.75">
      <c r="A25" s="21" t="s">
        <v>151</v>
      </c>
      <c r="C25" s="13">
        <f>SUM(C7:C8)</f>
        <v>257528200</v>
      </c>
      <c r="F25" s="22"/>
    </row>
    <row r="26" spans="1:7" ht="12.75">
      <c r="A26" s="21" t="s">
        <v>152</v>
      </c>
      <c r="E26" s="26">
        <f>SUM(E7:E8,E10:E22)</f>
        <v>84643229.97454348</v>
      </c>
      <c r="F26" s="22"/>
      <c r="G26" s="26">
        <f>SUM(G7:G8,G10:G22)</f>
        <v>86869829.71895438</v>
      </c>
    </row>
    <row r="27" spans="1:7" ht="12.75">
      <c r="A27" t="s">
        <v>153</v>
      </c>
      <c r="C27" s="13">
        <v>1560623.4363194364</v>
      </c>
      <c r="D27" s="22">
        <v>0.155</v>
      </c>
      <c r="E27" s="25">
        <f>D27*C27</f>
        <v>241896.63262951263</v>
      </c>
      <c r="F27" s="22">
        <v>0.159</v>
      </c>
      <c r="G27" s="25">
        <f>F27*C27</f>
        <v>248139.1263747904</v>
      </c>
    </row>
    <row r="28" spans="1:7" ht="13.5" thickBot="1">
      <c r="A28" t="s">
        <v>154</v>
      </c>
      <c r="C28" s="13">
        <v>540308</v>
      </c>
      <c r="D28" s="22">
        <v>0.015</v>
      </c>
      <c r="E28" s="25">
        <f>D28*C28</f>
        <v>8104.62</v>
      </c>
      <c r="F28" s="22">
        <v>0.015</v>
      </c>
      <c r="G28" s="25">
        <f>F28*C28</f>
        <v>8104.62</v>
      </c>
    </row>
    <row r="29" spans="1:8" ht="13.5" thickTop="1">
      <c r="A29" t="s">
        <v>155</v>
      </c>
      <c r="E29" s="26">
        <f>E26+E27+E28</f>
        <v>84893231.227173</v>
      </c>
      <c r="G29" s="26">
        <f>G26+G27+G28</f>
        <v>87126073.46532919</v>
      </c>
      <c r="H29" s="44" t="s">
        <v>212</v>
      </c>
    </row>
    <row r="30" spans="1:8" ht="13.5" thickBot="1">
      <c r="A30" s="43" t="s">
        <v>211</v>
      </c>
      <c r="E30" s="50">
        <f>E29/$C$24</f>
        <v>0.11527237007824828</v>
      </c>
      <c r="F30" s="43"/>
      <c r="G30" s="50">
        <f>G29/$C$24</f>
        <v>0.11830423743778282</v>
      </c>
      <c r="H30" s="46">
        <f>(G30/E30)-1</f>
        <v>0.026301769951259546</v>
      </c>
    </row>
    <row r="31" ht="13.5" thickTop="1">
      <c r="A31" s="32"/>
    </row>
    <row r="32" ht="12.75">
      <c r="A32" s="21"/>
    </row>
  </sheetData>
  <printOptions/>
  <pageMargins left="0.17" right="0.16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0" customWidth="1"/>
    <col min="2" max="2" width="13.421875" style="0" bestFit="1" customWidth="1"/>
    <col min="3" max="3" width="15.140625" style="0" customWidth="1"/>
    <col min="4" max="4" width="15.00390625" style="0" bestFit="1" customWidth="1"/>
  </cols>
  <sheetData>
    <row r="1" spans="1:4" ht="25.5">
      <c r="A1" s="60" t="s">
        <v>243</v>
      </c>
      <c r="B1" s="17" t="s">
        <v>197</v>
      </c>
      <c r="C1" s="39" t="s">
        <v>208</v>
      </c>
      <c r="D1" s="39" t="s">
        <v>210</v>
      </c>
    </row>
    <row r="3" spans="1:4" ht="12.75">
      <c r="A3" t="s">
        <v>196</v>
      </c>
      <c r="B3" s="13">
        <f>'Outside County'!E128</f>
        <v>8059372743</v>
      </c>
      <c r="C3" s="25">
        <f>'Outside County'!G137</f>
        <v>2276326089.823854</v>
      </c>
      <c r="D3" s="25">
        <f>'Outside County'!I137</f>
        <v>2338071794.2763305</v>
      </c>
    </row>
    <row r="4" spans="1:4" ht="12.75">
      <c r="A4" t="s">
        <v>198</v>
      </c>
      <c r="B4" s="13">
        <f>'Within County'!C24</f>
        <v>736457757.9999999</v>
      </c>
      <c r="C4" s="25">
        <f>'Within County'!E29</f>
        <v>84893231.227173</v>
      </c>
      <c r="D4" s="25">
        <f>'Within County'!G29</f>
        <v>87126073.46532919</v>
      </c>
    </row>
    <row r="5" spans="3:5" ht="12.75">
      <c r="C5" s="26">
        <f>SUM(C3:C4)</f>
        <v>2361219321.051027</v>
      </c>
      <c r="D5" s="26">
        <f>SUM(D3:D4)</f>
        <v>2425197867.7416596</v>
      </c>
      <c r="E5" s="18">
        <f>(D5/C5)-1</f>
        <v>0.027095554453685722</v>
      </c>
    </row>
    <row r="7" spans="1:5" ht="12.75">
      <c r="A7" t="s">
        <v>199</v>
      </c>
      <c r="E7" s="14">
        <v>0.029</v>
      </c>
    </row>
    <row r="8" spans="1:5" ht="12.75">
      <c r="A8" t="s">
        <v>205</v>
      </c>
      <c r="E8" s="41">
        <f>E7-E5</f>
        <v>0.0019044455463142797</v>
      </c>
    </row>
    <row r="15" ht="12.75">
      <c r="C15" s="5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workbookViewId="0" topLeftCell="A7">
      <selection activeCell="A31" sqref="A31"/>
    </sheetView>
  </sheetViews>
  <sheetFormatPr defaultColWidth="9.140625" defaultRowHeight="12.75"/>
  <sheetData>
    <row r="1" ht="12.75">
      <c r="A1" s="40" t="s">
        <v>253</v>
      </c>
    </row>
    <row r="5" ht="12.75">
      <c r="A5" s="40" t="s">
        <v>215</v>
      </c>
    </row>
    <row r="7" ht="12.75">
      <c r="A7" s="40" t="s">
        <v>216</v>
      </c>
    </row>
    <row r="9" ht="12.75">
      <c r="A9" s="40" t="s">
        <v>217</v>
      </c>
    </row>
    <row r="11" ht="12.75">
      <c r="A11" s="40" t="s">
        <v>245</v>
      </c>
    </row>
    <row r="13" ht="12.75">
      <c r="A13" s="40" t="s">
        <v>218</v>
      </c>
    </row>
    <row r="15" ht="12.75">
      <c r="A15" s="40" t="s">
        <v>246</v>
      </c>
    </row>
    <row r="17" ht="12.75">
      <c r="A17" s="40" t="s">
        <v>247</v>
      </c>
    </row>
    <row r="19" ht="12.75">
      <c r="A19" s="40" t="s">
        <v>244</v>
      </c>
    </row>
    <row r="21" ht="12.75">
      <c r="A21" s="40" t="s">
        <v>248</v>
      </c>
    </row>
    <row r="23" ht="12.75">
      <c r="A23" s="40" t="s">
        <v>254</v>
      </c>
    </row>
    <row r="25" ht="12.75">
      <c r="A25" s="40" t="s">
        <v>255</v>
      </c>
    </row>
    <row r="27" ht="12.75">
      <c r="A27" s="40" t="s">
        <v>249</v>
      </c>
    </row>
    <row r="29" ht="12.75">
      <c r="A29" s="40" t="s">
        <v>250</v>
      </c>
    </row>
    <row r="31" ht="12.75">
      <c r="A31" s="40" t="s">
        <v>251</v>
      </c>
    </row>
  </sheetData>
  <printOptions/>
  <pageMargins left="0.75" right="0.5" top="1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3" sqref="A3"/>
    </sheetView>
  </sheetViews>
  <sheetFormatPr defaultColWidth="9.140625" defaultRowHeight="12.75"/>
  <cols>
    <col min="4" max="4" width="12.8515625" style="0" customWidth="1"/>
    <col min="5" max="5" width="14.7109375" style="0" customWidth="1"/>
    <col min="6" max="6" width="10.421875" style="0" customWidth="1"/>
    <col min="7" max="7" width="13.421875" style="0" customWidth="1"/>
  </cols>
  <sheetData>
    <row r="1" spans="1:7" ht="12.75">
      <c r="A1" s="10" t="s">
        <v>156</v>
      </c>
      <c r="B1" s="10"/>
      <c r="C1" s="10"/>
      <c r="D1" s="10"/>
      <c r="G1" s="10"/>
    </row>
    <row r="2" spans="1:7" ht="12.75">
      <c r="A2" t="s">
        <v>201</v>
      </c>
      <c r="C2" s="10"/>
      <c r="D2" s="10"/>
      <c r="G2" s="10"/>
    </row>
    <row r="3" spans="3:7" ht="12.75">
      <c r="C3" s="10"/>
      <c r="D3" s="10"/>
      <c r="G3" s="10"/>
    </row>
    <row r="4" spans="3:7" ht="12.75">
      <c r="C4" s="10"/>
      <c r="D4" s="10"/>
      <c r="G4" s="10"/>
    </row>
    <row r="5" spans="1:7" ht="12.75">
      <c r="A5" s="10"/>
      <c r="B5" s="10"/>
      <c r="C5" s="10"/>
      <c r="D5" s="10"/>
      <c r="G5" s="10"/>
    </row>
    <row r="6" spans="1:7" ht="12.75">
      <c r="A6" s="10" t="s">
        <v>160</v>
      </c>
      <c r="B6" s="10"/>
      <c r="C6" s="10"/>
      <c r="D6" s="10" t="s">
        <v>161</v>
      </c>
      <c r="E6" s="10"/>
      <c r="F6" s="10"/>
      <c r="G6" s="10"/>
    </row>
    <row r="7" spans="1:7" ht="12.75">
      <c r="A7" s="10" t="s">
        <v>162</v>
      </c>
      <c r="B7" s="10" t="s">
        <v>163</v>
      </c>
      <c r="C7" s="10" t="s">
        <v>164</v>
      </c>
      <c r="D7" s="10" t="s">
        <v>165</v>
      </c>
      <c r="E7" s="10" t="s">
        <v>123</v>
      </c>
      <c r="F7" s="10" t="s">
        <v>166</v>
      </c>
      <c r="G7" s="10" t="s">
        <v>167</v>
      </c>
    </row>
    <row r="8" spans="1:7" ht="12.75">
      <c r="A8" s="10" t="s">
        <v>168</v>
      </c>
      <c r="B8" s="10" t="s">
        <v>169</v>
      </c>
      <c r="C8" s="10" t="s">
        <v>170</v>
      </c>
      <c r="D8" s="10">
        <v>15188944.774</v>
      </c>
      <c r="E8" s="10">
        <v>3776508.8409999995</v>
      </c>
      <c r="F8" s="10">
        <v>199775.211</v>
      </c>
      <c r="G8" s="10">
        <v>19165228.825999998</v>
      </c>
    </row>
    <row r="9" spans="1:7" ht="12.75">
      <c r="A9" s="10"/>
      <c r="B9" s="10"/>
      <c r="C9" s="10" t="s">
        <v>171</v>
      </c>
      <c r="D9" s="10">
        <v>7820709.456</v>
      </c>
      <c r="E9" s="10">
        <v>2931760.304</v>
      </c>
      <c r="F9" s="10">
        <v>110079.683</v>
      </c>
      <c r="G9" s="10">
        <v>10862549.443</v>
      </c>
    </row>
    <row r="10" spans="1:7" ht="12.75">
      <c r="A10" s="10"/>
      <c r="B10" s="10" t="s">
        <v>172</v>
      </c>
      <c r="C10" s="10" t="s">
        <v>170</v>
      </c>
      <c r="D10" s="10">
        <v>8994812.746000001</v>
      </c>
      <c r="E10" s="10">
        <v>2260244.392</v>
      </c>
      <c r="F10" s="10">
        <v>6808.058</v>
      </c>
      <c r="G10" s="10">
        <v>11261865.196</v>
      </c>
    </row>
    <row r="11" spans="1:7" ht="12.75">
      <c r="A11" s="10"/>
      <c r="B11" s="10"/>
      <c r="C11" s="10" t="s">
        <v>171</v>
      </c>
      <c r="D11" s="10">
        <v>28569561.862999998</v>
      </c>
      <c r="E11" s="10">
        <v>656172.3690000001</v>
      </c>
      <c r="F11" s="10">
        <v>18049.615</v>
      </c>
      <c r="G11" s="10">
        <v>29243783.846999995</v>
      </c>
    </row>
    <row r="12" spans="1:7" ht="12.75">
      <c r="A12" s="10" t="s">
        <v>173</v>
      </c>
      <c r="B12" s="10" t="s">
        <v>169</v>
      </c>
      <c r="C12" s="10" t="s">
        <v>170</v>
      </c>
      <c r="D12" s="10">
        <v>59045819.87099999</v>
      </c>
      <c r="E12" s="10">
        <v>11812905.780999998</v>
      </c>
      <c r="F12" s="10">
        <v>717607.5730000001</v>
      </c>
      <c r="G12" s="10">
        <v>71576333.225</v>
      </c>
    </row>
    <row r="13" spans="1:7" ht="12.75">
      <c r="A13" s="10"/>
      <c r="B13" s="10"/>
      <c r="C13" s="10" t="s">
        <v>171</v>
      </c>
      <c r="D13" s="10">
        <v>8216461.427999999</v>
      </c>
      <c r="E13" s="10">
        <v>4074802.969</v>
      </c>
      <c r="F13" s="10">
        <v>286533.787</v>
      </c>
      <c r="G13" s="10">
        <v>12577798.184</v>
      </c>
    </row>
    <row r="14" spans="1:7" ht="12.75">
      <c r="A14" s="10"/>
      <c r="B14" s="10" t="s">
        <v>172</v>
      </c>
      <c r="C14" s="10" t="s">
        <v>170</v>
      </c>
      <c r="D14" s="10">
        <v>26672681.11</v>
      </c>
      <c r="E14" s="10">
        <v>3794637.366</v>
      </c>
      <c r="F14" s="10">
        <v>35092.916</v>
      </c>
      <c r="G14" s="10">
        <v>30502411.392</v>
      </c>
    </row>
    <row r="15" spans="1:7" ht="12.75">
      <c r="A15" s="10"/>
      <c r="B15" s="10"/>
      <c r="C15" s="10" t="s">
        <v>171</v>
      </c>
      <c r="D15" s="10">
        <v>33537602.951</v>
      </c>
      <c r="E15" s="10">
        <v>861402.2320000001</v>
      </c>
      <c r="F15" s="10">
        <v>15534.424</v>
      </c>
      <c r="G15" s="10">
        <v>34414539.607</v>
      </c>
    </row>
    <row r="16" spans="1:7" ht="12.75">
      <c r="A16" s="10" t="s">
        <v>174</v>
      </c>
      <c r="B16" s="10" t="s">
        <v>169</v>
      </c>
      <c r="C16" s="10" t="s">
        <v>170</v>
      </c>
      <c r="D16" s="10">
        <v>618660294.0209999</v>
      </c>
      <c r="E16" s="10">
        <v>114039960.587</v>
      </c>
      <c r="F16" s="10">
        <v>7372973.968</v>
      </c>
      <c r="G16" s="10">
        <v>740073228.576</v>
      </c>
    </row>
    <row r="17" spans="1:7" ht="12.75">
      <c r="A17" s="10"/>
      <c r="B17" s="10"/>
      <c r="C17" s="10" t="s">
        <v>171</v>
      </c>
      <c r="D17" s="10">
        <v>52738334.044000044</v>
      </c>
      <c r="E17" s="10">
        <v>13433985.852000002</v>
      </c>
      <c r="F17" s="10">
        <v>1411444.085</v>
      </c>
      <c r="G17" s="10">
        <v>67583763.98100004</v>
      </c>
    </row>
    <row r="18" spans="1:7" ht="12.75">
      <c r="A18" s="10"/>
      <c r="B18" s="10" t="s">
        <v>172</v>
      </c>
      <c r="C18" s="10" t="s">
        <v>170</v>
      </c>
      <c r="D18" s="10">
        <v>147644549.83299997</v>
      </c>
      <c r="E18" s="10">
        <v>22674217.966</v>
      </c>
      <c r="F18" s="10">
        <v>301405.6709999999</v>
      </c>
      <c r="G18" s="10">
        <v>170620173.46999997</v>
      </c>
    </row>
    <row r="19" spans="1:7" ht="12.75">
      <c r="A19" s="10"/>
      <c r="B19" s="10"/>
      <c r="C19" s="10" t="s">
        <v>171</v>
      </c>
      <c r="D19" s="10">
        <v>67544276.39100002</v>
      </c>
      <c r="E19" s="10">
        <v>3136037.5220000017</v>
      </c>
      <c r="F19" s="10">
        <v>58548.55</v>
      </c>
      <c r="G19" s="10">
        <v>70738862.46300001</v>
      </c>
    </row>
    <row r="20" spans="1:7" ht="12.75">
      <c r="A20" s="10" t="s">
        <v>175</v>
      </c>
      <c r="B20" s="10" t="s">
        <v>169</v>
      </c>
      <c r="C20" s="10" t="s">
        <v>170</v>
      </c>
      <c r="D20" s="10">
        <v>1652420279.743</v>
      </c>
      <c r="E20" s="10">
        <v>358971308.67699975</v>
      </c>
      <c r="F20" s="10">
        <v>17319995.452999994</v>
      </c>
      <c r="G20" s="10">
        <v>2028711583.873</v>
      </c>
    </row>
    <row r="21" spans="1:7" ht="12.75">
      <c r="A21" s="10"/>
      <c r="B21" s="10"/>
      <c r="C21" s="10" t="s">
        <v>124</v>
      </c>
      <c r="D21" s="10">
        <v>18251.465</v>
      </c>
      <c r="E21" s="10"/>
      <c r="F21" s="10"/>
      <c r="G21" s="10">
        <v>18251.465</v>
      </c>
    </row>
    <row r="22" spans="1:7" ht="12.75">
      <c r="A22" s="10"/>
      <c r="B22" s="10"/>
      <c r="C22" s="10" t="s">
        <v>171</v>
      </c>
      <c r="D22" s="10">
        <v>96941733.80199999</v>
      </c>
      <c r="E22" s="10">
        <v>28898625.608</v>
      </c>
      <c r="F22" s="10">
        <v>2110359.6090000006</v>
      </c>
      <c r="G22" s="10">
        <v>127950719.01899998</v>
      </c>
    </row>
    <row r="23" spans="1:7" ht="12.75">
      <c r="A23" s="10"/>
      <c r="B23" s="10" t="s">
        <v>172</v>
      </c>
      <c r="C23" s="10" t="s">
        <v>170</v>
      </c>
      <c r="D23" s="10">
        <v>338732776.8240002</v>
      </c>
      <c r="E23" s="10">
        <v>33417212.68000002</v>
      </c>
      <c r="F23" s="10">
        <v>43657.355</v>
      </c>
      <c r="G23" s="10">
        <v>372193646.8590002</v>
      </c>
    </row>
    <row r="24" spans="1:7" ht="12.75">
      <c r="A24" s="10"/>
      <c r="B24" s="10"/>
      <c r="C24" s="10" t="s">
        <v>124</v>
      </c>
      <c r="D24" s="10">
        <v>2437.794</v>
      </c>
      <c r="E24" s="10"/>
      <c r="F24" s="10"/>
      <c r="G24" s="10">
        <v>2437.794</v>
      </c>
    </row>
    <row r="25" spans="1:7" ht="12.75">
      <c r="A25" s="10"/>
      <c r="B25" s="10"/>
      <c r="C25" s="10" t="s">
        <v>171</v>
      </c>
      <c r="D25" s="10">
        <v>64421974.92400002</v>
      </c>
      <c r="E25" s="10">
        <v>6939851.0150000015</v>
      </c>
      <c r="F25" s="10">
        <v>1233.5119999999997</v>
      </c>
      <c r="G25" s="10">
        <v>71363059.45100002</v>
      </c>
    </row>
    <row r="26" spans="1:7" ht="12.75">
      <c r="A26" s="10" t="s">
        <v>176</v>
      </c>
      <c r="B26" s="10" t="s">
        <v>169</v>
      </c>
      <c r="C26" s="10" t="s">
        <v>170</v>
      </c>
      <c r="D26" s="10">
        <v>45783.232999999986</v>
      </c>
      <c r="E26" s="10">
        <v>1091.3690000000001</v>
      </c>
      <c r="F26" s="10"/>
      <c r="G26" s="10">
        <v>46874.601999999984</v>
      </c>
    </row>
    <row r="27" spans="1:7" ht="12.75">
      <c r="A27" s="10"/>
      <c r="B27" s="10"/>
      <c r="C27" s="10" t="s">
        <v>124</v>
      </c>
      <c r="D27" s="10">
        <v>3358061.6359999995</v>
      </c>
      <c r="E27" s="10">
        <v>3061570.567999999</v>
      </c>
      <c r="F27" s="10">
        <v>473770.06700000004</v>
      </c>
      <c r="G27" s="10">
        <v>6893402.270999998</v>
      </c>
    </row>
    <row r="28" spans="1:7" ht="12.75">
      <c r="A28" s="10"/>
      <c r="B28" s="10"/>
      <c r="C28" s="10" t="s">
        <v>171</v>
      </c>
      <c r="D28" s="10">
        <v>20231888.91300001</v>
      </c>
      <c r="E28" s="10">
        <v>6873144.073999995</v>
      </c>
      <c r="F28" s="10">
        <v>2775671.0689999997</v>
      </c>
      <c r="G28" s="10">
        <v>29880704.056</v>
      </c>
    </row>
    <row r="29" spans="1:7" ht="12.75">
      <c r="A29" s="10"/>
      <c r="B29" s="10" t="s">
        <v>172</v>
      </c>
      <c r="C29" s="10" t="s">
        <v>124</v>
      </c>
      <c r="D29" s="10">
        <v>586060.2670000001</v>
      </c>
      <c r="E29" s="10">
        <v>66367.98899999999</v>
      </c>
      <c r="F29" s="10">
        <v>346045.21099999995</v>
      </c>
      <c r="G29" s="10">
        <v>998473.467</v>
      </c>
    </row>
    <row r="30" spans="1:7" ht="12.75">
      <c r="A30" s="10"/>
      <c r="B30" s="10"/>
      <c r="C30" s="10" t="s">
        <v>171</v>
      </c>
      <c r="D30" s="10">
        <v>3485408.39</v>
      </c>
      <c r="E30" s="10">
        <v>267916.55900000007</v>
      </c>
      <c r="F30" s="10">
        <v>2784653.957999999</v>
      </c>
      <c r="G30" s="10">
        <v>6537978.906999998</v>
      </c>
    </row>
    <row r="31" spans="1:7" ht="12.75">
      <c r="A31" s="10" t="s">
        <v>124</v>
      </c>
      <c r="B31" s="10" t="s">
        <v>169</v>
      </c>
      <c r="C31" s="10" t="s">
        <v>124</v>
      </c>
      <c r="D31" s="10">
        <v>2495144936.553999</v>
      </c>
      <c r="E31" s="10">
        <v>932027568.5739996</v>
      </c>
      <c r="F31" s="10">
        <v>18377996.579999994</v>
      </c>
      <c r="G31" s="10">
        <v>3445550501.7079983</v>
      </c>
    </row>
    <row r="32" spans="1:7" ht="12.75">
      <c r="A32" s="10"/>
      <c r="B32" s="10" t="s">
        <v>172</v>
      </c>
      <c r="C32" s="10" t="s">
        <v>124</v>
      </c>
      <c r="D32" s="10">
        <v>301785358.826</v>
      </c>
      <c r="E32" s="10">
        <v>62795550.10799998</v>
      </c>
      <c r="F32" s="10">
        <v>204.745</v>
      </c>
      <c r="G32" s="10">
        <v>364581113.67899996</v>
      </c>
    </row>
    <row r="33" spans="1:7" ht="12.75">
      <c r="A33" s="10" t="s">
        <v>177</v>
      </c>
      <c r="B33" s="10" t="s">
        <v>169</v>
      </c>
      <c r="C33" s="10" t="s">
        <v>124</v>
      </c>
      <c r="D33" s="10">
        <v>78452936.092</v>
      </c>
      <c r="E33" s="10">
        <v>100140529.62999998</v>
      </c>
      <c r="F33" s="10"/>
      <c r="G33" s="10">
        <v>178593465.72199997</v>
      </c>
    </row>
    <row r="34" spans="1:7" ht="12.75">
      <c r="A34" s="10" t="s">
        <v>178</v>
      </c>
      <c r="B34" s="10" t="s">
        <v>169</v>
      </c>
      <c r="C34" s="10" t="s">
        <v>124</v>
      </c>
      <c r="D34" s="10">
        <v>38806048.18399999</v>
      </c>
      <c r="E34" s="10">
        <v>35610705.579</v>
      </c>
      <c r="F34" s="10"/>
      <c r="G34" s="10">
        <v>74416753.763</v>
      </c>
    </row>
    <row r="35" spans="1:7" ht="12.75">
      <c r="A35" s="10" t="s">
        <v>167</v>
      </c>
      <c r="B35" s="10"/>
      <c r="C35" s="10"/>
      <c r="D35" s="10">
        <v>6169067985.134999</v>
      </c>
      <c r="E35" s="10">
        <v>1752524078.6109993</v>
      </c>
      <c r="F35" s="10">
        <v>54767441.09999999</v>
      </c>
      <c r="G35" s="10">
        <v>7976359504.845999</v>
      </c>
    </row>
    <row r="37" spans="1:8" ht="24.75" customHeight="1">
      <c r="A37" s="62" t="s">
        <v>219</v>
      </c>
      <c r="B37" s="63"/>
      <c r="C37" s="63"/>
      <c r="D37" s="63"/>
      <c r="E37" s="63"/>
      <c r="F37" s="63"/>
      <c r="G37" s="63"/>
      <c r="H37" s="63"/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3" sqref="A3"/>
    </sheetView>
  </sheetViews>
  <sheetFormatPr defaultColWidth="9.140625" defaultRowHeight="12.75"/>
  <cols>
    <col min="3" max="3" width="13.57421875" style="0" customWidth="1"/>
    <col min="4" max="4" width="14.8515625" style="0" customWidth="1"/>
    <col min="5" max="5" width="12.421875" style="0" customWidth="1"/>
    <col min="6" max="6" width="15.00390625" style="0" customWidth="1"/>
  </cols>
  <sheetData>
    <row r="1" spans="1:4" ht="12.75">
      <c r="A1" s="10" t="s">
        <v>156</v>
      </c>
      <c r="B1" s="10"/>
      <c r="C1" s="10"/>
      <c r="D1" s="10"/>
    </row>
    <row r="2" spans="1:4" ht="12.75">
      <c r="A2" t="s">
        <v>202</v>
      </c>
      <c r="C2" s="10"/>
      <c r="D2" s="10"/>
    </row>
    <row r="3" spans="3:4" ht="12.75">
      <c r="C3" s="10"/>
      <c r="D3" s="10"/>
    </row>
    <row r="4" spans="3:4" ht="12.75">
      <c r="C4" s="10"/>
      <c r="D4" s="10"/>
    </row>
    <row r="5" spans="1:4" ht="12.75">
      <c r="A5" s="10"/>
      <c r="B5" s="10"/>
      <c r="C5" s="10"/>
      <c r="D5" s="10"/>
    </row>
    <row r="6" spans="1:6" ht="12.75">
      <c r="A6" s="10" t="s">
        <v>179</v>
      </c>
      <c r="B6" s="10"/>
      <c r="C6" s="10" t="s">
        <v>161</v>
      </c>
      <c r="D6" s="10"/>
      <c r="E6" s="10"/>
      <c r="F6" s="10"/>
    </row>
    <row r="7" spans="1:6" ht="12.75">
      <c r="A7" s="10" t="s">
        <v>157</v>
      </c>
      <c r="B7" s="10" t="s">
        <v>162</v>
      </c>
      <c r="C7" s="10" t="s">
        <v>165</v>
      </c>
      <c r="D7" s="10" t="s">
        <v>123</v>
      </c>
      <c r="E7" s="10" t="s">
        <v>166</v>
      </c>
      <c r="F7" s="10" t="s">
        <v>167</v>
      </c>
    </row>
    <row r="8" spans="1:6" ht="12.75">
      <c r="A8" s="10" t="s">
        <v>168</v>
      </c>
      <c r="B8" s="10" t="s">
        <v>168</v>
      </c>
      <c r="C8" s="10">
        <v>3477670.2880000006</v>
      </c>
      <c r="D8" s="10">
        <v>930853.941</v>
      </c>
      <c r="E8" s="10">
        <v>19963.597999999998</v>
      </c>
      <c r="F8" s="10">
        <v>4428487.8270000005</v>
      </c>
    </row>
    <row r="9" spans="1:6" ht="12.75">
      <c r="A9" s="10"/>
      <c r="B9" s="10" t="s">
        <v>173</v>
      </c>
      <c r="C9" s="10">
        <v>6933299.424000001</v>
      </c>
      <c r="D9" s="10">
        <v>1453823.4540000004</v>
      </c>
      <c r="E9" s="10">
        <v>58662.35800000001</v>
      </c>
      <c r="F9" s="10">
        <v>8445785.236000001</v>
      </c>
    </row>
    <row r="10" spans="1:6" ht="12.75">
      <c r="A10" s="10"/>
      <c r="B10" s="10" t="s">
        <v>174</v>
      </c>
      <c r="C10" s="10">
        <v>5740297.634999998</v>
      </c>
      <c r="D10" s="10">
        <v>1569095.2659999998</v>
      </c>
      <c r="E10" s="10">
        <v>83189.76900000001</v>
      </c>
      <c r="F10" s="10">
        <v>7392582.669999998</v>
      </c>
    </row>
    <row r="11" spans="1:6" ht="12.75">
      <c r="A11" s="10"/>
      <c r="B11" s="10" t="s">
        <v>175</v>
      </c>
      <c r="C11" s="10">
        <v>1026498.208</v>
      </c>
      <c r="D11" s="10">
        <v>329692.0169999999</v>
      </c>
      <c r="E11" s="10">
        <v>23874.138000000003</v>
      </c>
      <c r="F11" s="10">
        <v>1380064.363</v>
      </c>
    </row>
    <row r="12" spans="1:6" ht="12.75">
      <c r="A12" s="10"/>
      <c r="B12" s="10" t="s">
        <v>176</v>
      </c>
      <c r="C12" s="10">
        <v>3199336.701</v>
      </c>
      <c r="D12" s="10">
        <v>1043888.3409999999</v>
      </c>
      <c r="E12" s="10">
        <v>419747.819</v>
      </c>
      <c r="F12" s="10">
        <v>4662972.861</v>
      </c>
    </row>
    <row r="13" spans="1:6" ht="12.75">
      <c r="A13" s="10" t="s">
        <v>173</v>
      </c>
      <c r="B13" s="10" t="s">
        <v>173</v>
      </c>
      <c r="C13" s="10">
        <v>4889439.964</v>
      </c>
      <c r="D13" s="10">
        <v>780097.8930000002</v>
      </c>
      <c r="E13" s="10">
        <v>40832.46599999999</v>
      </c>
      <c r="F13" s="10">
        <v>5710370.323</v>
      </c>
    </row>
    <row r="14" spans="1:6" ht="12.75">
      <c r="A14" s="10"/>
      <c r="B14" s="10" t="s">
        <v>174</v>
      </c>
      <c r="C14" s="10">
        <v>21286363.35199999</v>
      </c>
      <c r="D14" s="10">
        <v>3262238.49</v>
      </c>
      <c r="E14" s="10">
        <v>213067.83600000004</v>
      </c>
      <c r="F14" s="10">
        <v>24761669.67799999</v>
      </c>
    </row>
    <row r="15" spans="1:6" ht="12.75">
      <c r="A15" s="10"/>
      <c r="B15" s="10" t="s">
        <v>175</v>
      </c>
      <c r="C15" s="10">
        <v>32672231.947999995</v>
      </c>
      <c r="D15" s="10">
        <v>7289685.801</v>
      </c>
      <c r="E15" s="10">
        <v>523711.15100000007</v>
      </c>
      <c r="F15" s="10">
        <v>40485628.9</v>
      </c>
    </row>
    <row r="16" spans="1:6" ht="12.75">
      <c r="A16" s="10"/>
      <c r="B16" s="10" t="s">
        <v>124</v>
      </c>
      <c r="C16" s="10">
        <v>11393606.677</v>
      </c>
      <c r="D16" s="10">
        <v>5847509.482999999</v>
      </c>
      <c r="E16" s="10">
        <v>1455551.9770000002</v>
      </c>
      <c r="F16" s="10">
        <v>18696668.137</v>
      </c>
    </row>
    <row r="17" spans="1:6" ht="12.75">
      <c r="A17" s="10"/>
      <c r="B17" s="10" t="s">
        <v>177</v>
      </c>
      <c r="C17" s="10">
        <v>71.795</v>
      </c>
      <c r="D17" s="10">
        <v>4616.82</v>
      </c>
      <c r="E17" s="10"/>
      <c r="F17" s="10">
        <v>4688.615</v>
      </c>
    </row>
    <row r="18" spans="1:6" ht="12.75">
      <c r="A18" s="10"/>
      <c r="B18" s="10" t="s">
        <v>178</v>
      </c>
      <c r="C18" s="10">
        <v>1446.3280000000002</v>
      </c>
      <c r="D18" s="10">
        <v>9549.02</v>
      </c>
      <c r="E18" s="10"/>
      <c r="F18" s="10">
        <v>10995.348</v>
      </c>
    </row>
    <row r="19" spans="1:6" ht="12.75">
      <c r="A19" s="10"/>
      <c r="B19" s="10" t="s">
        <v>176</v>
      </c>
      <c r="C19" s="10">
        <v>6976850.952000003</v>
      </c>
      <c r="D19" s="10">
        <v>3186886.19</v>
      </c>
      <c r="E19" s="10">
        <v>2114782.95</v>
      </c>
      <c r="F19" s="10">
        <v>12278520.092000004</v>
      </c>
    </row>
    <row r="20" spans="1:6" ht="12.75">
      <c r="A20" s="10" t="s">
        <v>180</v>
      </c>
      <c r="B20" s="10" t="s">
        <v>175</v>
      </c>
      <c r="C20" s="10">
        <v>4536320.812000001</v>
      </c>
      <c r="D20" s="10">
        <v>1933465.8660000006</v>
      </c>
      <c r="E20" s="10">
        <v>56098.055000000015</v>
      </c>
      <c r="F20" s="10">
        <v>6525884.733000001</v>
      </c>
    </row>
    <row r="21" spans="1:6" ht="12.75">
      <c r="A21" s="10"/>
      <c r="B21" s="10" t="s">
        <v>124</v>
      </c>
      <c r="C21" s="10">
        <v>34172477.222</v>
      </c>
      <c r="D21" s="10">
        <v>12844732.113</v>
      </c>
      <c r="E21" s="10">
        <v>108160.685</v>
      </c>
      <c r="F21" s="10">
        <v>47125370.02</v>
      </c>
    </row>
    <row r="22" spans="1:6" ht="12.75">
      <c r="A22" s="10"/>
      <c r="B22" s="10" t="s">
        <v>177</v>
      </c>
      <c r="C22" s="10">
        <v>1338731.2470000002</v>
      </c>
      <c r="D22" s="10">
        <v>1017065.0160000001</v>
      </c>
      <c r="E22" s="10"/>
      <c r="F22" s="10">
        <v>2355796.2630000003</v>
      </c>
    </row>
    <row r="23" spans="1:6" ht="12.75">
      <c r="A23" s="10"/>
      <c r="B23" s="10" t="s">
        <v>178</v>
      </c>
      <c r="C23" s="10">
        <v>1515295.71</v>
      </c>
      <c r="D23" s="10">
        <v>358950.45499999996</v>
      </c>
      <c r="E23" s="10"/>
      <c r="F23" s="10">
        <v>1874246.165</v>
      </c>
    </row>
    <row r="24" spans="1:6" ht="12.75">
      <c r="A24" s="10"/>
      <c r="B24" s="10" t="s">
        <v>176</v>
      </c>
      <c r="C24" s="10">
        <v>1270594.4370000002</v>
      </c>
      <c r="D24" s="10">
        <v>983128.2470000002</v>
      </c>
      <c r="E24" s="10">
        <v>48810.882000000005</v>
      </c>
      <c r="F24" s="10">
        <v>2302533.5660000006</v>
      </c>
    </row>
    <row r="25" spans="1:6" ht="12.75">
      <c r="A25" s="10" t="s">
        <v>181</v>
      </c>
      <c r="B25" s="10" t="s">
        <v>174</v>
      </c>
      <c r="C25" s="10">
        <v>30403034.487</v>
      </c>
      <c r="D25" s="10">
        <v>5038581.310999999</v>
      </c>
      <c r="E25" s="10">
        <v>300870.9720000001</v>
      </c>
      <c r="F25" s="10">
        <v>35742486.77</v>
      </c>
    </row>
    <row r="26" spans="1:6" ht="12.75">
      <c r="A26" s="10"/>
      <c r="B26" s="10" t="s">
        <v>175</v>
      </c>
      <c r="C26" s="10">
        <v>109588205.96899995</v>
      </c>
      <c r="D26" s="10">
        <v>18581442.228999995</v>
      </c>
      <c r="E26" s="10">
        <v>1009703.2690000001</v>
      </c>
      <c r="F26" s="10">
        <v>129179351.46699995</v>
      </c>
    </row>
    <row r="27" spans="1:6" ht="12.75">
      <c r="A27" s="10"/>
      <c r="B27" s="10" t="s">
        <v>124</v>
      </c>
      <c r="C27" s="10">
        <v>197769440.422</v>
      </c>
      <c r="D27" s="10">
        <v>43884480.16700002</v>
      </c>
      <c r="E27" s="10">
        <v>875528.328</v>
      </c>
      <c r="F27" s="10">
        <v>242529448.91700003</v>
      </c>
    </row>
    <row r="28" spans="1:6" ht="12.75">
      <c r="A28" s="10"/>
      <c r="B28" s="10" t="s">
        <v>177</v>
      </c>
      <c r="C28" s="10">
        <v>314426.539</v>
      </c>
      <c r="D28" s="10">
        <v>961967.396</v>
      </c>
      <c r="E28" s="10"/>
      <c r="F28" s="10">
        <v>1276393.935</v>
      </c>
    </row>
    <row r="29" spans="1:6" ht="12.75">
      <c r="A29" s="10"/>
      <c r="B29" s="10" t="s">
        <v>178</v>
      </c>
      <c r="C29" s="10">
        <v>513390.48600000003</v>
      </c>
      <c r="D29" s="10">
        <v>376727.454</v>
      </c>
      <c r="E29" s="10"/>
      <c r="F29" s="10">
        <v>890117.94</v>
      </c>
    </row>
    <row r="30" spans="1:6" ht="12.75">
      <c r="A30" s="10"/>
      <c r="B30" s="10" t="s">
        <v>176</v>
      </c>
      <c r="C30" s="10">
        <v>13501212.986000007</v>
      </c>
      <c r="D30" s="10">
        <v>5088436.991999999</v>
      </c>
      <c r="E30" s="10">
        <v>3796798.654</v>
      </c>
      <c r="F30" s="10">
        <v>22386448.632000007</v>
      </c>
    </row>
    <row r="31" spans="1:6" ht="12.75">
      <c r="A31" s="10" t="s">
        <v>167</v>
      </c>
      <c r="B31" s="10"/>
      <c r="C31" s="10">
        <v>492520243.5889999</v>
      </c>
      <c r="D31" s="10">
        <v>116776913.962</v>
      </c>
      <c r="E31" s="10">
        <v>11149354.907000002</v>
      </c>
      <c r="F31" s="10">
        <v>620446512.458</v>
      </c>
    </row>
    <row r="33" spans="1:7" ht="12.75">
      <c r="A33" s="64" t="str">
        <f>'MCS07 Pieces'!A37:H37</f>
        <v>Periodicals Mail Characteristics Study presented in ACR USPS-FY07-14 (See Table 10 for Aggregated Outside County Data).</v>
      </c>
      <c r="B33" s="65"/>
      <c r="C33" s="65"/>
      <c r="D33" s="65"/>
      <c r="E33" s="65"/>
      <c r="F33" s="65"/>
      <c r="G33" s="65"/>
    </row>
    <row r="34" spans="1:7" ht="12.75">
      <c r="A34" s="65"/>
      <c r="B34" s="65"/>
      <c r="C34" s="65"/>
      <c r="D34" s="65"/>
      <c r="E34" s="65"/>
      <c r="F34" s="65"/>
      <c r="G34" s="65"/>
    </row>
  </sheetData>
  <mergeCells count="1">
    <mergeCell ref="A33:G3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3" sqref="A3"/>
    </sheetView>
  </sheetViews>
  <sheetFormatPr defaultColWidth="9.140625" defaultRowHeight="12.75"/>
  <cols>
    <col min="4" max="4" width="11.57421875" style="0" customWidth="1"/>
    <col min="7" max="7" width="10.7109375" style="0" customWidth="1"/>
  </cols>
  <sheetData>
    <row r="1" spans="1:5" ht="12.75">
      <c r="A1" s="10" t="s">
        <v>182</v>
      </c>
      <c r="B1" s="10"/>
      <c r="C1" s="10"/>
      <c r="D1" s="10"/>
      <c r="E1" s="10"/>
    </row>
    <row r="2" spans="1:5" ht="12.75">
      <c r="A2" s="10" t="s">
        <v>203</v>
      </c>
      <c r="B2" s="10"/>
      <c r="C2" s="10"/>
      <c r="D2" s="10"/>
      <c r="E2" s="10"/>
    </row>
    <row r="3" spans="3:5" ht="12.75">
      <c r="C3" s="10"/>
      <c r="D3" s="10"/>
      <c r="E3" s="10"/>
    </row>
    <row r="4" spans="3:5" ht="12.75">
      <c r="C4" s="10"/>
      <c r="D4" s="10"/>
      <c r="E4" s="10"/>
    </row>
    <row r="5" spans="3:5" ht="12.75">
      <c r="C5" s="10"/>
      <c r="D5" s="10"/>
      <c r="E5" s="10"/>
    </row>
    <row r="6" spans="1:5" ht="12.75">
      <c r="A6" s="10"/>
      <c r="B6" s="10"/>
      <c r="C6" s="10"/>
      <c r="D6" s="10"/>
      <c r="E6" s="10"/>
    </row>
    <row r="7" spans="1:7" ht="12.75">
      <c r="A7" s="10" t="s">
        <v>183</v>
      </c>
      <c r="B7" s="10"/>
      <c r="C7" s="10"/>
      <c r="D7" s="10" t="s">
        <v>161</v>
      </c>
      <c r="E7" s="10"/>
      <c r="F7" s="10"/>
      <c r="G7" s="10"/>
    </row>
    <row r="8" spans="1:7" ht="12.75">
      <c r="A8" s="10" t="s">
        <v>158</v>
      </c>
      <c r="B8" s="10" t="s">
        <v>157</v>
      </c>
      <c r="C8" s="10" t="s">
        <v>159</v>
      </c>
      <c r="D8" s="10" t="s">
        <v>165</v>
      </c>
      <c r="E8" s="10" t="s">
        <v>123</v>
      </c>
      <c r="F8" s="10" t="s">
        <v>166</v>
      </c>
      <c r="G8" s="10" t="s">
        <v>167</v>
      </c>
    </row>
    <row r="9" spans="1:7" ht="12.75">
      <c r="A9" s="10" t="s">
        <v>184</v>
      </c>
      <c r="B9" s="10" t="s">
        <v>173</v>
      </c>
      <c r="C9" s="10" t="s">
        <v>185</v>
      </c>
      <c r="D9" s="10">
        <v>322818.07300000003</v>
      </c>
      <c r="E9" s="10">
        <v>104538.05399999999</v>
      </c>
      <c r="F9" s="10">
        <v>17559.992</v>
      </c>
      <c r="G9" s="10">
        <v>444916.11900000006</v>
      </c>
    </row>
    <row r="10" spans="1:7" ht="12.75">
      <c r="A10" s="10"/>
      <c r="B10" s="10"/>
      <c r="C10" s="10" t="s">
        <v>186</v>
      </c>
      <c r="D10" s="10">
        <v>2508.289</v>
      </c>
      <c r="E10" s="10">
        <v>154.591</v>
      </c>
      <c r="F10" s="10">
        <v>3.246</v>
      </c>
      <c r="G10" s="10">
        <v>2666.126</v>
      </c>
    </row>
    <row r="11" spans="1:7" ht="12.75">
      <c r="A11" s="10"/>
      <c r="B11" s="10"/>
      <c r="C11" s="10" t="s">
        <v>79</v>
      </c>
      <c r="D11" s="10">
        <v>374102.282</v>
      </c>
      <c r="E11" s="10">
        <v>84641.215</v>
      </c>
      <c r="F11" s="10">
        <v>1981.684</v>
      </c>
      <c r="G11" s="10">
        <v>460725.181</v>
      </c>
    </row>
    <row r="12" spans="1:7" ht="12.75">
      <c r="A12" s="10"/>
      <c r="B12" s="10" t="s">
        <v>181</v>
      </c>
      <c r="C12" s="10" t="s">
        <v>185</v>
      </c>
      <c r="D12" s="10">
        <v>338859.907</v>
      </c>
      <c r="E12" s="10">
        <v>82299.8</v>
      </c>
      <c r="F12" s="10">
        <v>8685.203</v>
      </c>
      <c r="G12" s="10">
        <v>429844.91</v>
      </c>
    </row>
    <row r="13" spans="1:7" ht="12.75">
      <c r="A13" s="10"/>
      <c r="B13" s="10"/>
      <c r="C13" s="10" t="s">
        <v>186</v>
      </c>
      <c r="D13" s="10">
        <v>3963.845</v>
      </c>
      <c r="E13" s="10">
        <v>368.027</v>
      </c>
      <c r="F13" s="10">
        <v>5.953</v>
      </c>
      <c r="G13" s="10">
        <v>4337.825</v>
      </c>
    </row>
    <row r="14" spans="1:7" ht="12.75">
      <c r="A14" s="10"/>
      <c r="B14" s="10"/>
      <c r="C14" s="10" t="s">
        <v>79</v>
      </c>
      <c r="D14" s="10">
        <v>249341.602</v>
      </c>
      <c r="E14" s="10">
        <v>34724.761</v>
      </c>
      <c r="F14" s="10">
        <v>243.915</v>
      </c>
      <c r="G14" s="10">
        <v>284310.278</v>
      </c>
    </row>
    <row r="15" spans="1:7" ht="12.75">
      <c r="A15" s="10"/>
      <c r="B15" s="10"/>
      <c r="C15" s="10" t="s">
        <v>78</v>
      </c>
      <c r="D15" s="10">
        <v>1277993.7389999998</v>
      </c>
      <c r="E15" s="10">
        <v>237798.296</v>
      </c>
      <c r="F15" s="10">
        <v>1498.507</v>
      </c>
      <c r="G15" s="10">
        <v>1517290.542</v>
      </c>
    </row>
    <row r="16" spans="1:7" ht="12.75">
      <c r="A16" s="10"/>
      <c r="B16" s="10" t="s">
        <v>180</v>
      </c>
      <c r="C16" s="10" t="s">
        <v>185</v>
      </c>
      <c r="D16" s="10">
        <v>28855.953</v>
      </c>
      <c r="E16" s="10">
        <v>28868.424</v>
      </c>
      <c r="F16" s="10">
        <v>105.581</v>
      </c>
      <c r="G16" s="10">
        <v>57829.958</v>
      </c>
    </row>
    <row r="17" spans="1:7" ht="12.75">
      <c r="A17" s="10"/>
      <c r="B17" s="10"/>
      <c r="C17" s="10" t="s">
        <v>186</v>
      </c>
      <c r="D17" s="10">
        <v>269.528</v>
      </c>
      <c r="E17" s="10">
        <v>0.748</v>
      </c>
      <c r="F17" s="10"/>
      <c r="G17" s="10">
        <v>270.276</v>
      </c>
    </row>
    <row r="18" spans="1:7" ht="12.75">
      <c r="A18" s="10"/>
      <c r="B18" s="10"/>
      <c r="C18" s="10" t="s">
        <v>79</v>
      </c>
      <c r="D18" s="10">
        <v>28986.832</v>
      </c>
      <c r="E18" s="10">
        <v>13476.606</v>
      </c>
      <c r="F18" s="10">
        <v>0.056</v>
      </c>
      <c r="G18" s="10">
        <v>42463.49399999999</v>
      </c>
    </row>
    <row r="19" spans="1:7" ht="12.75">
      <c r="A19" s="10"/>
      <c r="B19" s="10"/>
      <c r="C19" s="10" t="s">
        <v>78</v>
      </c>
      <c r="D19" s="10">
        <v>505388.58</v>
      </c>
      <c r="E19" s="10">
        <v>134366.857</v>
      </c>
      <c r="F19" s="10">
        <v>75.53</v>
      </c>
      <c r="G19" s="10">
        <v>639830.9670000001</v>
      </c>
    </row>
    <row r="20" spans="1:7" ht="12.75">
      <c r="A20" s="10"/>
      <c r="B20" s="10"/>
      <c r="C20" s="10" t="s">
        <v>77</v>
      </c>
      <c r="D20" s="10">
        <v>32613.533</v>
      </c>
      <c r="E20" s="10">
        <v>2916.639</v>
      </c>
      <c r="F20" s="10">
        <v>1.363</v>
      </c>
      <c r="G20" s="10">
        <v>35531.534999999996</v>
      </c>
    </row>
    <row r="21" spans="1:7" ht="12.75">
      <c r="A21" s="10" t="s">
        <v>187</v>
      </c>
      <c r="B21" s="10" t="s">
        <v>168</v>
      </c>
      <c r="C21" s="10" t="s">
        <v>185</v>
      </c>
      <c r="D21" s="10">
        <v>3874306.1890000002</v>
      </c>
      <c r="E21" s="10">
        <v>567220.0430000001</v>
      </c>
      <c r="F21" s="10">
        <v>35839.495</v>
      </c>
      <c r="G21" s="10">
        <v>4477365.727000001</v>
      </c>
    </row>
    <row r="22" spans="1:7" ht="12.75">
      <c r="A22" s="10"/>
      <c r="B22" s="10"/>
      <c r="C22" s="10" t="s">
        <v>186</v>
      </c>
      <c r="D22" s="10">
        <v>86592.675</v>
      </c>
      <c r="E22" s="10">
        <v>259.556</v>
      </c>
      <c r="F22" s="10"/>
      <c r="G22" s="10">
        <v>86852.231</v>
      </c>
    </row>
    <row r="23" spans="1:7" ht="12.75">
      <c r="A23" s="10"/>
      <c r="B23" s="10" t="s">
        <v>173</v>
      </c>
      <c r="C23" s="10" t="s">
        <v>185</v>
      </c>
      <c r="D23" s="10">
        <v>5197003.311</v>
      </c>
      <c r="E23" s="10">
        <v>868983.086</v>
      </c>
      <c r="F23" s="10">
        <v>80809.593</v>
      </c>
      <c r="G23" s="10">
        <v>6146795.99</v>
      </c>
    </row>
    <row r="24" spans="1:7" ht="12.75">
      <c r="A24" s="10"/>
      <c r="B24" s="10"/>
      <c r="C24" s="10" t="s">
        <v>186</v>
      </c>
      <c r="D24" s="10">
        <v>1214.691</v>
      </c>
      <c r="E24" s="10">
        <v>26.71</v>
      </c>
      <c r="F24" s="10"/>
      <c r="G24" s="10">
        <v>1241.401</v>
      </c>
    </row>
    <row r="25" spans="1:7" ht="12.75">
      <c r="A25" s="10"/>
      <c r="B25" s="10"/>
      <c r="C25" s="10" t="s">
        <v>79</v>
      </c>
      <c r="D25" s="10">
        <v>111518.582</v>
      </c>
      <c r="E25" s="10">
        <v>28439.725</v>
      </c>
      <c r="F25" s="10">
        <v>1778.718</v>
      </c>
      <c r="G25" s="10">
        <v>141737.025</v>
      </c>
    </row>
    <row r="26" spans="1:7" ht="12.75">
      <c r="A26" s="10"/>
      <c r="B26" s="10" t="s">
        <v>181</v>
      </c>
      <c r="C26" s="10" t="s">
        <v>185</v>
      </c>
      <c r="D26" s="10">
        <v>14601562.624000002</v>
      </c>
      <c r="E26" s="10">
        <v>2958874.38</v>
      </c>
      <c r="F26" s="10">
        <v>368501.83599999995</v>
      </c>
      <c r="G26" s="10">
        <v>17928938.84</v>
      </c>
    </row>
    <row r="27" spans="1:7" ht="12.75">
      <c r="A27" s="10"/>
      <c r="B27" s="10"/>
      <c r="C27" s="10" t="s">
        <v>186</v>
      </c>
      <c r="D27" s="10">
        <v>20118.819</v>
      </c>
      <c r="E27" s="10">
        <v>35.41</v>
      </c>
      <c r="F27" s="10"/>
      <c r="G27" s="10">
        <v>20154.229</v>
      </c>
    </row>
    <row r="28" spans="1:7" ht="12.75">
      <c r="A28" s="10"/>
      <c r="B28" s="10"/>
      <c r="C28" s="10" t="s">
        <v>79</v>
      </c>
      <c r="D28" s="10">
        <v>654612.1240000001</v>
      </c>
      <c r="E28" s="10">
        <v>32188.358</v>
      </c>
      <c r="F28" s="10">
        <v>10426.914</v>
      </c>
      <c r="G28" s="10">
        <v>697227.3960000001</v>
      </c>
    </row>
    <row r="29" spans="1:7" ht="12.75">
      <c r="A29" s="10"/>
      <c r="B29" s="10"/>
      <c r="C29" s="10" t="s">
        <v>78</v>
      </c>
      <c r="D29" s="10">
        <v>1955238.05</v>
      </c>
      <c r="E29" s="10">
        <v>299717.917</v>
      </c>
      <c r="F29" s="10">
        <v>15037.178</v>
      </c>
      <c r="G29" s="10">
        <v>2269993.1449999996</v>
      </c>
    </row>
    <row r="30" spans="1:7" ht="12.75">
      <c r="A30" s="10"/>
      <c r="B30" s="10" t="s">
        <v>180</v>
      </c>
      <c r="C30" s="10" t="s">
        <v>185</v>
      </c>
      <c r="D30" s="10">
        <v>2519395.782</v>
      </c>
      <c r="E30" s="10">
        <v>1100960.628</v>
      </c>
      <c r="F30" s="10">
        <v>80828.546</v>
      </c>
      <c r="G30" s="10">
        <v>3701184.9560000002</v>
      </c>
    </row>
    <row r="31" spans="1:7" ht="12.75">
      <c r="A31" s="10"/>
      <c r="B31" s="10"/>
      <c r="C31" s="10" t="s">
        <v>186</v>
      </c>
      <c r="D31" s="10">
        <v>970.578</v>
      </c>
      <c r="E31" s="10">
        <v>57.123000000000005</v>
      </c>
      <c r="F31" s="10"/>
      <c r="G31" s="10">
        <v>1027.701</v>
      </c>
    </row>
    <row r="32" spans="1:7" ht="12.75">
      <c r="A32" s="10"/>
      <c r="B32" s="10"/>
      <c r="C32" s="10" t="s">
        <v>79</v>
      </c>
      <c r="D32" s="10">
        <v>265775.33400000003</v>
      </c>
      <c r="E32" s="10">
        <v>120168.92300000001</v>
      </c>
      <c r="F32" s="10">
        <v>0.26</v>
      </c>
      <c r="G32" s="10">
        <v>385944.51700000005</v>
      </c>
    </row>
    <row r="33" spans="1:7" ht="12.75">
      <c r="A33" s="10"/>
      <c r="B33" s="10"/>
      <c r="C33" s="10" t="s">
        <v>78</v>
      </c>
      <c r="D33" s="10">
        <v>1930514.872</v>
      </c>
      <c r="E33" s="10">
        <v>934700.1159999999</v>
      </c>
      <c r="F33" s="10">
        <v>167.956</v>
      </c>
      <c r="G33" s="10">
        <v>2865382.9439999997</v>
      </c>
    </row>
    <row r="34" spans="1:7" ht="12.75">
      <c r="A34" s="10"/>
      <c r="B34" s="10"/>
      <c r="C34" s="10" t="s">
        <v>77</v>
      </c>
      <c r="D34" s="10">
        <v>57997.621999999996</v>
      </c>
      <c r="E34" s="10">
        <v>14880.309000000001</v>
      </c>
      <c r="F34" s="10"/>
      <c r="G34" s="10">
        <v>72877.931</v>
      </c>
    </row>
    <row r="35" spans="1:7" ht="12.75">
      <c r="A35" s="10" t="s">
        <v>167</v>
      </c>
      <c r="B35" s="10"/>
      <c r="C35" s="10"/>
      <c r="D35" s="10">
        <v>34442523.416</v>
      </c>
      <c r="E35" s="10">
        <v>7650666.302000001</v>
      </c>
      <c r="F35" s="10">
        <v>623551.526</v>
      </c>
      <c r="G35" s="10">
        <v>42716741.244</v>
      </c>
    </row>
    <row r="37" spans="1:8" ht="12.75">
      <c r="A37" s="64" t="str">
        <f>'MCS07 Pieces'!A37:H37</f>
        <v>Periodicals Mail Characteristics Study presented in ACR USPS-FY07-14 (See Table 10 for Aggregated Outside County Data).</v>
      </c>
      <c r="B37" s="65"/>
      <c r="C37" s="65"/>
      <c r="D37" s="65"/>
      <c r="E37" s="65"/>
      <c r="F37" s="65"/>
      <c r="G37" s="65"/>
      <c r="H37" s="65"/>
    </row>
    <row r="38" spans="1:8" ht="12.75">
      <c r="A38" s="65"/>
      <c r="B38" s="65"/>
      <c r="C38" s="65"/>
      <c r="D38" s="65"/>
      <c r="E38" s="65"/>
      <c r="F38" s="65"/>
      <c r="G38" s="65"/>
      <c r="H38" s="65"/>
    </row>
  </sheetData>
  <mergeCells count="1">
    <mergeCell ref="A37:H38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4">
      <selection activeCell="A36" sqref="A36"/>
    </sheetView>
  </sheetViews>
  <sheetFormatPr defaultColWidth="9.140625" defaultRowHeight="12.75"/>
  <cols>
    <col min="1" max="1" width="14.57421875" style="0" customWidth="1"/>
    <col min="2" max="2" width="13.28125" style="0" customWidth="1"/>
    <col min="3" max="3" width="12.7109375" style="0" customWidth="1"/>
    <col min="4" max="4" width="12.421875" style="0" customWidth="1"/>
    <col min="5" max="5" width="11.7109375" style="0" customWidth="1"/>
    <col min="6" max="6" width="12.421875" style="0" customWidth="1"/>
    <col min="7" max="7" width="12.140625" style="0" customWidth="1"/>
    <col min="8" max="8" width="12.421875" style="0" customWidth="1"/>
    <col min="9" max="9" width="12.28125" style="0" customWidth="1"/>
    <col min="10" max="10" width="11.00390625" style="0" customWidth="1"/>
    <col min="11" max="11" width="16.28125" style="0" customWidth="1"/>
    <col min="12" max="12" width="10.57421875" style="0" customWidth="1"/>
  </cols>
  <sheetData>
    <row r="1" ht="12.75">
      <c r="A1" s="40" t="s">
        <v>188</v>
      </c>
    </row>
    <row r="2" spans="2:9" ht="12.75">
      <c r="B2" s="40" t="s">
        <v>67</v>
      </c>
      <c r="C2" s="40" t="s">
        <v>67</v>
      </c>
      <c r="D2" s="40" t="s">
        <v>68</v>
      </c>
      <c r="E2" s="40" t="s">
        <v>68</v>
      </c>
      <c r="F2" s="40" t="s">
        <v>69</v>
      </c>
      <c r="G2" s="40" t="s">
        <v>69</v>
      </c>
      <c r="H2" s="40" t="s">
        <v>70</v>
      </c>
      <c r="I2" s="40" t="s">
        <v>70</v>
      </c>
    </row>
    <row r="3" spans="2:9" ht="12.75">
      <c r="B3" s="40" t="s">
        <v>192</v>
      </c>
      <c r="C3" s="40" t="s">
        <v>189</v>
      </c>
      <c r="D3" s="40" t="s">
        <v>192</v>
      </c>
      <c r="E3" s="40" t="s">
        <v>189</v>
      </c>
      <c r="F3" s="40" t="s">
        <v>192</v>
      </c>
      <c r="G3" s="40" t="s">
        <v>189</v>
      </c>
      <c r="H3" s="40" t="s">
        <v>192</v>
      </c>
      <c r="I3" s="40" t="s">
        <v>189</v>
      </c>
    </row>
    <row r="4" spans="1:9" ht="12.75">
      <c r="A4" s="13" t="s">
        <v>190</v>
      </c>
      <c r="B4" s="13">
        <v>19893308.464076683</v>
      </c>
      <c r="C4" s="13">
        <v>3846240.8101381348</v>
      </c>
      <c r="D4" s="13">
        <v>265288.67555763794</v>
      </c>
      <c r="E4" s="13">
        <v>59456.48045816213</v>
      </c>
      <c r="F4" s="13">
        <v>974.8990819541092</v>
      </c>
      <c r="G4" s="13">
        <v>222.83646724070562</v>
      </c>
      <c r="H4" s="13">
        <v>64103.08029131269</v>
      </c>
      <c r="I4" s="13">
        <v>14601.83950108188</v>
      </c>
    </row>
    <row r="5" spans="1:9" ht="12.75">
      <c r="A5" s="13" t="s">
        <v>191</v>
      </c>
      <c r="B5" s="13">
        <v>720032539.4101614</v>
      </c>
      <c r="C5" s="13">
        <v>159565276.63566577</v>
      </c>
      <c r="D5" s="13">
        <v>69151084.49572608</v>
      </c>
      <c r="E5" s="13">
        <v>15729036.209180014</v>
      </c>
      <c r="F5" s="13">
        <v>997805.7341437589</v>
      </c>
      <c r="G5" s="13">
        <v>291067.5919472132</v>
      </c>
      <c r="H5" s="13">
        <v>1026882.0230062103</v>
      </c>
      <c r="I5" s="13">
        <v>167739.68819248845</v>
      </c>
    </row>
    <row r="6" spans="1:9" ht="12.75">
      <c r="A6" s="13" t="s">
        <v>79</v>
      </c>
      <c r="B6" s="13">
        <v>133660858.94113773</v>
      </c>
      <c r="C6" s="13">
        <v>30730138.44521041</v>
      </c>
      <c r="D6" s="13">
        <v>12526170.563189115</v>
      </c>
      <c r="E6" s="13">
        <v>2905435.1284687887</v>
      </c>
      <c r="F6" s="13">
        <v>171263.39091360677</v>
      </c>
      <c r="G6" s="13">
        <v>50062.13984053496</v>
      </c>
      <c r="H6" s="13">
        <v>17848.913168120664</v>
      </c>
      <c r="I6" s="13">
        <v>371.78436392803025</v>
      </c>
    </row>
    <row r="7" spans="1:9" ht="12.75">
      <c r="A7" s="13" t="s">
        <v>8</v>
      </c>
      <c r="B7" s="13">
        <v>83337337.49648035</v>
      </c>
      <c r="C7" s="13">
        <v>18460287.901402198</v>
      </c>
      <c r="D7" s="13">
        <v>7041584.891783931</v>
      </c>
      <c r="E7" s="13">
        <v>1879586.7672530536</v>
      </c>
      <c r="F7" s="13">
        <v>108981.5709294063</v>
      </c>
      <c r="G7" s="13">
        <v>25383.1147688501</v>
      </c>
      <c r="H7" s="13">
        <v>4532586.479966171</v>
      </c>
      <c r="I7" s="13">
        <v>1251561.8600024984</v>
      </c>
    </row>
    <row r="8" spans="1:9" ht="12.75">
      <c r="A8" s="13" t="s">
        <v>81</v>
      </c>
      <c r="B8" s="13">
        <v>39262403.06567943</v>
      </c>
      <c r="C8" s="13">
        <v>8443441.720422886</v>
      </c>
      <c r="D8" s="13">
        <v>3533683.25901129</v>
      </c>
      <c r="E8" s="13">
        <v>955259.6520267325</v>
      </c>
      <c r="F8" s="13">
        <v>181465.0183527679</v>
      </c>
      <c r="G8" s="13">
        <v>57523.79049613349</v>
      </c>
      <c r="H8" s="13">
        <v>1169302.410026761</v>
      </c>
      <c r="I8" s="13">
        <v>287305.6028059218</v>
      </c>
    </row>
    <row r="9" spans="1:9" ht="12.75">
      <c r="A9" s="13" t="s">
        <v>82</v>
      </c>
      <c r="B9" s="13">
        <v>51476025.602843255</v>
      </c>
      <c r="C9" s="13">
        <v>10960193.709854743</v>
      </c>
      <c r="D9" s="13">
        <v>4402682.067229325</v>
      </c>
      <c r="E9" s="13">
        <v>1199182.0430809837</v>
      </c>
      <c r="F9" s="13">
        <v>341070.74378320127</v>
      </c>
      <c r="G9" s="13">
        <v>113043.07166124204</v>
      </c>
      <c r="H9" s="13">
        <v>333767.3131969899</v>
      </c>
      <c r="I9" s="13">
        <v>80749.08634401995</v>
      </c>
    </row>
    <row r="10" spans="1:9" ht="12.75">
      <c r="A10" s="13" t="s">
        <v>83</v>
      </c>
      <c r="B10" s="13">
        <v>51779875.48099142</v>
      </c>
      <c r="C10" s="13">
        <v>11163160.650078854</v>
      </c>
      <c r="D10" s="13">
        <v>4664766.101192959</v>
      </c>
      <c r="E10" s="13">
        <v>1047102.8253923537</v>
      </c>
      <c r="F10" s="13">
        <v>314943.1301068629</v>
      </c>
      <c r="G10" s="13">
        <v>121766.8903122327</v>
      </c>
      <c r="H10" s="13">
        <v>135306.27838123773</v>
      </c>
      <c r="I10" s="13">
        <v>28746.509700501643</v>
      </c>
    </row>
    <row r="11" spans="1:9" ht="12.75">
      <c r="A11" s="13" t="s">
        <v>84</v>
      </c>
      <c r="B11" s="13">
        <v>21445110.88296994</v>
      </c>
      <c r="C11" s="13">
        <v>4647766.809621775</v>
      </c>
      <c r="D11" s="13">
        <v>2006956.3046311208</v>
      </c>
      <c r="E11" s="13">
        <v>467840.220736933</v>
      </c>
      <c r="F11" s="13">
        <v>69109.76977268598</v>
      </c>
      <c r="G11" s="13">
        <v>25425.98501334498</v>
      </c>
      <c r="H11" s="13">
        <v>33595.89911502914</v>
      </c>
      <c r="I11" s="13">
        <v>6581.563335746343</v>
      </c>
    </row>
    <row r="12" spans="1:9" ht="12.75">
      <c r="A12" s="13" t="s">
        <v>85</v>
      </c>
      <c r="B12" s="13">
        <v>14903798.879465675</v>
      </c>
      <c r="C12" s="13">
        <v>3214519.151209037</v>
      </c>
      <c r="D12" s="13">
        <v>1412518.4038349704</v>
      </c>
      <c r="E12" s="13">
        <v>295164.7045251575</v>
      </c>
      <c r="F12" s="13">
        <v>62376.9462690068</v>
      </c>
      <c r="G12" s="13">
        <v>19903.265693539768</v>
      </c>
      <c r="H12" s="13">
        <v>27394.433078670798</v>
      </c>
      <c r="I12" s="13">
        <v>5314.15946259138</v>
      </c>
    </row>
    <row r="13" spans="1:9" ht="12.75">
      <c r="A13" s="13" t="s">
        <v>86</v>
      </c>
      <c r="B13" s="13">
        <v>19972737.991630677</v>
      </c>
      <c r="C13" s="13">
        <v>4409439.481351899</v>
      </c>
      <c r="D13" s="13">
        <v>2794249.2855381607</v>
      </c>
      <c r="E13" s="13">
        <v>558527.437316794</v>
      </c>
      <c r="F13" s="13">
        <v>93597.03378602739</v>
      </c>
      <c r="G13" s="13">
        <v>24194.55106024905</v>
      </c>
      <c r="H13" s="13">
        <v>18501.587742184955</v>
      </c>
      <c r="I13" s="13">
        <v>3031.463321738477</v>
      </c>
    </row>
    <row r="15" spans="1:6" ht="12.75">
      <c r="A15" s="57" t="s">
        <v>223</v>
      </c>
      <c r="E15" s="40" t="s">
        <v>227</v>
      </c>
      <c r="F15" s="40" t="s">
        <v>228</v>
      </c>
    </row>
    <row r="16" spans="2:6" ht="12.75">
      <c r="B16" s="40" t="s">
        <v>224</v>
      </c>
      <c r="C16" s="40" t="s">
        <v>225</v>
      </c>
      <c r="D16" s="40" t="s">
        <v>226</v>
      </c>
      <c r="E16" s="40" t="s">
        <v>229</v>
      </c>
      <c r="F16" s="40" t="s">
        <v>230</v>
      </c>
    </row>
    <row r="17" spans="1:6" ht="12.75">
      <c r="A17" s="13" t="s">
        <v>67</v>
      </c>
      <c r="B17" s="13">
        <v>871084558.3406585</v>
      </c>
      <c r="C17" s="13">
        <v>923145027.7080619</v>
      </c>
      <c r="D17" s="13">
        <v>925333695.1583811</v>
      </c>
      <c r="E17" s="13">
        <v>231194034.1606254</v>
      </c>
      <c r="F17" s="13">
        <v>630416962.6885101</v>
      </c>
    </row>
    <row r="18" spans="1:6" ht="12.75">
      <c r="A18" s="13" t="s">
        <v>70</v>
      </c>
      <c r="B18" s="13">
        <v>2145566.121588573</v>
      </c>
      <c r="C18" s="13">
        <v>2274427.0697880965</v>
      </c>
      <c r="D18" s="13">
        <v>1987485.98038286</v>
      </c>
      <c r="E18" s="13">
        <v>493960.4093549313</v>
      </c>
      <c r="F18" s="13">
        <v>1683991.7612084483</v>
      </c>
    </row>
    <row r="19" spans="1:6" ht="12.75">
      <c r="A19" s="13" t="s">
        <v>68</v>
      </c>
      <c r="B19" s="16">
        <v>331738613.5091391</v>
      </c>
      <c r="C19" s="16">
        <v>355138977.92261153</v>
      </c>
      <c r="D19" s="16">
        <v>343089249.469874</v>
      </c>
      <c r="E19" s="16">
        <v>66219589.01976518</v>
      </c>
      <c r="F19" s="13">
        <v>241376907.5865383</v>
      </c>
    </row>
    <row r="20" spans="1:6" ht="12.75">
      <c r="A20" s="13" t="s">
        <v>69</v>
      </c>
      <c r="B20" s="16">
        <v>11342159.249788092</v>
      </c>
      <c r="C20" s="16">
        <v>16751252.671144256</v>
      </c>
      <c r="D20" s="16">
        <v>12177127.000892567</v>
      </c>
      <c r="E20" s="16">
        <v>2497256.346000382</v>
      </c>
      <c r="F20" s="13">
        <v>9551566.596086375</v>
      </c>
    </row>
    <row r="21" spans="1:6" ht="12.75">
      <c r="A21" s="57" t="s">
        <v>232</v>
      </c>
      <c r="F21" s="57" t="s">
        <v>235</v>
      </c>
    </row>
    <row r="22" spans="1:10" ht="12.75">
      <c r="A22" t="s">
        <v>67</v>
      </c>
      <c r="B22" s="13">
        <v>421338800.94114405</v>
      </c>
      <c r="C22" s="13">
        <v>414321668.2565002</v>
      </c>
      <c r="D22" s="13">
        <v>432252796.66352606</v>
      </c>
      <c r="E22" s="13">
        <v>111006450.20070675</v>
      </c>
      <c r="G22" t="s">
        <v>92</v>
      </c>
      <c r="H22" t="s">
        <v>70</v>
      </c>
      <c r="I22" t="s">
        <v>68</v>
      </c>
      <c r="J22" t="s">
        <v>69</v>
      </c>
    </row>
    <row r="23" spans="1:10" ht="12.75">
      <c r="A23" t="s">
        <v>70</v>
      </c>
      <c r="B23" s="13">
        <v>1219292.5911898098</v>
      </c>
      <c r="C23" s="13">
        <v>1271500.8510364967</v>
      </c>
      <c r="D23" s="13">
        <v>1133597.3661774336</v>
      </c>
      <c r="E23" s="13">
        <v>246487.78036035906</v>
      </c>
      <c r="F23" s="13" t="s">
        <v>77</v>
      </c>
      <c r="G23" s="13">
        <v>2534370.760384551</v>
      </c>
      <c r="H23" s="13">
        <v>6010.749153551914</v>
      </c>
      <c r="I23" s="13">
        <v>238588.94461600573</v>
      </c>
      <c r="J23" s="13">
        <v>1917.7159493842014</v>
      </c>
    </row>
    <row r="24" spans="1:10" ht="12.75">
      <c r="A24" t="s">
        <v>68</v>
      </c>
      <c r="B24" s="16">
        <v>93145421.71528074</v>
      </c>
      <c r="C24" s="16">
        <v>97589934.74074258</v>
      </c>
      <c r="D24" s="16">
        <v>93339321.81042686</v>
      </c>
      <c r="E24" s="16">
        <v>18258761.87160948</v>
      </c>
      <c r="F24" t="s">
        <v>78</v>
      </c>
      <c r="G24" s="13">
        <v>167458316.59547478</v>
      </c>
      <c r="H24" s="13">
        <v>97872.66781247155</v>
      </c>
      <c r="I24" s="13">
        <v>32886298.13333933</v>
      </c>
      <c r="J24" s="13">
        <v>776420.5166734093</v>
      </c>
    </row>
    <row r="25" spans="1:10" ht="12.75">
      <c r="A25" t="s">
        <v>69</v>
      </c>
      <c r="B25" s="16">
        <v>7147487.941594655</v>
      </c>
      <c r="C25" s="16">
        <v>8924886.56973966</v>
      </c>
      <c r="D25" s="16">
        <v>4509482.617901588</v>
      </c>
      <c r="E25" s="16">
        <v>438619.01020061196</v>
      </c>
      <c r="F25" s="13" t="s">
        <v>79</v>
      </c>
      <c r="G25" s="13">
        <v>36619030.80732373</v>
      </c>
      <c r="H25" s="13">
        <v>483.00187261597176</v>
      </c>
      <c r="I25" s="13">
        <v>6406589.306464704</v>
      </c>
      <c r="J25" s="13">
        <v>166141.17193364303</v>
      </c>
    </row>
    <row r="26" spans="1:10" ht="12.75">
      <c r="A26" s="40" t="s">
        <v>233</v>
      </c>
      <c r="F26" s="13" t="s">
        <v>236</v>
      </c>
      <c r="G26" s="13">
        <v>90842332.73333381</v>
      </c>
      <c r="H26" s="13">
        <v>874454.5286077702</v>
      </c>
      <c r="I26" s="13">
        <v>32623040.96138677</v>
      </c>
      <c r="J26" s="13">
        <v>4047592.981607185</v>
      </c>
    </row>
    <row r="27" spans="3:6" ht="12.75">
      <c r="C27" t="s">
        <v>67</v>
      </c>
      <c r="D27" t="s">
        <v>70</v>
      </c>
      <c r="E27" t="s">
        <v>68</v>
      </c>
      <c r="F27" t="s">
        <v>69</v>
      </c>
    </row>
    <row r="28" spans="1:6" ht="12.75">
      <c r="A28" t="s">
        <v>94</v>
      </c>
      <c r="C28" s="13">
        <v>24624734.199873745</v>
      </c>
      <c r="D28" s="13">
        <v>33666.275012394166</v>
      </c>
      <c r="E28" s="13">
        <v>6282014.149235332</v>
      </c>
      <c r="F28" s="13">
        <v>291168.4363729321</v>
      </c>
    </row>
    <row r="29" spans="1:6" ht="12.75">
      <c r="A29" t="s">
        <v>95</v>
      </c>
      <c r="C29" s="13">
        <v>9767967.665028194</v>
      </c>
      <c r="D29" s="13">
        <v>12084.311733329145</v>
      </c>
      <c r="E29" s="13">
        <v>6327561.051664494</v>
      </c>
      <c r="F29" s="13">
        <v>339539.7406290931</v>
      </c>
    </row>
    <row r="30" spans="1:6" ht="12.75">
      <c r="A30" t="s">
        <v>96</v>
      </c>
      <c r="C30" s="13">
        <v>401685.1806561096</v>
      </c>
      <c r="D30" s="13">
        <v>711.6732032949828</v>
      </c>
      <c r="E30" s="13">
        <v>812269.8495570591</v>
      </c>
      <c r="F30" s="13">
        <v>8959.50905754306</v>
      </c>
    </row>
    <row r="31" ht="12.75">
      <c r="A31" s="40" t="s">
        <v>234</v>
      </c>
    </row>
    <row r="32" spans="1:6" ht="12.75">
      <c r="A32" t="s">
        <v>99</v>
      </c>
      <c r="C32" s="13">
        <v>4244929.257962286</v>
      </c>
      <c r="D32" s="13">
        <v>2257.2414109564024</v>
      </c>
      <c r="E32" s="13">
        <v>926748.5820804884</v>
      </c>
      <c r="F32" s="13">
        <v>2505.9705124971942</v>
      </c>
    </row>
    <row r="33" spans="1:6" ht="12.75">
      <c r="A33" t="s">
        <v>100</v>
      </c>
      <c r="C33" s="13">
        <v>2012774.2038299716</v>
      </c>
      <c r="D33" s="13">
        <v>3791.3300301494646</v>
      </c>
      <c r="E33" s="13">
        <v>696276.4623668543</v>
      </c>
      <c r="F33" s="13">
        <v>593.1359766847632</v>
      </c>
    </row>
    <row r="34" spans="1:6" ht="12.75">
      <c r="A34" t="s">
        <v>95</v>
      </c>
      <c r="C34" s="13">
        <v>2730783.6767105367</v>
      </c>
      <c r="D34" s="13">
        <v>244.73886080780812</v>
      </c>
      <c r="E34" s="13">
        <v>1832988.2767420553</v>
      </c>
      <c r="F34" s="13">
        <v>1264.6767640441271</v>
      </c>
    </row>
    <row r="35" spans="1:6" ht="12.75">
      <c r="A35" t="s">
        <v>96</v>
      </c>
      <c r="C35" s="13">
        <v>92830.13671563439</v>
      </c>
      <c r="D35" s="13">
        <v>0</v>
      </c>
      <c r="E35" s="13">
        <v>241264.3835505279</v>
      </c>
      <c r="F35" s="13">
        <v>0</v>
      </c>
    </row>
    <row r="36" ht="12.75">
      <c r="A36" s="13" t="s">
        <v>256</v>
      </c>
    </row>
    <row r="37" ht="12.75">
      <c r="A37" t="s">
        <v>231</v>
      </c>
    </row>
  </sheetData>
  <printOptions/>
  <pageMargins left="0.17" right="0.17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7">
      <selection activeCell="A2" sqref="A2"/>
    </sheetView>
  </sheetViews>
  <sheetFormatPr defaultColWidth="9.140625" defaultRowHeight="12.75"/>
  <cols>
    <col min="1" max="1" width="1.7109375" style="0" customWidth="1"/>
    <col min="2" max="2" width="2.421875" style="0" customWidth="1"/>
    <col min="3" max="3" width="21.140625" style="0" customWidth="1"/>
    <col min="4" max="4" width="13.28125" style="0" customWidth="1"/>
    <col min="5" max="5" width="13.57421875" style="0" customWidth="1"/>
    <col min="6" max="6" width="12.57421875" style="0" customWidth="1"/>
    <col min="7" max="7" width="13.57421875" style="0" customWidth="1"/>
    <col min="8" max="8" width="14.00390625" style="0" bestFit="1" customWidth="1"/>
    <col min="10" max="10" width="13.28125" style="0" customWidth="1"/>
    <col min="11" max="11" width="12.00390625" style="0" customWidth="1"/>
    <col min="12" max="12" width="14.140625" style="0" customWidth="1"/>
  </cols>
  <sheetData>
    <row r="1" ht="12.75">
      <c r="A1" t="s">
        <v>71</v>
      </c>
    </row>
    <row r="2" spans="3:12" ht="12.75">
      <c r="C2" s="10" t="s">
        <v>204</v>
      </c>
      <c r="D2" s="10"/>
      <c r="E2" s="10"/>
      <c r="F2" s="10"/>
      <c r="G2" s="10"/>
      <c r="H2" s="10"/>
      <c r="I2" s="10"/>
      <c r="J2" s="10"/>
      <c r="K2" s="10"/>
      <c r="L2" s="10"/>
    </row>
    <row r="3" spans="3:12" ht="12.75">
      <c r="C3" s="10"/>
      <c r="D3" s="10"/>
      <c r="E3" s="10"/>
      <c r="F3" s="10"/>
      <c r="G3" s="10" t="s">
        <v>72</v>
      </c>
      <c r="H3" s="10"/>
      <c r="I3" s="10"/>
      <c r="J3" s="10"/>
      <c r="K3" s="10"/>
      <c r="L3" s="10"/>
    </row>
    <row r="4" spans="3:12" ht="12.75">
      <c r="C4" s="10"/>
      <c r="D4" s="10" t="s">
        <v>73</v>
      </c>
      <c r="E4" s="10" t="s">
        <v>74</v>
      </c>
      <c r="F4" s="10" t="s">
        <v>75</v>
      </c>
      <c r="G4" s="10" t="s">
        <v>76</v>
      </c>
      <c r="H4" s="10"/>
      <c r="I4" s="10"/>
      <c r="J4" s="10"/>
      <c r="K4" s="10"/>
      <c r="L4" s="10"/>
    </row>
    <row r="5" spans="3:12" ht="12.75">
      <c r="C5" s="10" t="s">
        <v>77</v>
      </c>
      <c r="D5" s="10">
        <v>11973060</v>
      </c>
      <c r="E5" s="10">
        <v>16670306</v>
      </c>
      <c r="F5" s="14"/>
      <c r="G5" s="14">
        <f>D5/D$17</f>
        <v>0.008256090829634544</v>
      </c>
      <c r="H5" s="14"/>
      <c r="I5" s="14"/>
      <c r="J5" s="10"/>
      <c r="K5" s="10"/>
      <c r="L5" s="10"/>
    </row>
    <row r="6" spans="3:12" ht="12.75">
      <c r="C6" s="10" t="s">
        <v>78</v>
      </c>
      <c r="D6" s="10">
        <v>845396847</v>
      </c>
      <c r="E6" s="10">
        <v>732899120</v>
      </c>
      <c r="F6" s="14"/>
      <c r="G6" s="14">
        <f aca="true" t="shared" si="0" ref="G6:G14">D6/D$17</f>
        <v>0.5829481482527155</v>
      </c>
      <c r="H6" s="14"/>
      <c r="I6" s="14"/>
      <c r="J6" s="10"/>
      <c r="K6" s="10"/>
      <c r="L6" s="10"/>
    </row>
    <row r="7" spans="3:12" ht="12.75">
      <c r="C7" s="10" t="s">
        <v>79</v>
      </c>
      <c r="D7" s="10">
        <v>166773407</v>
      </c>
      <c r="E7" s="10">
        <v>136418530</v>
      </c>
      <c r="F7" s="14"/>
      <c r="G7" s="14">
        <f t="shared" si="0"/>
        <v>0.11499954031464048</v>
      </c>
      <c r="H7" s="14"/>
      <c r="I7" s="14"/>
      <c r="J7" s="10"/>
      <c r="K7" s="10"/>
      <c r="L7" s="10"/>
    </row>
    <row r="8" spans="3:12" ht="12.75">
      <c r="C8" s="10" t="s">
        <v>80</v>
      </c>
      <c r="D8" s="10">
        <v>106693192</v>
      </c>
      <c r="E8" s="10">
        <v>81160552</v>
      </c>
      <c r="F8" s="14"/>
      <c r="G8" s="14">
        <f t="shared" si="0"/>
        <v>0.07357089032007169</v>
      </c>
      <c r="H8" s="14"/>
      <c r="I8" s="14"/>
      <c r="J8" s="10"/>
      <c r="K8" s="10"/>
      <c r="L8" s="10"/>
    </row>
    <row r="9" spans="3:12" ht="12.75">
      <c r="C9" s="10" t="s">
        <v>81</v>
      </c>
      <c r="D9" s="10">
        <v>60968762</v>
      </c>
      <c r="E9" s="10">
        <v>40327772</v>
      </c>
      <c r="F9" s="14"/>
      <c r="G9" s="14">
        <f t="shared" si="0"/>
        <v>0.04204135257339151</v>
      </c>
      <c r="H9" s="14"/>
      <c r="I9" s="14"/>
      <c r="J9" s="10"/>
      <c r="K9" s="10"/>
      <c r="L9" s="10"/>
    </row>
    <row r="10" spans="3:12" ht="12.75">
      <c r="C10" s="10" t="s">
        <v>82</v>
      </c>
      <c r="D10" s="10">
        <v>82967001</v>
      </c>
      <c r="E10" s="10">
        <v>52011824</v>
      </c>
      <c r="F10" s="14"/>
      <c r="G10" s="14">
        <f t="shared" si="0"/>
        <v>0.05721036193908491</v>
      </c>
      <c r="H10" s="14"/>
      <c r="I10" s="14"/>
      <c r="J10" s="10"/>
      <c r="K10" s="10"/>
      <c r="L10" s="10"/>
    </row>
    <row r="11" spans="3:12" ht="12.75">
      <c r="C11" s="10" t="s">
        <v>83</v>
      </c>
      <c r="D11" s="10">
        <v>83130543</v>
      </c>
      <c r="E11" s="10">
        <v>52515584</v>
      </c>
      <c r="F11" s="14"/>
      <c r="G11" s="14">
        <f t="shared" si="0"/>
        <v>0.057323133244537326</v>
      </c>
      <c r="H11" s="14"/>
      <c r="I11" s="14"/>
      <c r="J11" s="10"/>
      <c r="K11" s="10"/>
      <c r="L11" s="10"/>
    </row>
    <row r="12" spans="3:12" ht="12.75">
      <c r="C12" s="10" t="s">
        <v>84</v>
      </c>
      <c r="D12" s="10">
        <v>34202966</v>
      </c>
      <c r="E12" s="10">
        <v>21636038</v>
      </c>
      <c r="F12" s="14"/>
      <c r="G12" s="14">
        <f t="shared" si="0"/>
        <v>0.023584847477495483</v>
      </c>
      <c r="H12" s="14"/>
      <c r="I12" s="14"/>
      <c r="J12" s="10"/>
      <c r="K12" s="10"/>
      <c r="L12" s="10"/>
    </row>
    <row r="13" spans="3:12" ht="12.75">
      <c r="C13" s="10" t="s">
        <v>85</v>
      </c>
      <c r="D13" s="10">
        <v>23050943</v>
      </c>
      <c r="E13" s="10">
        <v>15081943</v>
      </c>
      <c r="F13" s="14"/>
      <c r="G13" s="14">
        <f t="shared" si="0"/>
        <v>0.015894907326675766</v>
      </c>
      <c r="H13" s="14"/>
      <c r="I13" s="14"/>
      <c r="J13" s="10"/>
      <c r="K13" s="10"/>
      <c r="L13" s="10"/>
    </row>
    <row r="14" spans="3:12" ht="12.75">
      <c r="C14" s="10" t="s">
        <v>86</v>
      </c>
      <c r="D14" s="10">
        <v>35052615</v>
      </c>
      <c r="E14" s="10">
        <v>20969098</v>
      </c>
      <c r="F14" s="14"/>
      <c r="G14" s="14">
        <f t="shared" si="0"/>
        <v>0.024170727721752855</v>
      </c>
      <c r="H14" s="14"/>
      <c r="I14" s="14"/>
      <c r="J14" s="10"/>
      <c r="K14" s="10"/>
      <c r="L14" s="10"/>
    </row>
    <row r="15" spans="3:12" ht="12.75">
      <c r="C15" s="10" t="s">
        <v>87</v>
      </c>
      <c r="D15" s="10">
        <v>120312781</v>
      </c>
      <c r="E15" s="10">
        <v>1572652135</v>
      </c>
      <c r="F15" s="10"/>
      <c r="G15" s="15"/>
      <c r="H15" s="10"/>
      <c r="I15" s="10"/>
      <c r="J15" s="10"/>
      <c r="K15" s="10"/>
      <c r="L15" s="10"/>
    </row>
    <row r="16" spans="3:12" ht="12.75"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3:12" ht="12.75">
      <c r="C17" s="10"/>
      <c r="D17" s="10">
        <f>SUM(D5:D14)</f>
        <v>1450209336</v>
      </c>
      <c r="E17" s="10">
        <f>SUM(E5:E14)</f>
        <v>1169690767</v>
      </c>
      <c r="F17" s="10"/>
      <c r="G17" s="10"/>
      <c r="H17" s="10"/>
      <c r="I17" s="10"/>
      <c r="J17" s="10"/>
      <c r="K17" s="10"/>
      <c r="L17" s="10"/>
    </row>
    <row r="18" spans="3:12" ht="12.75"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ht="12.75">
      <c r="C19" s="40" t="s">
        <v>193</v>
      </c>
    </row>
    <row r="20" spans="4:8" ht="12.75">
      <c r="D20" s="17" t="s">
        <v>88</v>
      </c>
      <c r="E20" s="17" t="s">
        <v>89</v>
      </c>
      <c r="F20" s="17" t="s">
        <v>90</v>
      </c>
      <c r="G20" s="17" t="s">
        <v>91</v>
      </c>
      <c r="H20" s="17" t="s">
        <v>75</v>
      </c>
    </row>
    <row r="21" spans="3:11" ht="12.75">
      <c r="C21" t="s">
        <v>67</v>
      </c>
      <c r="D21" s="8">
        <f>'Billing Determinants'!B22</f>
        <v>421338800.94114405</v>
      </c>
      <c r="E21" s="8">
        <f>'Billing Determinants'!C22</f>
        <v>414321668.2565002</v>
      </c>
      <c r="F21" s="8">
        <f>'Billing Determinants'!D22</f>
        <v>432252796.66352606</v>
      </c>
      <c r="G21" s="8">
        <f>'Billing Determinants'!E22</f>
        <v>111006450.20070675</v>
      </c>
      <c r="H21" s="16">
        <f>SUM(D21:G21)</f>
        <v>1378919716.061877</v>
      </c>
      <c r="J21" s="16"/>
      <c r="K21" s="16"/>
    </row>
    <row r="22" spans="3:11" ht="12.75">
      <c r="C22" t="s">
        <v>70</v>
      </c>
      <c r="D22" s="8">
        <f>'Billing Determinants'!B23</f>
        <v>1219292.5911898098</v>
      </c>
      <c r="E22" s="8">
        <f>'Billing Determinants'!C23</f>
        <v>1271500.8510364967</v>
      </c>
      <c r="F22" s="8">
        <f>'Billing Determinants'!D23</f>
        <v>1133597.3661774336</v>
      </c>
      <c r="G22" s="8">
        <f>'Billing Determinants'!E23</f>
        <v>246487.78036035906</v>
      </c>
      <c r="H22" s="16">
        <f>SUM(D22:G22)</f>
        <v>3870878.5887640994</v>
      </c>
      <c r="J22" s="16"/>
      <c r="K22" s="16"/>
    </row>
    <row r="23" spans="3:11" ht="12.75">
      <c r="C23" t="s">
        <v>68</v>
      </c>
      <c r="D23" s="8">
        <f>'Billing Determinants'!B24</f>
        <v>93145421.71528074</v>
      </c>
      <c r="E23" s="8">
        <f>'Billing Determinants'!C24</f>
        <v>97589934.74074258</v>
      </c>
      <c r="F23" s="8">
        <f>'Billing Determinants'!D24</f>
        <v>93339321.81042686</v>
      </c>
      <c r="G23" s="8">
        <f>'Billing Determinants'!E24</f>
        <v>18258761.87160948</v>
      </c>
      <c r="H23" s="16">
        <f>SUM(D23:G23)</f>
        <v>302333440.1380596</v>
      </c>
      <c r="J23" s="16"/>
      <c r="K23" s="16"/>
    </row>
    <row r="24" spans="3:11" ht="12.75">
      <c r="C24" t="s">
        <v>69</v>
      </c>
      <c r="D24" s="8">
        <f>'Billing Determinants'!B25</f>
        <v>7147487.941594655</v>
      </c>
      <c r="E24" s="8">
        <f>'Billing Determinants'!C25</f>
        <v>8924886.56973966</v>
      </c>
      <c r="F24" s="8">
        <f>'Billing Determinants'!D25</f>
        <v>4509482.617901588</v>
      </c>
      <c r="G24" s="8">
        <f>'Billing Determinants'!E25</f>
        <v>438619.01020061196</v>
      </c>
      <c r="H24" s="16">
        <f>SUM(D24:G24)</f>
        <v>21020476.139436513</v>
      </c>
      <c r="J24" s="16"/>
      <c r="K24" s="16"/>
    </row>
    <row r="25" spans="3:7" ht="12.75">
      <c r="C25" s="40" t="s">
        <v>220</v>
      </c>
      <c r="D25" s="16"/>
      <c r="E25" s="16"/>
      <c r="F25" s="16"/>
      <c r="G25" s="16"/>
    </row>
    <row r="26" spans="4:7" ht="12.75">
      <c r="D26" s="17" t="s">
        <v>92</v>
      </c>
      <c r="E26" s="17" t="s">
        <v>70</v>
      </c>
      <c r="F26" s="17" t="s">
        <v>68</v>
      </c>
      <c r="G26" s="17" t="s">
        <v>69</v>
      </c>
    </row>
    <row r="27" spans="3:7" ht="12.75">
      <c r="C27" s="38" t="s">
        <v>5</v>
      </c>
      <c r="D27" s="16">
        <f>$H$21*G5</f>
        <v>11384486.422580732</v>
      </c>
      <c r="E27" s="16">
        <f>$H$22*G5</f>
        <v>31958.325219323986</v>
      </c>
      <c r="F27" s="16">
        <f>$H$23*G5</f>
        <v>2496092.3426156985</v>
      </c>
      <c r="G27" s="16">
        <f>$H$24*G5</f>
        <v>173546.96028935353</v>
      </c>
    </row>
    <row r="28" spans="3:7" ht="12.75">
      <c r="C28" s="38" t="s">
        <v>6</v>
      </c>
      <c r="D28" s="16">
        <f>$H$21*G6</f>
        <v>803838695.0674313</v>
      </c>
      <c r="E28" s="16">
        <f>$H$22*G6</f>
        <v>2256521.505431116</v>
      </c>
      <c r="F28" s="16">
        <f>$H$23*G6</f>
        <v>176244719.08335504</v>
      </c>
      <c r="G28" s="16">
        <f>$H$24*G6</f>
        <v>12253847.640874904</v>
      </c>
    </row>
    <row r="29" spans="3:7" ht="12.75">
      <c r="C29" s="38" t="s">
        <v>7</v>
      </c>
      <c r="D29" s="16">
        <f>$H$21*G7</f>
        <v>158575133.47791043</v>
      </c>
      <c r="E29" s="16">
        <f>$H$22*G7</f>
        <v>445149.2583216557</v>
      </c>
      <c r="F29" s="16">
        <f>$H$23*G7</f>
        <v>34768206.63762073</v>
      </c>
      <c r="G29" s="16">
        <f>$H$24*G7</f>
        <v>2417345.0932300678</v>
      </c>
    </row>
    <row r="30" spans="3:7" ht="12.75">
      <c r="C30" s="38" t="s">
        <v>16</v>
      </c>
      <c r="D30" s="16">
        <f>$H$21*SUM(G8:G14)</f>
        <v>405121401.09395456</v>
      </c>
      <c r="E30" s="16">
        <f>$H$22*SUM(G8:G14)</f>
        <v>1137249.4997920038</v>
      </c>
      <c r="F30" s="16">
        <f>$H$23*SUM(G8:G14)</f>
        <v>88824422.07446815</v>
      </c>
      <c r="G30" s="16">
        <f>$H$24*SUM(G8:G14)</f>
        <v>6175736.445042189</v>
      </c>
    </row>
    <row r="32" ht="12.75">
      <c r="C32" s="40" t="s">
        <v>221</v>
      </c>
    </row>
    <row r="33" spans="4:7" ht="12.75">
      <c r="D33" s="17" t="s">
        <v>92</v>
      </c>
      <c r="E33" s="17" t="s">
        <v>70</v>
      </c>
      <c r="F33" s="17" t="s">
        <v>68</v>
      </c>
      <c r="G33" s="17" t="s">
        <v>69</v>
      </c>
    </row>
    <row r="34" spans="3:9" ht="12.75">
      <c r="C34" s="2" t="s">
        <v>5</v>
      </c>
      <c r="D34" s="16">
        <f>'Billing Determinants'!G23</f>
        <v>2534370.760384551</v>
      </c>
      <c r="E34" s="16">
        <f>'Billing Determinants'!H23</f>
        <v>6010.749153551914</v>
      </c>
      <c r="F34" s="16">
        <f>'Billing Determinants'!I23</f>
        <v>238588.94461600573</v>
      </c>
      <c r="G34" s="16">
        <f>'Billing Determinants'!J23</f>
        <v>1917.7159493842014</v>
      </c>
      <c r="H34" s="16"/>
      <c r="I34" s="16"/>
    </row>
    <row r="35" spans="3:9" ht="12.75">
      <c r="C35" s="2" t="s">
        <v>6</v>
      </c>
      <c r="D35" s="16">
        <f>'Billing Determinants'!G24</f>
        <v>167458316.59547478</v>
      </c>
      <c r="E35" s="16">
        <f>'Billing Determinants'!H24</f>
        <v>97872.66781247155</v>
      </c>
      <c r="F35" s="16">
        <f>'Billing Determinants'!I24</f>
        <v>32886298.13333933</v>
      </c>
      <c r="G35" s="16">
        <f>'Billing Determinants'!J24</f>
        <v>776420.5166734093</v>
      </c>
      <c r="H35" s="16"/>
      <c r="I35" s="16"/>
    </row>
    <row r="36" spans="3:9" ht="12.75">
      <c r="C36" s="2" t="s">
        <v>7</v>
      </c>
      <c r="D36" s="16">
        <f>'Billing Determinants'!G25</f>
        <v>36619030.80732373</v>
      </c>
      <c r="E36" s="16">
        <f>'Billing Determinants'!H25</f>
        <v>483.00187261597176</v>
      </c>
      <c r="F36" s="16">
        <f>'Billing Determinants'!I25</f>
        <v>6406589.306464704</v>
      </c>
      <c r="G36" s="16">
        <f>'Billing Determinants'!J25</f>
        <v>166141.17193364303</v>
      </c>
      <c r="H36" s="16"/>
      <c r="I36" s="16"/>
    </row>
    <row r="37" spans="3:9" ht="12.75">
      <c r="C37" s="2" t="s">
        <v>16</v>
      </c>
      <c r="D37" s="16">
        <f>'Billing Determinants'!G26</f>
        <v>90842332.73333381</v>
      </c>
      <c r="E37" s="16">
        <f>'Billing Determinants'!H26</f>
        <v>874454.5286077702</v>
      </c>
      <c r="F37" s="16">
        <f>'Billing Determinants'!I26</f>
        <v>32623040.96138677</v>
      </c>
      <c r="G37" s="16">
        <f>'Billing Determinants'!J26</f>
        <v>4047592.981607185</v>
      </c>
      <c r="H37" s="16"/>
      <c r="I37" s="16"/>
    </row>
    <row r="38" spans="4:7" ht="12.75">
      <c r="D38" s="16">
        <f>SUM(D34:D37)</f>
        <v>297454050.89651686</v>
      </c>
      <c r="E38" s="16">
        <f>SUM(E34:E37)</f>
        <v>978820.9474464096</v>
      </c>
      <c r="F38" s="16">
        <f>SUM(F34:F37)</f>
        <v>72154517.3458068</v>
      </c>
      <c r="G38" s="16">
        <f>SUM(G34:G37)</f>
        <v>4992072.386163622</v>
      </c>
    </row>
  </sheetData>
  <printOptions horizontalCentered="1" verticalCentered="1"/>
  <pageMargins left="0.17" right="0.75" top="0.39" bottom="0.16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2"/>
  <sheetViews>
    <sheetView workbookViewId="0" topLeftCell="A91">
      <selection activeCell="A3" sqref="A3"/>
    </sheetView>
  </sheetViews>
  <sheetFormatPr defaultColWidth="9.140625" defaultRowHeight="12.75"/>
  <cols>
    <col min="1" max="2" width="3.00390625" style="0" customWidth="1"/>
    <col min="3" max="3" width="26.28125" style="0" customWidth="1"/>
    <col min="4" max="4" width="10.7109375" style="0" customWidth="1"/>
    <col min="5" max="5" width="14.00390625" style="0" bestFit="1" customWidth="1"/>
    <col min="6" max="6" width="14.140625" style="0" customWidth="1"/>
    <col min="7" max="7" width="11.28125" style="0" bestFit="1" customWidth="1"/>
    <col min="8" max="8" width="13.8515625" style="0" customWidth="1"/>
    <col min="9" max="9" width="12.57421875" style="0" customWidth="1"/>
    <col min="10" max="10" width="13.8515625" style="0" bestFit="1" customWidth="1"/>
    <col min="11" max="11" width="12.7109375" style="0" bestFit="1" customWidth="1"/>
    <col min="12" max="12" width="11.7109375" style="0" bestFit="1" customWidth="1"/>
  </cols>
  <sheetData>
    <row r="1" spans="1:8" ht="12.75">
      <c r="A1" s="48" t="s">
        <v>242</v>
      </c>
      <c r="B1" s="4"/>
      <c r="C1" s="47"/>
      <c r="D1" s="6"/>
      <c r="E1" s="17" t="s">
        <v>67</v>
      </c>
      <c r="F1" s="17" t="s">
        <v>68</v>
      </c>
      <c r="G1" s="17" t="s">
        <v>69</v>
      </c>
      <c r="H1" s="17" t="s">
        <v>70</v>
      </c>
    </row>
    <row r="2" spans="1:4" ht="12.75">
      <c r="A2" s="4" t="s">
        <v>2</v>
      </c>
      <c r="B2" s="4"/>
      <c r="C2" s="5"/>
      <c r="D2" s="6"/>
    </row>
    <row r="3" spans="1:4" ht="12.75">
      <c r="A3" s="7"/>
      <c r="B3" s="4" t="s">
        <v>3</v>
      </c>
      <c r="C3" s="5"/>
      <c r="D3" s="6"/>
    </row>
    <row r="4" spans="1:13" ht="12.75">
      <c r="A4" s="5"/>
      <c r="B4" s="5"/>
      <c r="C4" s="6" t="s">
        <v>5</v>
      </c>
      <c r="D4" s="6" t="s">
        <v>4</v>
      </c>
      <c r="E4" s="13">
        <f>'Billing Determinants'!B4+'Billing Determinants'!C4</f>
        <v>23739549.27421482</v>
      </c>
      <c r="F4" s="13">
        <f>'Billing Determinants'!D4+'Billing Determinants'!E4</f>
        <v>324745.1560158001</v>
      </c>
      <c r="G4" s="13">
        <f>'Billing Determinants'!F4+'Billing Determinants'!G4</f>
        <v>1197.735549194815</v>
      </c>
      <c r="H4" s="13">
        <f>'Billing Determinants'!H4+'Billing Determinants'!I4</f>
        <v>78704.91979239458</v>
      </c>
      <c r="J4" s="13"/>
      <c r="K4" s="13"/>
      <c r="L4" s="13"/>
      <c r="M4" s="13"/>
    </row>
    <row r="5" spans="1:13" ht="12.75">
      <c r="A5" s="5"/>
      <c r="B5" s="5"/>
      <c r="C5" s="6" t="s">
        <v>6</v>
      </c>
      <c r="D5" s="6" t="s">
        <v>4</v>
      </c>
      <c r="E5" s="13">
        <f>'Billing Determinants'!B5+'Billing Determinants'!C5</f>
        <v>879597816.0458272</v>
      </c>
      <c r="F5" s="13">
        <f>'Billing Determinants'!D5+'Billing Determinants'!E5</f>
        <v>84880120.70490609</v>
      </c>
      <c r="G5" s="13">
        <f>'Billing Determinants'!F5+'Billing Determinants'!G5</f>
        <v>1288873.3260909722</v>
      </c>
      <c r="H5" s="13">
        <f>'Billing Determinants'!H5+'Billing Determinants'!I5</f>
        <v>1194621.7111986987</v>
      </c>
      <c r="J5" s="13"/>
      <c r="K5" s="13"/>
      <c r="L5" s="13"/>
      <c r="M5" s="13"/>
    </row>
    <row r="6" spans="1:13" ht="12.75">
      <c r="A6" s="5"/>
      <c r="B6" s="5"/>
      <c r="C6" s="6" t="s">
        <v>7</v>
      </c>
      <c r="D6" s="6" t="s">
        <v>4</v>
      </c>
      <c r="E6" s="13">
        <f>'Billing Determinants'!B6+'Billing Determinants'!C6</f>
        <v>164390997.38634813</v>
      </c>
      <c r="F6" s="13">
        <f>'Billing Determinants'!D6+'Billing Determinants'!E6</f>
        <v>15431605.691657905</v>
      </c>
      <c r="G6" s="13">
        <f>'Billing Determinants'!F6+'Billing Determinants'!G6</f>
        <v>221325.53075414174</v>
      </c>
      <c r="H6" s="13">
        <f>'Billing Determinants'!H6+'Billing Determinants'!I6</f>
        <v>18220.697532048693</v>
      </c>
      <c r="J6" s="13"/>
      <c r="K6" s="13"/>
      <c r="L6" s="13"/>
      <c r="M6" s="13"/>
    </row>
    <row r="7" spans="1:13" ht="12.75">
      <c r="A7" s="5"/>
      <c r="B7" s="5"/>
      <c r="C7" s="6" t="s">
        <v>8</v>
      </c>
      <c r="D7" s="6" t="s">
        <v>4</v>
      </c>
      <c r="E7" s="13">
        <f>'Billing Determinants'!B7+'Billing Determinants'!C7</f>
        <v>101797625.39788255</v>
      </c>
      <c r="F7" s="13">
        <f>'Billing Determinants'!D7+'Billing Determinants'!E7</f>
        <v>8921171.659036985</v>
      </c>
      <c r="G7" s="13">
        <f>'Billing Determinants'!F7+'Billing Determinants'!G7</f>
        <v>134364.6856982564</v>
      </c>
      <c r="H7" s="13">
        <f>'Billing Determinants'!H7+'Billing Determinants'!I7</f>
        <v>5784148.339968669</v>
      </c>
      <c r="J7" s="13"/>
      <c r="K7" s="13"/>
      <c r="L7" s="13"/>
      <c r="M7" s="13"/>
    </row>
    <row r="8" spans="1:13" ht="12.75">
      <c r="A8" s="5"/>
      <c r="B8" s="5"/>
      <c r="C8" s="6" t="s">
        <v>9</v>
      </c>
      <c r="D8" s="6" t="s">
        <v>4</v>
      </c>
      <c r="E8" s="13">
        <f>'Billing Determinants'!B8+'Billing Determinants'!C8</f>
        <v>47705844.78610232</v>
      </c>
      <c r="F8" s="13">
        <f>'Billing Determinants'!D8+'Billing Determinants'!E8</f>
        <v>4488942.9110380225</v>
      </c>
      <c r="G8" s="13">
        <f>'Billing Determinants'!F8+'Billing Determinants'!G8</f>
        <v>238988.8088489014</v>
      </c>
      <c r="H8" s="13">
        <f>'Billing Determinants'!H8+'Billing Determinants'!I8</f>
        <v>1456608.0128326828</v>
      </c>
      <c r="J8" s="13"/>
      <c r="K8" s="13"/>
      <c r="L8" s="13"/>
      <c r="M8" s="13"/>
    </row>
    <row r="9" spans="1:13" ht="12.75">
      <c r="A9" s="5"/>
      <c r="B9" s="5"/>
      <c r="C9" s="6" t="s">
        <v>10</v>
      </c>
      <c r="D9" s="6" t="s">
        <v>4</v>
      </c>
      <c r="E9" s="13">
        <f>'Billing Determinants'!B9+'Billing Determinants'!C9</f>
        <v>62436219.312698</v>
      </c>
      <c r="F9" s="13">
        <f>'Billing Determinants'!D9+'Billing Determinants'!E9</f>
        <v>5601864.110310309</v>
      </c>
      <c r="G9" s="13">
        <f>'Billing Determinants'!F9+'Billing Determinants'!G9</f>
        <v>454113.8154444433</v>
      </c>
      <c r="H9" s="13">
        <f>'Billing Determinants'!H9+'Billing Determinants'!I9</f>
        <v>414516.3995410098</v>
      </c>
      <c r="J9" s="13"/>
      <c r="K9" s="13"/>
      <c r="L9" s="13"/>
      <c r="M9" s="13"/>
    </row>
    <row r="10" spans="1:13" ht="12.75">
      <c r="A10" s="1"/>
      <c r="B10" s="1"/>
      <c r="C10" s="2" t="s">
        <v>11</v>
      </c>
      <c r="D10" s="2" t="s">
        <v>4</v>
      </c>
      <c r="E10" s="13">
        <f>'Billing Determinants'!B10+'Billing Determinants'!C10</f>
        <v>62943036.13107028</v>
      </c>
      <c r="F10" s="13">
        <f>'Billing Determinants'!D10+'Billing Determinants'!E10</f>
        <v>5711868.926585312</v>
      </c>
      <c r="G10" s="13">
        <f>'Billing Determinants'!F10+'Billing Determinants'!G10</f>
        <v>436710.02041909564</v>
      </c>
      <c r="H10" s="13">
        <f>'Billing Determinants'!H10+'Billing Determinants'!I10</f>
        <v>164052.7880817394</v>
      </c>
      <c r="J10" s="13"/>
      <c r="K10" s="13"/>
      <c r="L10" s="13"/>
      <c r="M10" s="13"/>
    </row>
    <row r="11" spans="1:13" ht="12.75">
      <c r="A11" s="1"/>
      <c r="B11" s="1"/>
      <c r="C11" s="2" t="s">
        <v>12</v>
      </c>
      <c r="D11" s="2" t="s">
        <v>4</v>
      </c>
      <c r="E11" s="13">
        <f>'Billing Determinants'!B11+'Billing Determinants'!C11</f>
        <v>26092877.692591712</v>
      </c>
      <c r="F11" s="13">
        <f>'Billing Determinants'!D11+'Billing Determinants'!E11</f>
        <v>2474796.525368054</v>
      </c>
      <c r="G11" s="13">
        <f>'Billing Determinants'!F11+'Billing Determinants'!G11</f>
        <v>94535.75478603096</v>
      </c>
      <c r="H11" s="13">
        <f>'Billing Determinants'!H11+'Billing Determinants'!I11</f>
        <v>40177.462450775485</v>
      </c>
      <c r="J11" s="13"/>
      <c r="K11" s="13"/>
      <c r="L11" s="13"/>
      <c r="M11" s="13"/>
    </row>
    <row r="12" spans="1:13" ht="12.75">
      <c r="A12" s="1"/>
      <c r="B12" s="1"/>
      <c r="C12" s="2" t="s">
        <v>13</v>
      </c>
      <c r="D12" s="2" t="s">
        <v>4</v>
      </c>
      <c r="E12" s="13">
        <f>'Billing Determinants'!B12+'Billing Determinants'!C12</f>
        <v>18118318.03067471</v>
      </c>
      <c r="F12" s="13">
        <f>'Billing Determinants'!D12+'Billing Determinants'!E12</f>
        <v>1707683.108360128</v>
      </c>
      <c r="G12" s="13">
        <f>'Billing Determinants'!F12+'Billing Determinants'!G12</f>
        <v>82280.21196254657</v>
      </c>
      <c r="H12" s="13">
        <f>'Billing Determinants'!H12+'Billing Determinants'!I12</f>
        <v>32708.59254126218</v>
      </c>
      <c r="J12" s="13"/>
      <c r="K12" s="13"/>
      <c r="L12" s="13"/>
      <c r="M12" s="13"/>
    </row>
    <row r="13" spans="1:13" ht="12.75">
      <c r="A13" s="1"/>
      <c r="B13" s="1"/>
      <c r="C13" s="2" t="s">
        <v>14</v>
      </c>
      <c r="D13" s="2" t="s">
        <v>4</v>
      </c>
      <c r="E13" s="13">
        <f>'Billing Determinants'!B13+'Billing Determinants'!C13</f>
        <v>24382177.472982578</v>
      </c>
      <c r="F13" s="13">
        <f>'Billing Determinants'!D13+'Billing Determinants'!E13</f>
        <v>3352776.7228549547</v>
      </c>
      <c r="G13" s="13">
        <f>'Billing Determinants'!F13+'Billing Determinants'!G13</f>
        <v>117791.58484627644</v>
      </c>
      <c r="H13" s="13">
        <f>'Billing Determinants'!H13+'Billing Determinants'!I13</f>
        <v>21533.05106392343</v>
      </c>
      <c r="J13" s="13"/>
      <c r="K13" s="13"/>
      <c r="L13" s="13"/>
      <c r="M13" s="13"/>
    </row>
    <row r="14" spans="2:8" ht="12.75">
      <c r="B14" s="3" t="s">
        <v>15</v>
      </c>
      <c r="C14" s="1"/>
      <c r="D14" s="2"/>
      <c r="G14" s="13"/>
      <c r="H14" s="13"/>
    </row>
    <row r="15" spans="1:8" ht="12.75">
      <c r="A15" s="1"/>
      <c r="B15" s="1"/>
      <c r="C15" s="2" t="s">
        <v>5</v>
      </c>
      <c r="D15" s="2" t="s">
        <v>4</v>
      </c>
      <c r="E15" s="13">
        <f>'Editorial Pounds'!D27+'Editorial Pounds'!D34</f>
        <v>13918857.182965282</v>
      </c>
      <c r="F15" s="13">
        <f>'Editorial Pounds'!F27+'Editorial Pounds'!F34</f>
        <v>2734681.287231704</v>
      </c>
      <c r="G15" s="13">
        <f>'Editorial Pounds'!G27+'Editorial Pounds'!G34</f>
        <v>175464.67623873774</v>
      </c>
      <c r="H15" s="13">
        <f>'Editorial Pounds'!E27+'Editorial Pounds'!E34</f>
        <v>37969.0743728759</v>
      </c>
    </row>
    <row r="16" spans="1:8" ht="12.75">
      <c r="A16" s="1"/>
      <c r="B16" s="1"/>
      <c r="C16" s="2" t="s">
        <v>6</v>
      </c>
      <c r="D16" s="2" t="s">
        <v>4</v>
      </c>
      <c r="E16" s="13">
        <f>'Editorial Pounds'!D28+'Editorial Pounds'!D35</f>
        <v>971297011.6629062</v>
      </c>
      <c r="F16" s="13">
        <f>'Editorial Pounds'!F28+'Editorial Pounds'!F35</f>
        <v>209131017.21669436</v>
      </c>
      <c r="G16" s="13">
        <f>'Editorial Pounds'!G28+'Editorial Pounds'!G35</f>
        <v>13030268.157548312</v>
      </c>
      <c r="H16" s="13">
        <f>'Editorial Pounds'!E28+'Editorial Pounds'!E35</f>
        <v>2354394.173243588</v>
      </c>
    </row>
    <row r="17" spans="1:8" ht="12.75">
      <c r="A17" s="1"/>
      <c r="B17" s="1"/>
      <c r="C17" s="2" t="s">
        <v>7</v>
      </c>
      <c r="D17" s="2" t="s">
        <v>4</v>
      </c>
      <c r="E17" s="13">
        <f>'Editorial Pounds'!D29+'Editorial Pounds'!D36</f>
        <v>195194164.28523415</v>
      </c>
      <c r="F17" s="13">
        <f>'Editorial Pounds'!F29+'Editorial Pounds'!F36</f>
        <v>41174795.944085434</v>
      </c>
      <c r="G17" s="13">
        <f>'Editorial Pounds'!G29+'Editorial Pounds'!G36</f>
        <v>2583486.265163711</v>
      </c>
      <c r="H17" s="13">
        <f>'Editorial Pounds'!E29+'Editorial Pounds'!E36</f>
        <v>445632.2601942716</v>
      </c>
    </row>
    <row r="18" spans="1:8" ht="12.75">
      <c r="A18" s="1"/>
      <c r="B18" s="1"/>
      <c r="C18" s="2" t="s">
        <v>16</v>
      </c>
      <c r="D18" s="2" t="s">
        <v>4</v>
      </c>
      <c r="E18" s="13">
        <f>'Editorial Pounds'!D30+'Editorial Pounds'!D37</f>
        <v>495963733.8272884</v>
      </c>
      <c r="F18" s="13">
        <f>'Editorial Pounds'!F30+'Editorial Pounds'!F37</f>
        <v>121447463.03585492</v>
      </c>
      <c r="G18" s="13">
        <f>'Editorial Pounds'!G30+'Editorial Pounds'!G37</f>
        <v>10223329.426649375</v>
      </c>
      <c r="H18" s="13">
        <f>'Editorial Pounds'!E30+'Editorial Pounds'!E37</f>
        <v>2011704.0283997739</v>
      </c>
    </row>
    <row r="19" spans="1:4" ht="12.75">
      <c r="A19" s="3" t="s">
        <v>17</v>
      </c>
      <c r="B19" s="3"/>
      <c r="C19" s="1"/>
      <c r="D19" s="2"/>
    </row>
    <row r="20" spans="1:12" ht="12.75">
      <c r="A20" s="1"/>
      <c r="B20" s="3" t="s">
        <v>19</v>
      </c>
      <c r="D20" s="2"/>
      <c r="E20" s="8"/>
      <c r="F20" s="8"/>
      <c r="G20" s="8"/>
      <c r="J20" s="9"/>
      <c r="K20" s="9"/>
      <c r="L20" s="9"/>
    </row>
    <row r="21" spans="1:13" ht="12.75">
      <c r="A21" s="1"/>
      <c r="B21" s="1"/>
      <c r="C21" s="2" t="s">
        <v>20</v>
      </c>
      <c r="D21" s="2" t="s">
        <v>18</v>
      </c>
      <c r="E21" s="8">
        <f>'MCS07 Pieces'!D11</f>
        <v>28569561.862999998</v>
      </c>
      <c r="F21" s="8">
        <f>'MCS07 Pieces'!E11</f>
        <v>656172.3690000001</v>
      </c>
      <c r="G21" s="8">
        <f>'MCS07 Pieces'!F11</f>
        <v>18049.615</v>
      </c>
      <c r="J21" s="34"/>
      <c r="K21" s="35"/>
      <c r="L21" s="35"/>
      <c r="M21" s="35"/>
    </row>
    <row r="22" spans="1:13" ht="12.75">
      <c r="A22" s="1"/>
      <c r="B22" s="1"/>
      <c r="C22" s="2" t="s">
        <v>21</v>
      </c>
      <c r="D22" s="2" t="s">
        <v>18</v>
      </c>
      <c r="E22" s="8">
        <f>'MCS07 Pieces'!D9</f>
        <v>7820709.456</v>
      </c>
      <c r="F22" s="8">
        <f>'MCS07 Pieces'!E9</f>
        <v>2931760.304</v>
      </c>
      <c r="G22" s="8">
        <f>'MCS07 Pieces'!F9</f>
        <v>110079.683</v>
      </c>
      <c r="J22" s="34"/>
      <c r="K22" s="35"/>
      <c r="L22" s="35"/>
      <c r="M22" s="35"/>
    </row>
    <row r="23" spans="1:13" ht="12.75">
      <c r="A23" s="1"/>
      <c r="B23" s="1"/>
      <c r="C23" s="2" t="s">
        <v>22</v>
      </c>
      <c r="D23" s="2" t="s">
        <v>18</v>
      </c>
      <c r="E23" s="8">
        <f>'MCS07 Pieces'!D10</f>
        <v>8994812.746000001</v>
      </c>
      <c r="F23" s="8">
        <f>'MCS07 Pieces'!E10</f>
        <v>2260244.392</v>
      </c>
      <c r="G23" s="8">
        <f>'MCS07 Pieces'!F10</f>
        <v>6808.058</v>
      </c>
      <c r="J23" s="34"/>
      <c r="K23" s="35"/>
      <c r="L23" s="35"/>
      <c r="M23" s="35"/>
    </row>
    <row r="24" spans="1:13" ht="12.75">
      <c r="A24" s="1"/>
      <c r="B24" s="1"/>
      <c r="C24" s="2" t="s">
        <v>23</v>
      </c>
      <c r="D24" s="2" t="s">
        <v>18</v>
      </c>
      <c r="E24" s="8">
        <f>'MCS07 Pieces'!D8</f>
        <v>15188944.774</v>
      </c>
      <c r="F24" s="8">
        <f>'MCS07 Pieces'!E8</f>
        <v>3776508.8409999995</v>
      </c>
      <c r="G24" s="8">
        <f>'MCS07 Pieces'!F8</f>
        <v>199775.211</v>
      </c>
      <c r="J24" s="34"/>
      <c r="K24" s="35"/>
      <c r="L24" s="35"/>
      <c r="M24" s="35"/>
    </row>
    <row r="25" spans="1:12" ht="12.75">
      <c r="A25" s="1"/>
      <c r="B25" s="1"/>
      <c r="C25" s="2" t="s">
        <v>24</v>
      </c>
      <c r="D25" s="2" t="s">
        <v>18</v>
      </c>
      <c r="E25" s="8"/>
      <c r="F25" s="8"/>
      <c r="G25" s="8"/>
      <c r="J25" s="9"/>
      <c r="K25" s="9"/>
      <c r="L25" s="9"/>
    </row>
    <row r="26" spans="1:12" ht="12.75">
      <c r="A26" s="1"/>
      <c r="B26" s="3" t="s">
        <v>25</v>
      </c>
      <c r="D26" s="2"/>
      <c r="E26" s="8"/>
      <c r="F26" s="8"/>
      <c r="G26" s="8"/>
      <c r="J26" s="9"/>
      <c r="K26" s="9"/>
      <c r="L26" s="9"/>
    </row>
    <row r="27" spans="1:13" ht="12.75">
      <c r="A27" s="1"/>
      <c r="B27" s="1"/>
      <c r="C27" s="2" t="s">
        <v>20</v>
      </c>
      <c r="D27" s="2" t="s">
        <v>18</v>
      </c>
      <c r="E27" s="8">
        <f>'MCS07 Pieces'!D15</f>
        <v>33537602.951</v>
      </c>
      <c r="F27" s="8">
        <f>'MCS07 Pieces'!E15</f>
        <v>861402.2320000001</v>
      </c>
      <c r="G27" s="8">
        <f>'MCS07 Pieces'!F15</f>
        <v>15534.424</v>
      </c>
      <c r="H27" s="8"/>
      <c r="I27" s="8"/>
      <c r="J27" s="8"/>
      <c r="K27" s="35"/>
      <c r="L27" s="35"/>
      <c r="M27" s="35"/>
    </row>
    <row r="28" spans="1:13" ht="12.75">
      <c r="A28" s="1"/>
      <c r="B28" s="1"/>
      <c r="C28" s="2" t="s">
        <v>21</v>
      </c>
      <c r="D28" s="2" t="s">
        <v>18</v>
      </c>
      <c r="E28" s="8">
        <f>'MCS07 Pieces'!D13</f>
        <v>8216461.427999999</v>
      </c>
      <c r="F28" s="8">
        <f>'MCS07 Pieces'!E13</f>
        <v>4074802.969</v>
      </c>
      <c r="G28" s="8">
        <f>'MCS07 Pieces'!F13</f>
        <v>286533.787</v>
      </c>
      <c r="H28" s="8"/>
      <c r="I28" s="8"/>
      <c r="J28" s="8"/>
      <c r="K28" s="35"/>
      <c r="L28" s="35"/>
      <c r="M28" s="35"/>
    </row>
    <row r="29" spans="1:13" ht="12.75">
      <c r="A29" s="1"/>
      <c r="B29" s="1"/>
      <c r="C29" s="2" t="s">
        <v>22</v>
      </c>
      <c r="D29" s="2" t="s">
        <v>18</v>
      </c>
      <c r="E29" s="8">
        <f>'MCS07 Pieces'!D14</f>
        <v>26672681.11</v>
      </c>
      <c r="F29" s="8">
        <f>'MCS07 Pieces'!E14</f>
        <v>3794637.366</v>
      </c>
      <c r="G29" s="8">
        <f>'MCS07 Pieces'!F14</f>
        <v>35092.916</v>
      </c>
      <c r="H29" s="8"/>
      <c r="I29" s="8"/>
      <c r="J29" s="8"/>
      <c r="K29" s="35"/>
      <c r="L29" s="35"/>
      <c r="M29" s="35"/>
    </row>
    <row r="30" spans="1:13" ht="12.75">
      <c r="A30" s="1"/>
      <c r="B30" s="1"/>
      <c r="C30" s="2" t="s">
        <v>23</v>
      </c>
      <c r="D30" s="2" t="s">
        <v>18</v>
      </c>
      <c r="E30" s="8">
        <f>'MCS07 Pieces'!D12</f>
        <v>59045819.87099999</v>
      </c>
      <c r="F30" s="8">
        <f>'MCS07 Pieces'!E12</f>
        <v>11812905.780999998</v>
      </c>
      <c r="G30" s="8">
        <f>'MCS07 Pieces'!F12</f>
        <v>717607.5730000001</v>
      </c>
      <c r="H30" s="8"/>
      <c r="I30" s="8"/>
      <c r="J30" s="8"/>
      <c r="K30" s="35"/>
      <c r="L30" s="35"/>
      <c r="M30" s="35"/>
    </row>
    <row r="31" spans="1:12" ht="12.75">
      <c r="A31" s="1"/>
      <c r="B31" s="1"/>
      <c r="C31" s="2" t="s">
        <v>24</v>
      </c>
      <c r="D31" s="2" t="s">
        <v>18</v>
      </c>
      <c r="E31" s="8"/>
      <c r="F31" s="8"/>
      <c r="G31" s="8"/>
      <c r="J31" s="9"/>
      <c r="K31" s="9"/>
      <c r="L31" s="9"/>
    </row>
    <row r="32" spans="1:12" ht="12.75">
      <c r="A32" s="1"/>
      <c r="B32" s="3" t="s">
        <v>26</v>
      </c>
      <c r="D32" s="2"/>
      <c r="E32" s="8"/>
      <c r="F32" s="8"/>
      <c r="G32" s="8"/>
      <c r="J32" s="9"/>
      <c r="K32" s="9"/>
      <c r="L32" s="9"/>
    </row>
    <row r="33" spans="1:13" ht="12.75">
      <c r="A33" s="1"/>
      <c r="B33" s="1"/>
      <c r="C33" s="2" t="s">
        <v>20</v>
      </c>
      <c r="D33" s="2" t="s">
        <v>18</v>
      </c>
      <c r="E33" s="8">
        <f>'MCS07 Pieces'!D19</f>
        <v>67544276.39100002</v>
      </c>
      <c r="F33" s="8">
        <f>'MCS07 Pieces'!E19</f>
        <v>3136037.5220000017</v>
      </c>
      <c r="G33" s="8">
        <f>'MCS07 Pieces'!F19</f>
        <v>58548.55</v>
      </c>
      <c r="H33" s="8"/>
      <c r="I33" s="8"/>
      <c r="J33" s="8"/>
      <c r="K33" s="36"/>
      <c r="L33" s="36"/>
      <c r="M33" s="36"/>
    </row>
    <row r="34" spans="1:13" ht="12.75">
      <c r="A34" s="1"/>
      <c r="B34" s="1"/>
      <c r="C34" s="2" t="s">
        <v>21</v>
      </c>
      <c r="D34" s="2" t="s">
        <v>18</v>
      </c>
      <c r="E34" s="8">
        <f>'MCS07 Pieces'!D17</f>
        <v>52738334.044000044</v>
      </c>
      <c r="F34" s="8">
        <f>'MCS07 Pieces'!E17</f>
        <v>13433985.852000002</v>
      </c>
      <c r="G34" s="8">
        <f>'MCS07 Pieces'!F17</f>
        <v>1411444.085</v>
      </c>
      <c r="H34" s="8"/>
      <c r="I34" s="8"/>
      <c r="J34" s="8"/>
      <c r="K34" s="36"/>
      <c r="L34" s="36"/>
      <c r="M34" s="36"/>
    </row>
    <row r="35" spans="1:13" ht="12.75">
      <c r="A35" s="1"/>
      <c r="B35" s="1"/>
      <c r="C35" s="2" t="s">
        <v>22</v>
      </c>
      <c r="D35" s="2" t="s">
        <v>18</v>
      </c>
      <c r="E35" s="8">
        <f>'MCS07 Pieces'!D18</f>
        <v>147644549.83299997</v>
      </c>
      <c r="F35" s="8">
        <f>'MCS07 Pieces'!E18</f>
        <v>22674217.966</v>
      </c>
      <c r="G35" s="8">
        <f>'MCS07 Pieces'!F18</f>
        <v>301405.6709999999</v>
      </c>
      <c r="H35" s="8"/>
      <c r="I35" s="8"/>
      <c r="J35" s="8"/>
      <c r="K35" s="36"/>
      <c r="L35" s="36"/>
      <c r="M35" s="36"/>
    </row>
    <row r="36" spans="1:13" ht="12.75">
      <c r="A36" s="1"/>
      <c r="B36" s="1"/>
      <c r="C36" s="2" t="s">
        <v>23</v>
      </c>
      <c r="D36" s="2" t="s">
        <v>18</v>
      </c>
      <c r="E36" s="8">
        <f>'MCS07 Pieces'!D16</f>
        <v>618660294.0209999</v>
      </c>
      <c r="F36" s="8">
        <f>'MCS07 Pieces'!E16</f>
        <v>114039960.587</v>
      </c>
      <c r="G36" s="8">
        <f>'MCS07 Pieces'!F16</f>
        <v>7372973.968</v>
      </c>
      <c r="H36" s="8"/>
      <c r="I36" s="8"/>
      <c r="J36" s="8"/>
      <c r="K36" s="36"/>
      <c r="L36" s="36"/>
      <c r="M36" s="36"/>
    </row>
    <row r="37" spans="1:13" ht="12.75">
      <c r="A37" s="1"/>
      <c r="B37" s="1"/>
      <c r="C37" s="2" t="s">
        <v>24</v>
      </c>
      <c r="D37" s="2" t="s">
        <v>18</v>
      </c>
      <c r="E37" s="8"/>
      <c r="F37" s="8"/>
      <c r="G37" s="8"/>
      <c r="J37" s="9"/>
      <c r="K37" s="34"/>
      <c r="L37" s="34"/>
      <c r="M37" s="34"/>
    </row>
    <row r="38" spans="1:13" ht="12.75">
      <c r="A38" s="1"/>
      <c r="B38" s="3" t="s">
        <v>27</v>
      </c>
      <c r="D38" s="2"/>
      <c r="E38" s="8"/>
      <c r="F38" s="8"/>
      <c r="G38" s="8"/>
      <c r="J38" s="9"/>
      <c r="K38" s="34"/>
      <c r="L38" s="34"/>
      <c r="M38" s="34"/>
    </row>
    <row r="39" spans="1:13" ht="12.75">
      <c r="A39" s="1"/>
      <c r="B39" s="1"/>
      <c r="C39" s="2" t="s">
        <v>20</v>
      </c>
      <c r="D39" s="2" t="s">
        <v>18</v>
      </c>
      <c r="E39" s="8">
        <f>'MCS07 Pieces'!D25</f>
        <v>64421974.92400002</v>
      </c>
      <c r="F39" s="8">
        <f>'MCS07 Pieces'!E25</f>
        <v>6939851.0150000015</v>
      </c>
      <c r="G39" s="8">
        <f>'MCS07 Pieces'!F25</f>
        <v>1233.5119999999997</v>
      </c>
      <c r="H39" s="8"/>
      <c r="I39" s="8"/>
      <c r="J39" s="8"/>
      <c r="K39" s="36"/>
      <c r="L39" s="36"/>
      <c r="M39" s="36"/>
    </row>
    <row r="40" spans="1:13" ht="12.75">
      <c r="A40" s="1"/>
      <c r="B40" s="1"/>
      <c r="C40" s="2" t="s">
        <v>21</v>
      </c>
      <c r="D40" s="2" t="s">
        <v>18</v>
      </c>
      <c r="E40" s="8">
        <f>'MCS07 Pieces'!D22</f>
        <v>96941733.80199999</v>
      </c>
      <c r="F40" s="8">
        <f>'MCS07 Pieces'!E22</f>
        <v>28898625.608</v>
      </c>
      <c r="G40" s="8">
        <f>'MCS07 Pieces'!F22</f>
        <v>2110359.6090000006</v>
      </c>
      <c r="H40" s="8"/>
      <c r="I40" s="8"/>
      <c r="J40" s="8"/>
      <c r="K40" s="36"/>
      <c r="L40" s="36"/>
      <c r="M40" s="36"/>
    </row>
    <row r="41" spans="1:13" ht="12.75">
      <c r="A41" s="1"/>
      <c r="B41" s="1"/>
      <c r="C41" s="2" t="s">
        <v>22</v>
      </c>
      <c r="D41" s="2" t="s">
        <v>18</v>
      </c>
      <c r="E41" s="8">
        <f>'MCS07 Pieces'!D23+'MCS07 Pieces'!D24</f>
        <v>338735214.6180002</v>
      </c>
      <c r="F41" s="8">
        <f>'MCS07 Pieces'!E23</f>
        <v>33417212.68000002</v>
      </c>
      <c r="G41" s="8">
        <f>'MCS07 Pieces'!F23</f>
        <v>43657.355</v>
      </c>
      <c r="H41" s="8"/>
      <c r="I41" s="8"/>
      <c r="J41" s="8"/>
      <c r="K41" s="36"/>
      <c r="L41" s="36"/>
      <c r="M41" s="36"/>
    </row>
    <row r="42" spans="1:13" ht="12.75">
      <c r="A42" s="1"/>
      <c r="B42" s="1"/>
      <c r="C42" s="2" t="s">
        <v>23</v>
      </c>
      <c r="D42" s="2" t="s">
        <v>18</v>
      </c>
      <c r="E42" s="8">
        <f>'MCS07 Pieces'!D20+'MCS07 Pieces'!D21</f>
        <v>1652438531.208</v>
      </c>
      <c r="F42" s="8">
        <f>'MCS07 Pieces'!E20</f>
        <v>358971308.67699975</v>
      </c>
      <c r="G42" s="8">
        <f>'MCS07 Pieces'!F20</f>
        <v>17319995.452999994</v>
      </c>
      <c r="H42" s="8"/>
      <c r="I42" s="8"/>
      <c r="J42" s="8"/>
      <c r="K42" s="36"/>
      <c r="L42" s="36"/>
      <c r="M42" s="36"/>
    </row>
    <row r="43" spans="1:12" ht="12.75">
      <c r="A43" s="1"/>
      <c r="B43" s="1"/>
      <c r="C43" s="2" t="s">
        <v>24</v>
      </c>
      <c r="D43" s="2" t="s">
        <v>18</v>
      </c>
      <c r="E43" s="8"/>
      <c r="F43" s="8"/>
      <c r="G43" s="8"/>
      <c r="J43" s="9"/>
      <c r="K43" s="9"/>
      <c r="L43" s="9"/>
    </row>
    <row r="44" spans="1:12" ht="12.75">
      <c r="A44" s="1"/>
      <c r="B44" s="3" t="s">
        <v>28</v>
      </c>
      <c r="D44" s="2"/>
      <c r="E44" s="8"/>
      <c r="F44" s="8"/>
      <c r="G44" s="8"/>
      <c r="J44" s="9"/>
      <c r="K44" s="9"/>
      <c r="L44" s="9"/>
    </row>
    <row r="45" spans="1:13" ht="12.75">
      <c r="A45" s="1"/>
      <c r="B45" s="1"/>
      <c r="C45" s="2" t="s">
        <v>29</v>
      </c>
      <c r="D45" s="2" t="s">
        <v>18</v>
      </c>
      <c r="E45" s="8">
        <f>'MCS07 Pieces'!D31+'MCS07 Pieces'!D32</f>
        <v>2796930295.379999</v>
      </c>
      <c r="F45" s="8">
        <f>'MCS07 Pieces'!E31+'MCS07 Pieces'!E32</f>
        <v>994823118.6819997</v>
      </c>
      <c r="G45" s="8">
        <f>'MCS07 Pieces'!F31+'MCS07 Pieces'!F32</f>
        <v>18378201.324999996</v>
      </c>
      <c r="H45" s="8"/>
      <c r="I45" s="8"/>
      <c r="J45" s="8"/>
      <c r="K45" s="36"/>
      <c r="L45" s="36"/>
      <c r="M45" s="36"/>
    </row>
    <row r="46" spans="1:13" ht="12.75">
      <c r="A46" s="1"/>
      <c r="B46" s="1"/>
      <c r="C46" s="2" t="s">
        <v>30</v>
      </c>
      <c r="D46" s="2" t="s">
        <v>18</v>
      </c>
      <c r="E46" s="8">
        <f>'MCS07 Pieces'!D33</f>
        <v>78452936.092</v>
      </c>
      <c r="F46" s="8">
        <f>'MCS07 Pieces'!E33</f>
        <v>100140529.62999998</v>
      </c>
      <c r="G46" s="8">
        <f>'MCS07 Pieces'!F33</f>
        <v>0</v>
      </c>
      <c r="H46" s="8"/>
      <c r="I46" s="8"/>
      <c r="J46" s="8"/>
      <c r="K46" s="36"/>
      <c r="L46" s="36"/>
      <c r="M46" s="36"/>
    </row>
    <row r="47" spans="1:13" ht="12.75">
      <c r="A47" s="1"/>
      <c r="B47" s="1"/>
      <c r="C47" s="2" t="s">
        <v>31</v>
      </c>
      <c r="D47" s="2" t="s">
        <v>18</v>
      </c>
      <c r="E47" s="8">
        <f>'MCS07 Pieces'!D34</f>
        <v>38806048.18399999</v>
      </c>
      <c r="F47" s="8">
        <f>'MCS07 Pieces'!E34</f>
        <v>35610705.579</v>
      </c>
      <c r="G47" s="8">
        <f>'MCS07 Pieces'!F34</f>
        <v>0</v>
      </c>
      <c r="H47" s="8"/>
      <c r="I47" s="8"/>
      <c r="J47" s="8"/>
      <c r="K47" s="36"/>
      <c r="L47" s="36"/>
      <c r="M47" s="36"/>
    </row>
    <row r="48" spans="1:13" ht="12.75">
      <c r="A48" s="1"/>
      <c r="B48" s="1"/>
      <c r="C48" s="2" t="s">
        <v>32</v>
      </c>
      <c r="D48" s="2" t="s">
        <v>18</v>
      </c>
      <c r="E48" s="8">
        <f>SUM('MCS07 Pieces'!D26:D30)</f>
        <v>27707202.43900001</v>
      </c>
      <c r="F48" s="8">
        <f>SUM('MCS07 Pieces'!E26:E30)</f>
        <v>10270090.558999995</v>
      </c>
      <c r="G48" s="8">
        <f>SUM('MCS07 Pieces'!F26:F30)</f>
        <v>6380140.305</v>
      </c>
      <c r="K48" s="36"/>
      <c r="L48" s="36"/>
      <c r="M48" s="36"/>
    </row>
    <row r="49" spans="1:7" ht="25.5" customHeight="1">
      <c r="A49" s="1"/>
      <c r="B49" s="1"/>
      <c r="C49" s="58" t="s">
        <v>213</v>
      </c>
      <c r="D49" s="2" t="s">
        <v>34</v>
      </c>
      <c r="E49" s="8">
        <f>SUM('Billing Determinants'!B17:F17,'Billing Determinants'!B18:F18)</f>
        <v>3589759709.39856</v>
      </c>
      <c r="F49" s="8">
        <f>SUM('Billing Determinants'!B19:F19)</f>
        <v>1337563337.5079281</v>
      </c>
      <c r="G49" s="8">
        <f>SUM('Billing Determinants'!B20:F20)</f>
        <v>52319361.86391167</v>
      </c>
    </row>
    <row r="50" spans="1:13" ht="12.75">
      <c r="A50" s="3" t="s">
        <v>35</v>
      </c>
      <c r="D50" s="2"/>
      <c r="E50" s="8"/>
      <c r="F50" s="8"/>
      <c r="G50" s="8"/>
      <c r="H50" s="10"/>
      <c r="I50" s="10"/>
      <c r="J50" s="12"/>
      <c r="K50" s="12"/>
      <c r="L50" s="12"/>
      <c r="M50" s="11"/>
    </row>
    <row r="51" spans="1:13" ht="12.75">
      <c r="A51" s="1"/>
      <c r="B51" s="3" t="s">
        <v>37</v>
      </c>
      <c r="D51" s="2"/>
      <c r="E51" s="8"/>
      <c r="F51" s="8"/>
      <c r="G51" s="8"/>
      <c r="H51" s="10"/>
      <c r="I51" s="10"/>
      <c r="J51" s="12"/>
      <c r="K51" s="12"/>
      <c r="L51" s="12"/>
      <c r="M51" s="11"/>
    </row>
    <row r="52" spans="1:13" ht="12.75">
      <c r="A52" s="1"/>
      <c r="B52" s="1"/>
      <c r="C52" s="2" t="s">
        <v>38</v>
      </c>
      <c r="D52" s="2" t="s">
        <v>36</v>
      </c>
      <c r="E52" s="8">
        <f>'MCS07 Bundles'!C8</f>
        <v>3477670.2880000006</v>
      </c>
      <c r="F52" s="8">
        <f>'MCS07 Bundles'!D8</f>
        <v>930853.941</v>
      </c>
      <c r="G52" s="8">
        <f>'MCS07 Bundles'!E8</f>
        <v>19963.597999999998</v>
      </c>
      <c r="H52" s="8"/>
      <c r="I52" s="8"/>
      <c r="J52" s="8"/>
      <c r="K52" s="37"/>
      <c r="L52" s="37"/>
      <c r="M52" s="37"/>
    </row>
    <row r="53" spans="1:13" ht="12.75">
      <c r="A53" s="1"/>
      <c r="B53" s="1"/>
      <c r="C53" s="2" t="s">
        <v>39</v>
      </c>
      <c r="D53" s="2" t="s">
        <v>36</v>
      </c>
      <c r="E53" s="8">
        <f>'MCS07 Bundles'!C9</f>
        <v>6933299.424000001</v>
      </c>
      <c r="F53" s="8">
        <f>'MCS07 Bundles'!D9</f>
        <v>1453823.4540000004</v>
      </c>
      <c r="G53" s="8">
        <f>'MCS07 Bundles'!E9</f>
        <v>58662.35800000001</v>
      </c>
      <c r="H53" s="8"/>
      <c r="I53" s="8"/>
      <c r="J53" s="8"/>
      <c r="K53" s="37"/>
      <c r="L53" s="37"/>
      <c r="M53" s="37"/>
    </row>
    <row r="54" spans="1:13" ht="12.75">
      <c r="A54" s="1"/>
      <c r="B54" s="1"/>
      <c r="C54" s="2" t="s">
        <v>40</v>
      </c>
      <c r="D54" s="2" t="s">
        <v>36</v>
      </c>
      <c r="E54" s="8">
        <f>'MCS07 Bundles'!C10</f>
        <v>5740297.634999998</v>
      </c>
      <c r="F54" s="8">
        <f>'MCS07 Bundles'!D10</f>
        <v>1569095.2659999998</v>
      </c>
      <c r="G54" s="8">
        <f>'MCS07 Bundles'!E10</f>
        <v>83189.76900000001</v>
      </c>
      <c r="H54" s="8"/>
      <c r="I54" s="8"/>
      <c r="J54" s="8"/>
      <c r="K54" s="37"/>
      <c r="L54" s="37"/>
      <c r="M54" s="37"/>
    </row>
    <row r="55" spans="1:13" ht="12.75">
      <c r="A55" s="1"/>
      <c r="B55" s="1"/>
      <c r="C55" s="2" t="s">
        <v>41</v>
      </c>
      <c r="D55" s="2" t="s">
        <v>36</v>
      </c>
      <c r="E55" s="8">
        <f>'MCS07 Bundles'!C11</f>
        <v>1026498.208</v>
      </c>
      <c r="F55" s="8">
        <f>'MCS07 Bundles'!D11</f>
        <v>329692.0169999999</v>
      </c>
      <c r="G55" s="8">
        <f>'MCS07 Bundles'!E11</f>
        <v>23874.138000000003</v>
      </c>
      <c r="H55" s="8"/>
      <c r="I55" s="8"/>
      <c r="J55" s="8"/>
      <c r="K55" s="37"/>
      <c r="L55" s="37"/>
      <c r="M55" s="37"/>
    </row>
    <row r="56" spans="1:13" ht="12.75">
      <c r="A56" s="1"/>
      <c r="B56" s="1"/>
      <c r="C56" s="2" t="s">
        <v>32</v>
      </c>
      <c r="D56" s="2" t="s">
        <v>36</v>
      </c>
      <c r="E56" s="8">
        <f>'MCS07 Bundles'!C12</f>
        <v>3199336.701</v>
      </c>
      <c r="F56" s="8">
        <f>'MCS07 Bundles'!D12</f>
        <v>1043888.3409999999</v>
      </c>
      <c r="G56" s="8">
        <f>'MCS07 Bundles'!E12</f>
        <v>419747.819</v>
      </c>
      <c r="H56" s="8"/>
      <c r="I56" s="8"/>
      <c r="J56" s="8"/>
      <c r="K56" s="37"/>
      <c r="L56" s="37"/>
      <c r="M56" s="37"/>
    </row>
    <row r="57" spans="1:13" ht="12.75">
      <c r="A57" s="1"/>
      <c r="B57" s="3" t="s">
        <v>42</v>
      </c>
      <c r="D57" s="2"/>
      <c r="E57" s="8"/>
      <c r="F57" s="8"/>
      <c r="G57" s="8"/>
      <c r="H57" s="10"/>
      <c r="I57" s="10"/>
      <c r="J57" s="12"/>
      <c r="K57" s="12"/>
      <c r="L57" s="12"/>
      <c r="M57" s="11"/>
    </row>
    <row r="58" spans="1:13" ht="12.75">
      <c r="A58" s="1"/>
      <c r="B58" s="1"/>
      <c r="C58" s="2" t="s">
        <v>39</v>
      </c>
      <c r="D58" s="2" t="s">
        <v>36</v>
      </c>
      <c r="E58" s="8">
        <f>'MCS07 Bundles'!C13</f>
        <v>4889439.964</v>
      </c>
      <c r="F58" s="8">
        <f>'MCS07 Bundles'!D13</f>
        <v>780097.8930000002</v>
      </c>
      <c r="G58" s="8">
        <f>'MCS07 Bundles'!E13</f>
        <v>40832.46599999999</v>
      </c>
      <c r="H58" s="8"/>
      <c r="I58" s="8"/>
      <c r="J58" s="8"/>
      <c r="K58" s="37"/>
      <c r="L58" s="37"/>
      <c r="M58" s="37"/>
    </row>
    <row r="59" spans="1:13" ht="12.75">
      <c r="A59" s="1"/>
      <c r="B59" s="1"/>
      <c r="C59" s="2" t="s">
        <v>40</v>
      </c>
      <c r="D59" s="2" t="s">
        <v>36</v>
      </c>
      <c r="E59" s="8">
        <f>'MCS07 Bundles'!C14</f>
        <v>21286363.35199999</v>
      </c>
      <c r="F59" s="8">
        <f>'MCS07 Bundles'!D14</f>
        <v>3262238.49</v>
      </c>
      <c r="G59" s="8">
        <f>'MCS07 Bundles'!E14</f>
        <v>213067.83600000004</v>
      </c>
      <c r="H59" s="8"/>
      <c r="I59" s="8"/>
      <c r="J59" s="8"/>
      <c r="K59" s="37"/>
      <c r="L59" s="37"/>
      <c r="M59" s="37"/>
    </row>
    <row r="60" spans="1:13" ht="12.75">
      <c r="A60" s="1"/>
      <c r="B60" s="1"/>
      <c r="C60" s="2" t="s">
        <v>41</v>
      </c>
      <c r="D60" s="2" t="s">
        <v>36</v>
      </c>
      <c r="E60" s="8">
        <f>'MCS07 Bundles'!C15</f>
        <v>32672231.947999995</v>
      </c>
      <c r="F60" s="8">
        <f>'MCS07 Bundles'!D15</f>
        <v>7289685.801</v>
      </c>
      <c r="G60" s="8">
        <f>'MCS07 Bundles'!E15</f>
        <v>523711.15100000007</v>
      </c>
      <c r="H60" s="8"/>
      <c r="I60" s="8"/>
      <c r="J60" s="8"/>
      <c r="K60" s="37"/>
      <c r="L60" s="37"/>
      <c r="M60" s="37"/>
    </row>
    <row r="61" spans="1:13" ht="12.75">
      <c r="A61" s="1"/>
      <c r="B61" s="1"/>
      <c r="C61" s="2" t="s">
        <v>43</v>
      </c>
      <c r="D61" s="2" t="s">
        <v>36</v>
      </c>
      <c r="E61" s="8">
        <f>'MCS07 Bundles'!C16+'MCS07 Bundles'!C17+'MCS07 Bundles'!C18</f>
        <v>11395124.799999999</v>
      </c>
      <c r="F61" s="8">
        <f>'MCS07 Bundles'!D16+'MCS07 Bundles'!D17+'MCS07 Bundles'!D18</f>
        <v>5861675.322999999</v>
      </c>
      <c r="G61" s="8">
        <f>'MCS07 Bundles'!E16+'MCS07 Bundles'!E17+'MCS07 Bundles'!E18</f>
        <v>1455551.9770000002</v>
      </c>
      <c r="H61" s="8"/>
      <c r="I61" s="8"/>
      <c r="J61" s="8"/>
      <c r="K61" s="37"/>
      <c r="L61" s="37"/>
      <c r="M61" s="37"/>
    </row>
    <row r="62" spans="1:13" ht="12.75">
      <c r="A62" s="1"/>
      <c r="B62" s="1"/>
      <c r="C62" s="2" t="s">
        <v>32</v>
      </c>
      <c r="D62" s="2" t="s">
        <v>36</v>
      </c>
      <c r="E62" s="8">
        <f>'MCS07 Bundles'!C19</f>
        <v>6976850.952000003</v>
      </c>
      <c r="F62" s="8">
        <f>'MCS07 Bundles'!D19</f>
        <v>3186886.19</v>
      </c>
      <c r="G62" s="8">
        <f>'MCS07 Bundles'!E19</f>
        <v>2114782.95</v>
      </c>
      <c r="H62" s="8"/>
      <c r="I62" s="8"/>
      <c r="J62" s="8"/>
      <c r="K62" s="37"/>
      <c r="L62" s="37"/>
      <c r="M62" s="37"/>
    </row>
    <row r="63" spans="1:13" ht="12.75">
      <c r="A63" s="1"/>
      <c r="B63" s="3" t="s">
        <v>44</v>
      </c>
      <c r="D63" s="2"/>
      <c r="E63" s="8"/>
      <c r="F63" s="8"/>
      <c r="G63" s="8"/>
      <c r="H63" s="10"/>
      <c r="I63" s="10"/>
      <c r="J63" s="12"/>
      <c r="K63" s="12"/>
      <c r="L63" s="12"/>
      <c r="M63" s="11"/>
    </row>
    <row r="64" spans="1:13" ht="12.75">
      <c r="A64" s="1"/>
      <c r="B64" s="1"/>
      <c r="C64" s="2" t="s">
        <v>40</v>
      </c>
      <c r="D64" s="2" t="s">
        <v>36</v>
      </c>
      <c r="E64" s="8">
        <f>'MCS07 Bundles'!C25</f>
        <v>30403034.487</v>
      </c>
      <c r="F64" s="8">
        <f>'MCS07 Bundles'!D25</f>
        <v>5038581.310999999</v>
      </c>
      <c r="G64" s="8">
        <f>'MCS07 Bundles'!E25</f>
        <v>300870.9720000001</v>
      </c>
      <c r="H64" s="8"/>
      <c r="I64" s="8"/>
      <c r="J64" s="8"/>
      <c r="K64" s="37"/>
      <c r="L64" s="37"/>
      <c r="M64" s="37"/>
    </row>
    <row r="65" spans="1:13" ht="12.75">
      <c r="A65" s="1"/>
      <c r="B65" s="1"/>
      <c r="C65" s="2" t="s">
        <v>41</v>
      </c>
      <c r="D65" s="2" t="s">
        <v>36</v>
      </c>
      <c r="E65" s="8">
        <f>'MCS07 Bundles'!C26</f>
        <v>109588205.96899995</v>
      </c>
      <c r="F65" s="8">
        <f>'MCS07 Bundles'!D26</f>
        <v>18581442.228999995</v>
      </c>
      <c r="G65" s="8">
        <f>'MCS07 Bundles'!E26</f>
        <v>1009703.2690000001</v>
      </c>
      <c r="H65" s="8"/>
      <c r="I65" s="8"/>
      <c r="J65" s="8"/>
      <c r="K65" s="37"/>
      <c r="L65" s="37"/>
      <c r="M65" s="37"/>
    </row>
    <row r="66" spans="1:13" ht="12.75">
      <c r="A66" s="1"/>
      <c r="B66" s="1"/>
      <c r="C66" s="2" t="s">
        <v>43</v>
      </c>
      <c r="D66" s="2" t="s">
        <v>36</v>
      </c>
      <c r="E66" s="8">
        <f>'MCS07 Bundles'!C27+'MCS07 Bundles'!C28+'MCS07 Bundles'!C29</f>
        <v>198597257.447</v>
      </c>
      <c r="F66" s="8">
        <f>'MCS07 Bundles'!D27+'MCS07 Bundles'!D28+'MCS07 Bundles'!D29</f>
        <v>45223175.01700002</v>
      </c>
      <c r="G66" s="8">
        <f>'MCS07 Bundles'!E27+'MCS07 Bundles'!E28+'MCS07 Bundles'!E29</f>
        <v>875528.328</v>
      </c>
      <c r="H66" s="8"/>
      <c r="I66" s="8"/>
      <c r="J66" s="8"/>
      <c r="K66" s="37"/>
      <c r="L66" s="37"/>
      <c r="M66" s="37"/>
    </row>
    <row r="67" spans="1:13" ht="12.75">
      <c r="A67" s="1"/>
      <c r="B67" s="1"/>
      <c r="C67" s="2" t="s">
        <v>32</v>
      </c>
      <c r="D67" s="2" t="s">
        <v>36</v>
      </c>
      <c r="E67" s="8">
        <f>'MCS07 Bundles'!C30</f>
        <v>13501212.986000007</v>
      </c>
      <c r="F67" s="8">
        <f>'MCS07 Bundles'!D30</f>
        <v>5088436.991999999</v>
      </c>
      <c r="G67" s="8">
        <f>'MCS07 Bundles'!E30</f>
        <v>3796798.654</v>
      </c>
      <c r="H67" s="8"/>
      <c r="I67" s="8"/>
      <c r="J67" s="8"/>
      <c r="K67" s="37"/>
      <c r="L67" s="37"/>
      <c r="M67" s="37"/>
    </row>
    <row r="68" spans="1:13" ht="12.75">
      <c r="A68" s="1"/>
      <c r="B68" s="3" t="s">
        <v>45</v>
      </c>
      <c r="D68" s="2"/>
      <c r="E68" s="8"/>
      <c r="F68" s="8"/>
      <c r="G68" s="8"/>
      <c r="H68" s="10"/>
      <c r="I68" s="10"/>
      <c r="J68" s="12"/>
      <c r="K68" s="37"/>
      <c r="L68" s="37"/>
      <c r="M68" s="37"/>
    </row>
    <row r="69" spans="1:13" ht="12.75">
      <c r="A69" s="1"/>
      <c r="B69" s="1"/>
      <c r="C69" s="2" t="s">
        <v>41</v>
      </c>
      <c r="D69" s="2" t="s">
        <v>36</v>
      </c>
      <c r="E69" s="8">
        <f>'MCS07 Bundles'!C20</f>
        <v>4536320.812000001</v>
      </c>
      <c r="F69" s="8">
        <f>'MCS07 Bundles'!D20</f>
        <v>1933465.8660000006</v>
      </c>
      <c r="G69" s="8">
        <f>'MCS07 Bundles'!E20</f>
        <v>56098.055000000015</v>
      </c>
      <c r="H69" s="8"/>
      <c r="I69" s="8"/>
      <c r="J69" s="8"/>
      <c r="K69" s="37"/>
      <c r="L69" s="37"/>
      <c r="M69" s="37"/>
    </row>
    <row r="70" spans="1:13" ht="12.75">
      <c r="A70" s="1"/>
      <c r="B70" s="1"/>
      <c r="C70" s="2" t="s">
        <v>43</v>
      </c>
      <c r="D70" s="2" t="s">
        <v>36</v>
      </c>
      <c r="E70" s="8">
        <f>SUM('MCS07 Bundles'!C21:C23)</f>
        <v>37026504.179000005</v>
      </c>
      <c r="F70" s="8">
        <f>SUM('MCS07 Bundles'!D21:D23)</f>
        <v>14220747.584</v>
      </c>
      <c r="G70" s="8">
        <f>SUM('MCS07 Bundles'!E21:E23)</f>
        <v>108160.685</v>
      </c>
      <c r="H70" s="8"/>
      <c r="I70" s="8"/>
      <c r="J70" s="8"/>
      <c r="K70" s="37"/>
      <c r="L70" s="37"/>
      <c r="M70" s="37"/>
    </row>
    <row r="71" spans="1:13" ht="12.75">
      <c r="A71" s="1"/>
      <c r="B71" s="1"/>
      <c r="C71" s="2" t="s">
        <v>32</v>
      </c>
      <c r="D71" s="2" t="s">
        <v>36</v>
      </c>
      <c r="E71" s="8">
        <f>'MCS07 Bundles'!C24</f>
        <v>1270594.4370000002</v>
      </c>
      <c r="F71" s="8">
        <f>'MCS07 Bundles'!D24</f>
        <v>983128.2470000002</v>
      </c>
      <c r="G71" s="8">
        <f>'MCS07 Bundles'!E24</f>
        <v>48810.882000000005</v>
      </c>
      <c r="H71" s="8"/>
      <c r="I71" s="8"/>
      <c r="J71" s="8"/>
      <c r="K71" s="37"/>
      <c r="L71" s="37"/>
      <c r="M71" s="37"/>
    </row>
    <row r="72" spans="1:13" ht="12.75">
      <c r="A72" s="3" t="s">
        <v>46</v>
      </c>
      <c r="B72" s="1"/>
      <c r="D72" s="2"/>
      <c r="E72" s="8"/>
      <c r="F72" s="8"/>
      <c r="G72" s="8"/>
      <c r="H72" s="10"/>
      <c r="I72" s="10"/>
      <c r="J72" s="12"/>
      <c r="K72" s="12"/>
      <c r="L72" s="12"/>
      <c r="M72" s="11"/>
    </row>
    <row r="73" spans="1:7" ht="12.75">
      <c r="A73" s="1"/>
      <c r="B73" s="3" t="s">
        <v>37</v>
      </c>
      <c r="D73" s="2"/>
      <c r="E73" s="8"/>
      <c r="F73" s="8"/>
      <c r="G73" s="8"/>
    </row>
    <row r="74" spans="1:13" ht="12.75">
      <c r="A74" s="1"/>
      <c r="B74" s="1"/>
      <c r="C74" s="2" t="s">
        <v>48</v>
      </c>
      <c r="D74" s="2" t="s">
        <v>47</v>
      </c>
      <c r="E74" s="8">
        <f>'MCS07 Containers'!D21</f>
        <v>3874306.1890000002</v>
      </c>
      <c r="F74" s="8">
        <f>'MCS07 Containers'!E21</f>
        <v>567220.0430000001</v>
      </c>
      <c r="G74" s="8">
        <f>'MCS07 Containers'!F21</f>
        <v>35839.495</v>
      </c>
      <c r="H74" s="8"/>
      <c r="I74" s="8"/>
      <c r="J74" s="8"/>
      <c r="K74" s="36"/>
      <c r="L74" s="36"/>
      <c r="M74" s="36"/>
    </row>
    <row r="75" spans="1:13" ht="12.75">
      <c r="A75" s="1"/>
      <c r="B75" s="1"/>
      <c r="C75" s="2" t="s">
        <v>49</v>
      </c>
      <c r="D75" s="2" t="s">
        <v>47</v>
      </c>
      <c r="E75" s="8">
        <f>'MCS07 Containers'!D22</f>
        <v>86592.675</v>
      </c>
      <c r="F75" s="8">
        <f>'MCS07 Containers'!E22</f>
        <v>259.556</v>
      </c>
      <c r="G75" s="8">
        <f>'MCS07 Containers'!F22</f>
        <v>0</v>
      </c>
      <c r="H75" s="8"/>
      <c r="I75" s="8"/>
      <c r="J75" s="8"/>
      <c r="K75" s="36"/>
      <c r="L75" s="36"/>
      <c r="M75" s="36"/>
    </row>
    <row r="76" spans="1:12" ht="12.75">
      <c r="A76" s="1"/>
      <c r="B76" s="3" t="s">
        <v>50</v>
      </c>
      <c r="D76" s="2"/>
      <c r="E76" s="8"/>
      <c r="F76" s="8"/>
      <c r="G76" s="8"/>
      <c r="J76" s="9"/>
      <c r="K76" s="9"/>
      <c r="L76" s="9"/>
    </row>
    <row r="77" spans="1:12" ht="12.75">
      <c r="A77" s="1"/>
      <c r="B77" s="1"/>
      <c r="C77" s="2" t="s">
        <v>48</v>
      </c>
      <c r="D77" s="2" t="s">
        <v>47</v>
      </c>
      <c r="E77" s="8"/>
      <c r="F77" s="8"/>
      <c r="G77" s="8"/>
      <c r="J77" s="9"/>
      <c r="K77" s="9"/>
      <c r="L77" s="9"/>
    </row>
    <row r="78" spans="1:12" ht="12.75">
      <c r="A78" s="1"/>
      <c r="B78" s="1"/>
      <c r="C78" s="2" t="s">
        <v>49</v>
      </c>
      <c r="D78" s="2" t="s">
        <v>47</v>
      </c>
      <c r="E78" s="8"/>
      <c r="F78" s="8"/>
      <c r="G78" s="8"/>
      <c r="J78" s="9"/>
      <c r="K78" s="9"/>
      <c r="L78" s="9"/>
    </row>
    <row r="79" spans="1:13" ht="12.75">
      <c r="A79" s="1"/>
      <c r="B79" s="1"/>
      <c r="C79" s="2" t="s">
        <v>51</v>
      </c>
      <c r="D79" s="2" t="s">
        <v>47</v>
      </c>
      <c r="E79" s="8">
        <f>'MCS07 Containers'!D23</f>
        <v>5197003.311</v>
      </c>
      <c r="F79" s="8">
        <f>'MCS07 Containers'!E23</f>
        <v>868983.086</v>
      </c>
      <c r="G79" s="8">
        <f>'MCS07 Containers'!F23</f>
        <v>80809.593</v>
      </c>
      <c r="H79" s="8"/>
      <c r="I79" s="8"/>
      <c r="J79" s="8"/>
      <c r="K79" s="36"/>
      <c r="L79" s="36"/>
      <c r="M79" s="36"/>
    </row>
    <row r="80" spans="1:13" ht="12.75">
      <c r="A80" s="1"/>
      <c r="B80" s="1"/>
      <c r="C80" s="2" t="s">
        <v>52</v>
      </c>
      <c r="D80" s="2" t="s">
        <v>47</v>
      </c>
      <c r="E80" s="8">
        <f>'MCS07 Containers'!D24</f>
        <v>1214.691</v>
      </c>
      <c r="F80" s="8">
        <f>'MCS07 Containers'!E24</f>
        <v>26.71</v>
      </c>
      <c r="G80" s="8">
        <f>'MCS07 Containers'!F24</f>
        <v>0</v>
      </c>
      <c r="H80" s="8"/>
      <c r="I80" s="8"/>
      <c r="J80" s="8"/>
      <c r="K80" s="36"/>
      <c r="L80" s="36"/>
      <c r="M80" s="36"/>
    </row>
    <row r="81" spans="1:13" ht="12.75">
      <c r="A81" s="1"/>
      <c r="B81" s="1"/>
      <c r="C81" s="2" t="s">
        <v>53</v>
      </c>
      <c r="D81" s="2" t="s">
        <v>47</v>
      </c>
      <c r="E81" s="8">
        <f>'MCS07 Containers'!D25</f>
        <v>111518.582</v>
      </c>
      <c r="F81" s="8">
        <f>'MCS07 Containers'!E25</f>
        <v>28439.725</v>
      </c>
      <c r="G81" s="8">
        <f>'MCS07 Containers'!F25</f>
        <v>1778.718</v>
      </c>
      <c r="H81" s="8"/>
      <c r="I81" s="8"/>
      <c r="J81" s="8"/>
      <c r="K81" s="36"/>
      <c r="L81" s="36"/>
      <c r="M81" s="36"/>
    </row>
    <row r="82" spans="1:12" ht="12.75">
      <c r="A82" s="1"/>
      <c r="B82" s="3" t="s">
        <v>54</v>
      </c>
      <c r="D82" s="2"/>
      <c r="E82" s="8"/>
      <c r="F82" s="8"/>
      <c r="G82" s="8"/>
      <c r="J82" s="9"/>
      <c r="K82" s="9"/>
      <c r="L82" s="9"/>
    </row>
    <row r="83" spans="1:12" ht="12.75">
      <c r="A83" s="1"/>
      <c r="B83" s="1"/>
      <c r="C83" s="2" t="s">
        <v>48</v>
      </c>
      <c r="D83" s="2" t="s">
        <v>47</v>
      </c>
      <c r="E83" s="8"/>
      <c r="F83" s="8"/>
      <c r="G83" s="8"/>
      <c r="J83" s="9"/>
      <c r="K83" s="9"/>
      <c r="L83" s="9"/>
    </row>
    <row r="84" spans="1:12" ht="12.75">
      <c r="A84" s="1"/>
      <c r="B84" s="1"/>
      <c r="C84" s="2" t="s">
        <v>49</v>
      </c>
      <c r="D84" s="2" t="s">
        <v>47</v>
      </c>
      <c r="E84" s="8"/>
      <c r="F84" s="8"/>
      <c r="G84" s="8"/>
      <c r="J84" s="9"/>
      <c r="K84" s="9"/>
      <c r="L84" s="9"/>
    </row>
    <row r="85" spans="1:13" ht="12.75">
      <c r="A85" s="1"/>
      <c r="B85" s="1"/>
      <c r="C85" s="2" t="s">
        <v>51</v>
      </c>
      <c r="D85" s="2" t="s">
        <v>47</v>
      </c>
      <c r="E85" s="8">
        <f>'MCS07 Containers'!D26</f>
        <v>14601562.624000002</v>
      </c>
      <c r="F85" s="8">
        <f>'MCS07 Containers'!E26</f>
        <v>2958874.38</v>
      </c>
      <c r="G85" s="8">
        <f>'MCS07 Containers'!F26</f>
        <v>368501.83599999995</v>
      </c>
      <c r="H85" s="8"/>
      <c r="I85" s="8"/>
      <c r="J85" s="8"/>
      <c r="K85" s="36"/>
      <c r="L85" s="36"/>
      <c r="M85" s="36"/>
    </row>
    <row r="86" spans="1:13" ht="12.75">
      <c r="A86" s="1"/>
      <c r="B86" s="1"/>
      <c r="C86" s="2" t="s">
        <v>52</v>
      </c>
      <c r="D86" s="2" t="s">
        <v>47</v>
      </c>
      <c r="E86" s="8">
        <f>'MCS07 Containers'!D27</f>
        <v>20118.819</v>
      </c>
      <c r="F86" s="8">
        <f>'MCS07 Containers'!E27</f>
        <v>35.41</v>
      </c>
      <c r="G86" s="8">
        <f>'MCS07 Containers'!F27</f>
        <v>0</v>
      </c>
      <c r="H86" s="8"/>
      <c r="I86" s="8"/>
      <c r="J86" s="8"/>
      <c r="K86" s="36"/>
      <c r="L86" s="36"/>
      <c r="M86" s="36"/>
    </row>
    <row r="87" spans="1:13" ht="12.75">
      <c r="A87" s="1"/>
      <c r="B87" s="1"/>
      <c r="C87" s="2" t="s">
        <v>53</v>
      </c>
      <c r="D87" s="2" t="s">
        <v>47</v>
      </c>
      <c r="E87" s="8">
        <f>'MCS07 Containers'!D28</f>
        <v>654612.1240000001</v>
      </c>
      <c r="F87" s="8">
        <f>'MCS07 Containers'!E28</f>
        <v>32188.358</v>
      </c>
      <c r="G87" s="8">
        <f>'MCS07 Containers'!F28</f>
        <v>10426.914</v>
      </c>
      <c r="H87" s="8"/>
      <c r="I87" s="8"/>
      <c r="J87" s="8"/>
      <c r="K87" s="36"/>
      <c r="L87" s="36"/>
      <c r="M87" s="36"/>
    </row>
    <row r="88" spans="1:13" ht="12.75">
      <c r="A88" s="1"/>
      <c r="B88" s="1"/>
      <c r="C88" s="2" t="s">
        <v>55</v>
      </c>
      <c r="D88" s="2" t="s">
        <v>47</v>
      </c>
      <c r="E88" s="8">
        <f>'MCS07 Containers'!D29</f>
        <v>1955238.05</v>
      </c>
      <c r="F88" s="8">
        <f>'MCS07 Containers'!E29</f>
        <v>299717.917</v>
      </c>
      <c r="G88" s="8">
        <f>'MCS07 Containers'!F29</f>
        <v>15037.178</v>
      </c>
      <c r="H88" s="8"/>
      <c r="I88" s="8"/>
      <c r="J88" s="8"/>
      <c r="K88" s="36"/>
      <c r="L88" s="36"/>
      <c r="M88" s="36"/>
    </row>
    <row r="89" spans="1:7" ht="12.75">
      <c r="A89" s="1"/>
      <c r="B89" s="3" t="s">
        <v>56</v>
      </c>
      <c r="D89" s="2"/>
      <c r="E89" s="8"/>
      <c r="F89" s="8"/>
      <c r="G89" s="8"/>
    </row>
    <row r="90" spans="1:7" ht="12.75">
      <c r="A90" s="1"/>
      <c r="B90" s="1"/>
      <c r="C90" s="2" t="s">
        <v>48</v>
      </c>
      <c r="D90" s="2" t="s">
        <v>47</v>
      </c>
      <c r="E90" s="8"/>
      <c r="F90" s="8"/>
      <c r="G90" s="8"/>
    </row>
    <row r="91" spans="1:7" ht="12.75">
      <c r="A91" s="1"/>
      <c r="B91" s="1"/>
      <c r="C91" s="2" t="s">
        <v>49</v>
      </c>
      <c r="D91" s="2" t="s">
        <v>47</v>
      </c>
      <c r="E91" s="8"/>
      <c r="F91" s="8"/>
      <c r="G91" s="8"/>
    </row>
    <row r="92" spans="1:13" ht="12.75">
      <c r="A92" s="1"/>
      <c r="B92" s="1"/>
      <c r="C92" s="2" t="s">
        <v>51</v>
      </c>
      <c r="D92" s="2" t="s">
        <v>47</v>
      </c>
      <c r="E92" s="8">
        <f>'MCS07 Containers'!D30</f>
        <v>2519395.782</v>
      </c>
      <c r="F92" s="8">
        <f>'MCS07 Containers'!E30</f>
        <v>1100960.628</v>
      </c>
      <c r="G92" s="8">
        <f>'MCS07 Containers'!F30</f>
        <v>80828.546</v>
      </c>
      <c r="H92" s="8"/>
      <c r="I92" s="8"/>
      <c r="J92" s="8"/>
      <c r="K92" s="36"/>
      <c r="L92" s="36"/>
      <c r="M92" s="36"/>
    </row>
    <row r="93" spans="1:13" ht="12.75">
      <c r="A93" s="1"/>
      <c r="B93" s="1"/>
      <c r="C93" s="2" t="s">
        <v>52</v>
      </c>
      <c r="D93" s="2" t="s">
        <v>47</v>
      </c>
      <c r="E93" s="8">
        <f>'MCS07 Containers'!D31</f>
        <v>970.578</v>
      </c>
      <c r="F93" s="8">
        <f>'MCS07 Containers'!E31</f>
        <v>57.123000000000005</v>
      </c>
      <c r="G93" s="8">
        <f>'MCS07 Containers'!F31</f>
        <v>0</v>
      </c>
      <c r="H93" s="8"/>
      <c r="I93" s="8"/>
      <c r="J93" s="8"/>
      <c r="K93" s="36"/>
      <c r="L93" s="36"/>
      <c r="M93" s="36"/>
    </row>
    <row r="94" spans="1:13" ht="12.75">
      <c r="A94" s="1"/>
      <c r="B94" s="1"/>
      <c r="C94" s="2" t="s">
        <v>53</v>
      </c>
      <c r="D94" s="2" t="s">
        <v>47</v>
      </c>
      <c r="E94" s="8">
        <f>'MCS07 Containers'!D32</f>
        <v>265775.33400000003</v>
      </c>
      <c r="F94" s="8">
        <f>'MCS07 Containers'!E32</f>
        <v>120168.92300000001</v>
      </c>
      <c r="G94" s="8">
        <f>'MCS07 Containers'!F32</f>
        <v>0.26</v>
      </c>
      <c r="H94" s="8"/>
      <c r="I94" s="8"/>
      <c r="J94" s="8"/>
      <c r="K94" s="36"/>
      <c r="L94" s="36"/>
      <c r="M94" s="36"/>
    </row>
    <row r="95" spans="1:13" ht="12.75">
      <c r="A95" s="1"/>
      <c r="B95" s="1"/>
      <c r="C95" s="2" t="s">
        <v>55</v>
      </c>
      <c r="D95" s="2" t="s">
        <v>47</v>
      </c>
      <c r="E95" s="8">
        <f>'MCS07 Containers'!D33</f>
        <v>1930514.872</v>
      </c>
      <c r="F95" s="8">
        <f>'MCS07 Containers'!E33</f>
        <v>934700.1159999999</v>
      </c>
      <c r="G95" s="8">
        <f>'MCS07 Containers'!F33</f>
        <v>167.956</v>
      </c>
      <c r="H95" s="8"/>
      <c r="I95" s="8"/>
      <c r="J95" s="8"/>
      <c r="K95" s="36"/>
      <c r="L95" s="36"/>
      <c r="M95" s="36"/>
    </row>
    <row r="96" spans="1:13" ht="12.75">
      <c r="A96" s="1"/>
      <c r="B96" s="1"/>
      <c r="C96" s="2" t="s">
        <v>57</v>
      </c>
      <c r="D96" s="2" t="s">
        <v>47</v>
      </c>
      <c r="E96" s="8">
        <f>'MCS07 Containers'!D34</f>
        <v>57997.621999999996</v>
      </c>
      <c r="F96" s="8">
        <f>'MCS07 Containers'!E34</f>
        <v>14880.309000000001</v>
      </c>
      <c r="G96" s="8">
        <f>'MCS07 Containers'!F34</f>
        <v>0</v>
      </c>
      <c r="H96" s="8"/>
      <c r="I96" s="8"/>
      <c r="J96" s="8"/>
      <c r="K96" s="36"/>
      <c r="L96" s="36"/>
      <c r="M96" s="36"/>
    </row>
    <row r="97" spans="1:7" ht="12.75">
      <c r="A97" s="3" t="s">
        <v>58</v>
      </c>
      <c r="B97" s="1"/>
      <c r="D97" s="2"/>
      <c r="E97" s="8"/>
      <c r="F97" s="8"/>
      <c r="G97" s="8"/>
    </row>
    <row r="98" spans="1:7" ht="12.75">
      <c r="A98" s="1"/>
      <c r="B98" s="3" t="s">
        <v>60</v>
      </c>
      <c r="D98" s="2"/>
      <c r="E98" s="8"/>
      <c r="F98" s="8"/>
      <c r="G98" s="8"/>
    </row>
    <row r="99" spans="1:13" ht="12.75">
      <c r="A99" s="1"/>
      <c r="B99" s="1"/>
      <c r="C99" s="2" t="s">
        <v>48</v>
      </c>
      <c r="D99" s="2" t="s">
        <v>59</v>
      </c>
      <c r="E99" s="8"/>
      <c r="F99" s="8"/>
      <c r="G99" s="8"/>
      <c r="J99" s="9"/>
      <c r="K99" s="9"/>
      <c r="L99" s="9"/>
      <c r="M99" s="9"/>
    </row>
    <row r="100" spans="1:13" ht="12.75">
      <c r="A100" s="1"/>
      <c r="B100" s="1"/>
      <c r="C100" s="2" t="s">
        <v>49</v>
      </c>
      <c r="D100" s="2" t="s">
        <v>59</v>
      </c>
      <c r="E100" s="8"/>
      <c r="F100" s="8"/>
      <c r="G100" s="8"/>
      <c r="J100" s="9"/>
      <c r="K100" s="9"/>
      <c r="L100" s="9"/>
      <c r="M100" s="9"/>
    </row>
    <row r="101" spans="1:13" ht="12.75">
      <c r="A101" s="1"/>
      <c r="B101" s="1"/>
      <c r="C101" s="2" t="s">
        <v>51</v>
      </c>
      <c r="D101" s="2" t="s">
        <v>59</v>
      </c>
      <c r="E101" s="8">
        <f>'MCS07 Containers'!D9</f>
        <v>322818.07300000003</v>
      </c>
      <c r="F101" s="8">
        <f>'MCS07 Containers'!E9</f>
        <v>104538.05399999999</v>
      </c>
      <c r="G101" s="8">
        <f>'MCS07 Containers'!F9</f>
        <v>17559.992</v>
      </c>
      <c r="H101" s="8"/>
      <c r="I101" s="8"/>
      <c r="J101" s="8"/>
      <c r="K101" s="36"/>
      <c r="L101" s="36"/>
      <c r="M101" s="36"/>
    </row>
    <row r="102" spans="1:13" ht="12.75">
      <c r="A102" s="1"/>
      <c r="B102" s="1"/>
      <c r="C102" s="2" t="s">
        <v>52</v>
      </c>
      <c r="D102" s="2" t="s">
        <v>59</v>
      </c>
      <c r="E102" s="8">
        <f>'MCS07 Containers'!D10</f>
        <v>2508.289</v>
      </c>
      <c r="F102" s="8">
        <f>'MCS07 Containers'!E10</f>
        <v>154.591</v>
      </c>
      <c r="G102" s="8">
        <f>'MCS07 Containers'!F10</f>
        <v>3.246</v>
      </c>
      <c r="H102" s="8"/>
      <c r="I102" s="8"/>
      <c r="J102" s="8"/>
      <c r="K102" s="36"/>
      <c r="L102" s="36"/>
      <c r="M102" s="36"/>
    </row>
    <row r="103" spans="1:13" ht="12.75">
      <c r="A103" s="1"/>
      <c r="B103" s="1"/>
      <c r="C103" s="2" t="s">
        <v>53</v>
      </c>
      <c r="D103" s="2" t="s">
        <v>59</v>
      </c>
      <c r="E103" s="8">
        <f>'MCS07 Containers'!D11</f>
        <v>374102.282</v>
      </c>
      <c r="F103" s="8">
        <f>'MCS07 Containers'!E11</f>
        <v>84641.215</v>
      </c>
      <c r="G103" s="8">
        <f>'MCS07 Containers'!F11</f>
        <v>1981.684</v>
      </c>
      <c r="H103" s="8"/>
      <c r="I103" s="8"/>
      <c r="J103" s="8"/>
      <c r="K103" s="36"/>
      <c r="L103" s="36"/>
      <c r="M103" s="36"/>
    </row>
    <row r="104" spans="1:13" ht="12.75">
      <c r="A104" s="1"/>
      <c r="B104" s="3" t="s">
        <v>61</v>
      </c>
      <c r="D104" s="2"/>
      <c r="E104" s="8"/>
      <c r="F104" s="8"/>
      <c r="G104" s="8"/>
      <c r="J104" s="9"/>
      <c r="K104" s="9"/>
      <c r="L104" s="9"/>
      <c r="M104" s="9"/>
    </row>
    <row r="105" spans="1:13" ht="12.75">
      <c r="A105" s="1"/>
      <c r="B105" s="1"/>
      <c r="C105" s="2" t="s">
        <v>48</v>
      </c>
      <c r="D105" s="2" t="s">
        <v>59</v>
      </c>
      <c r="E105" s="8"/>
      <c r="F105" s="8"/>
      <c r="G105" s="8"/>
      <c r="J105" s="9"/>
      <c r="K105" s="9"/>
      <c r="L105" s="9"/>
      <c r="M105" s="9"/>
    </row>
    <row r="106" spans="1:13" ht="12.75">
      <c r="A106" s="1"/>
      <c r="B106" s="1"/>
      <c r="C106" s="2" t="s">
        <v>49</v>
      </c>
      <c r="D106" s="2" t="s">
        <v>59</v>
      </c>
      <c r="E106" s="8"/>
      <c r="F106" s="8"/>
      <c r="G106" s="8"/>
      <c r="J106" s="9"/>
      <c r="K106" s="9"/>
      <c r="L106" s="9"/>
      <c r="M106" s="9"/>
    </row>
    <row r="107" spans="1:13" ht="12.75">
      <c r="A107" s="1"/>
      <c r="B107" s="1"/>
      <c r="C107" s="2" t="s">
        <v>51</v>
      </c>
      <c r="D107" s="2" t="s">
        <v>59</v>
      </c>
      <c r="E107" s="8">
        <f>'MCS07 Containers'!D12</f>
        <v>338859.907</v>
      </c>
      <c r="F107" s="8">
        <f>'MCS07 Containers'!E12</f>
        <v>82299.8</v>
      </c>
      <c r="G107" s="8">
        <f>'MCS07 Containers'!F12</f>
        <v>8685.203</v>
      </c>
      <c r="H107" s="8"/>
      <c r="I107" s="8"/>
      <c r="J107" s="8"/>
      <c r="K107" s="36"/>
      <c r="L107" s="36"/>
      <c r="M107" s="36"/>
    </row>
    <row r="108" spans="1:13" ht="12.75">
      <c r="A108" s="1"/>
      <c r="B108" s="1"/>
      <c r="C108" s="2" t="s">
        <v>52</v>
      </c>
      <c r="D108" s="2" t="s">
        <v>59</v>
      </c>
      <c r="E108" s="8">
        <f>'MCS07 Containers'!D13</f>
        <v>3963.845</v>
      </c>
      <c r="F108" s="8">
        <f>'MCS07 Containers'!E13</f>
        <v>368.027</v>
      </c>
      <c r="G108" s="8">
        <f>'MCS07 Containers'!F13</f>
        <v>5.953</v>
      </c>
      <c r="H108" s="8"/>
      <c r="I108" s="8"/>
      <c r="J108" s="8"/>
      <c r="K108" s="36"/>
      <c r="L108" s="36"/>
      <c r="M108" s="36"/>
    </row>
    <row r="109" spans="1:13" ht="12.75">
      <c r="A109" s="1"/>
      <c r="B109" s="1"/>
      <c r="C109" s="2" t="s">
        <v>53</v>
      </c>
      <c r="D109" s="2" t="s">
        <v>59</v>
      </c>
      <c r="E109" s="8">
        <f>'MCS07 Containers'!D14</f>
        <v>249341.602</v>
      </c>
      <c r="F109" s="8">
        <f>'MCS07 Containers'!E14</f>
        <v>34724.761</v>
      </c>
      <c r="G109" s="8">
        <f>'MCS07 Containers'!F14</f>
        <v>243.915</v>
      </c>
      <c r="H109" s="8"/>
      <c r="I109" s="8"/>
      <c r="J109" s="8"/>
      <c r="K109" s="36"/>
      <c r="L109" s="36"/>
      <c r="M109" s="36"/>
    </row>
    <row r="110" spans="1:13" ht="12.75">
      <c r="A110" s="1"/>
      <c r="B110" s="1"/>
      <c r="C110" s="2" t="s">
        <v>55</v>
      </c>
      <c r="D110" s="2" t="s">
        <v>59</v>
      </c>
      <c r="E110" s="8">
        <f>'MCS07 Containers'!D15</f>
        <v>1277993.7389999998</v>
      </c>
      <c r="F110" s="8">
        <f>'MCS07 Containers'!E15</f>
        <v>237798.296</v>
      </c>
      <c r="G110" s="8">
        <f>'MCS07 Containers'!F15</f>
        <v>1498.507</v>
      </c>
      <c r="H110" s="8"/>
      <c r="I110" s="8"/>
      <c r="J110" s="8"/>
      <c r="K110" s="36"/>
      <c r="L110" s="36"/>
      <c r="M110" s="36"/>
    </row>
    <row r="111" spans="1:7" ht="12.75">
      <c r="A111" s="1"/>
      <c r="B111" s="3" t="s">
        <v>62</v>
      </c>
      <c r="D111" s="2"/>
      <c r="E111" s="8"/>
      <c r="F111" s="8"/>
      <c r="G111" s="8"/>
    </row>
    <row r="112" spans="1:7" ht="12.75">
      <c r="A112" s="1"/>
      <c r="B112" s="1"/>
      <c r="C112" s="2" t="s">
        <v>48</v>
      </c>
      <c r="D112" s="2" t="s">
        <v>59</v>
      </c>
      <c r="E112" s="8"/>
      <c r="F112" s="8"/>
      <c r="G112" s="8"/>
    </row>
    <row r="113" spans="1:7" ht="12.75">
      <c r="A113" s="1"/>
      <c r="B113" s="1"/>
      <c r="C113" s="2" t="s">
        <v>49</v>
      </c>
      <c r="D113" s="2" t="s">
        <v>59</v>
      </c>
      <c r="E113" s="8"/>
      <c r="F113" s="8"/>
      <c r="G113" s="8"/>
    </row>
    <row r="114" spans="1:13" ht="12.75">
      <c r="A114" s="1"/>
      <c r="B114" s="1"/>
      <c r="C114" s="2" t="s">
        <v>51</v>
      </c>
      <c r="D114" s="2" t="s">
        <v>59</v>
      </c>
      <c r="E114" s="8">
        <f>'MCS07 Containers'!D16</f>
        <v>28855.953</v>
      </c>
      <c r="F114" s="8">
        <f>'MCS07 Containers'!E16</f>
        <v>28868.424</v>
      </c>
      <c r="G114" s="8">
        <f>'MCS07 Containers'!F16</f>
        <v>105.581</v>
      </c>
      <c r="H114" s="8"/>
      <c r="I114" s="8"/>
      <c r="J114" s="8"/>
      <c r="K114" s="36"/>
      <c r="L114" s="36"/>
      <c r="M114" s="36"/>
    </row>
    <row r="115" spans="1:13" ht="12.75">
      <c r="A115" s="1"/>
      <c r="B115" s="1"/>
      <c r="C115" s="2" t="s">
        <v>52</v>
      </c>
      <c r="D115" s="2" t="s">
        <v>59</v>
      </c>
      <c r="E115" s="8">
        <f>'MCS07 Containers'!D17</f>
        <v>269.528</v>
      </c>
      <c r="F115" s="8">
        <f>'MCS07 Containers'!E17</f>
        <v>0.748</v>
      </c>
      <c r="G115" s="8">
        <f>'MCS07 Containers'!F17</f>
        <v>0</v>
      </c>
      <c r="H115" s="8"/>
      <c r="I115" s="8"/>
      <c r="J115" s="8"/>
      <c r="K115" s="36"/>
      <c r="L115" s="36"/>
      <c r="M115" s="36"/>
    </row>
    <row r="116" spans="1:13" ht="12.75">
      <c r="A116" s="1"/>
      <c r="B116" s="1"/>
      <c r="C116" s="2" t="s">
        <v>53</v>
      </c>
      <c r="D116" s="2" t="s">
        <v>59</v>
      </c>
      <c r="E116" s="8">
        <f>'MCS07 Containers'!D18</f>
        <v>28986.832</v>
      </c>
      <c r="F116" s="8">
        <f>'MCS07 Containers'!E18</f>
        <v>13476.606</v>
      </c>
      <c r="G116" s="8">
        <f>'MCS07 Containers'!F18</f>
        <v>0.056</v>
      </c>
      <c r="H116" s="8"/>
      <c r="I116" s="8"/>
      <c r="J116" s="8"/>
      <c r="K116" s="36"/>
      <c r="L116" s="36"/>
      <c r="M116" s="36"/>
    </row>
    <row r="117" spans="1:13" ht="12.75">
      <c r="A117" s="1"/>
      <c r="B117" s="1"/>
      <c r="C117" s="2" t="s">
        <v>55</v>
      </c>
      <c r="D117" s="2" t="s">
        <v>59</v>
      </c>
      <c r="E117" s="8">
        <f>'MCS07 Containers'!D19</f>
        <v>505388.58</v>
      </c>
      <c r="F117" s="8">
        <f>'MCS07 Containers'!E19</f>
        <v>134366.857</v>
      </c>
      <c r="G117" s="8">
        <f>'MCS07 Containers'!F19</f>
        <v>75.53</v>
      </c>
      <c r="H117" s="8"/>
      <c r="I117" s="8"/>
      <c r="J117" s="8"/>
      <c r="K117" s="36"/>
      <c r="L117" s="36"/>
      <c r="M117" s="36"/>
    </row>
    <row r="118" spans="1:13" ht="12.75">
      <c r="A118" s="1"/>
      <c r="B118" s="1"/>
      <c r="C118" s="2" t="s">
        <v>57</v>
      </c>
      <c r="D118" s="2" t="s">
        <v>59</v>
      </c>
      <c r="E118" s="8">
        <f>'MCS07 Containers'!D20</f>
        <v>32613.533</v>
      </c>
      <c r="F118" s="8">
        <f>'MCS07 Containers'!E20</f>
        <v>2916.639</v>
      </c>
      <c r="G118" s="8">
        <f>'MCS07 Containers'!F20</f>
        <v>1.363</v>
      </c>
      <c r="H118" s="8"/>
      <c r="I118" s="8"/>
      <c r="J118" s="8"/>
      <c r="K118" s="36"/>
      <c r="L118" s="36"/>
      <c r="M118" s="36"/>
    </row>
    <row r="119" spans="1:7" ht="12.75">
      <c r="A119" s="1"/>
      <c r="B119" s="1"/>
      <c r="C119" s="2"/>
      <c r="D119" s="1"/>
      <c r="E119" s="8"/>
      <c r="F119" s="8"/>
      <c r="G119" s="8"/>
    </row>
    <row r="120" spans="1:7" ht="12.75">
      <c r="A120" s="1"/>
      <c r="B120" s="1"/>
      <c r="C120" s="2"/>
      <c r="D120" s="1"/>
      <c r="E120" s="8"/>
      <c r="F120" s="8"/>
      <c r="G120" s="8"/>
    </row>
    <row r="121" spans="1:7" ht="12.75">
      <c r="A121" s="1"/>
      <c r="B121" s="1"/>
      <c r="C121" s="2"/>
      <c r="D121" s="1"/>
      <c r="E121" s="8"/>
      <c r="F121" s="8"/>
      <c r="G121" s="8"/>
    </row>
    <row r="122" spans="1:7" ht="12.75">
      <c r="A122" s="1"/>
      <c r="B122" s="1"/>
      <c r="C122" s="2"/>
      <c r="D122" s="1"/>
      <c r="E122" s="8"/>
      <c r="F122" s="8"/>
      <c r="G122" s="8"/>
    </row>
  </sheetData>
  <printOptions/>
  <pageMargins left="0.35" right="0.19" top="0.44" bottom="0.16" header="0.2" footer="0.5"/>
  <pageSetup horizontalDpi="600" verticalDpi="600" orientation="portrait" r:id="rId1"/>
  <ignoredErrors>
    <ignoredError sqref="E70:G70 E48:G4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34">
      <selection activeCell="A3" sqref="A3"/>
    </sheetView>
  </sheetViews>
  <sheetFormatPr defaultColWidth="9.140625" defaultRowHeight="12.75"/>
  <cols>
    <col min="1" max="1" width="25.7109375" style="0" customWidth="1"/>
    <col min="2" max="2" width="14.57421875" style="0" customWidth="1"/>
    <col min="3" max="3" width="13.8515625" style="0" customWidth="1"/>
    <col min="4" max="4" width="12.7109375" style="0" customWidth="1"/>
    <col min="6" max="6" width="9.7109375" style="0" bestFit="1" customWidth="1"/>
  </cols>
  <sheetData>
    <row r="1" ht="12.75">
      <c r="A1" s="40" t="s">
        <v>241</v>
      </c>
    </row>
    <row r="2" ht="12.75">
      <c r="A2" t="s">
        <v>239</v>
      </c>
    </row>
    <row r="3" spans="2:4" ht="12.75">
      <c r="B3" s="17" t="s">
        <v>67</v>
      </c>
      <c r="C3" s="17" t="s">
        <v>68</v>
      </c>
      <c r="D3" s="17" t="s">
        <v>69</v>
      </c>
    </row>
    <row r="4" spans="1:4" ht="12.75">
      <c r="A4" t="s">
        <v>93</v>
      </c>
      <c r="B4" s="8">
        <f>SUM('Interim Data'!E21:E25,'Interim Data'!E27:E31,'Interim Data'!E33:E37,'Interim Data'!E39:E43,'Interim Data'!E45:E48)</f>
        <v>6169067985.134999</v>
      </c>
      <c r="C4" s="8">
        <f>SUM('Interim Data'!F21:F25,'Interim Data'!F27:F31,'Interim Data'!F33:F37,'Interim Data'!F39:F43,'Interim Data'!F45:F48)</f>
        <v>1752524078.6109993</v>
      </c>
      <c r="D4" s="8">
        <f>SUM('Interim Data'!G21:G25,'Interim Data'!G27:G31,'Interim Data'!G33:G37,'Interim Data'!G39:G43,'Interim Data'!G45:G48)</f>
        <v>54767441.099999994</v>
      </c>
    </row>
    <row r="5" ht="12.75">
      <c r="A5" t="s">
        <v>97</v>
      </c>
    </row>
    <row r="6" spans="1:6" ht="12.75">
      <c r="A6" t="s">
        <v>94</v>
      </c>
      <c r="B6" s="13">
        <f>'Billing Determinants'!C28+'Billing Determinants'!D28</f>
        <v>24658400.474886138</v>
      </c>
      <c r="C6" s="13">
        <f>'Billing Determinants'!E28</f>
        <v>6282014.149235332</v>
      </c>
      <c r="D6" s="13">
        <f>'Billing Determinants'!F28</f>
        <v>291168.4363729321</v>
      </c>
      <c r="E6" s="13"/>
      <c r="F6" s="13"/>
    </row>
    <row r="7" spans="1:6" ht="12.75">
      <c r="A7" t="s">
        <v>95</v>
      </c>
      <c r="B7" s="13">
        <f>'Billing Determinants'!C29+'Billing Determinants'!D29</f>
        <v>9780051.976761524</v>
      </c>
      <c r="C7" s="13">
        <f>'Billing Determinants'!E29</f>
        <v>6327561.051664494</v>
      </c>
      <c r="D7" s="13">
        <f>'Billing Determinants'!F29</f>
        <v>339539.7406290931</v>
      </c>
      <c r="E7" s="13"/>
      <c r="F7" s="13"/>
    </row>
    <row r="8" spans="1:6" ht="12.75">
      <c r="A8" t="s">
        <v>96</v>
      </c>
      <c r="B8" s="13">
        <f>'Billing Determinants'!C30+'Billing Determinants'!D30</f>
        <v>402396.85385940457</v>
      </c>
      <c r="C8" s="13">
        <f>'Billing Determinants'!E30</f>
        <v>812269.8495570591</v>
      </c>
      <c r="D8" s="13">
        <f>'Billing Determinants'!F30</f>
        <v>8959.50905754306</v>
      </c>
      <c r="E8" s="13"/>
      <c r="F8" s="13"/>
    </row>
    <row r="9" ht="12.75">
      <c r="A9" t="s">
        <v>98</v>
      </c>
    </row>
    <row r="10" spans="1:6" ht="12.75">
      <c r="A10" t="s">
        <v>99</v>
      </c>
      <c r="B10" s="13">
        <f>'Billing Determinants'!C32+'Billing Determinants'!D32</f>
        <v>4247186.499373242</v>
      </c>
      <c r="C10" s="13">
        <f>'Billing Determinants'!E32</f>
        <v>926748.5820804884</v>
      </c>
      <c r="D10" s="13">
        <f>'Billing Determinants'!F32</f>
        <v>2505.9705124971942</v>
      </c>
      <c r="E10" s="13"/>
      <c r="F10" s="13"/>
    </row>
    <row r="11" spans="1:6" ht="12.75">
      <c r="A11" t="s">
        <v>100</v>
      </c>
      <c r="B11" s="13">
        <f>'Billing Determinants'!C33+'Billing Determinants'!D33</f>
        <v>2016565.5338601212</v>
      </c>
      <c r="C11" s="13">
        <f>'Billing Determinants'!E33</f>
        <v>696276.4623668543</v>
      </c>
      <c r="D11" s="13">
        <f>'Billing Determinants'!F33</f>
        <v>593.1359766847632</v>
      </c>
      <c r="E11" s="13"/>
      <c r="F11" s="13"/>
    </row>
    <row r="12" spans="1:6" ht="12.75">
      <c r="A12" t="s">
        <v>95</v>
      </c>
      <c r="B12" s="13">
        <f>'Billing Determinants'!C34+'Billing Determinants'!D34</f>
        <v>2731028.4155713446</v>
      </c>
      <c r="C12" s="13">
        <f>'Billing Determinants'!E34</f>
        <v>1832988.2767420553</v>
      </c>
      <c r="D12" s="13">
        <f>'Billing Determinants'!F34</f>
        <v>1264.6767640441271</v>
      </c>
      <c r="E12" s="13"/>
      <c r="F12" s="13"/>
    </row>
    <row r="13" spans="1:6" ht="12.75">
      <c r="A13" t="s">
        <v>96</v>
      </c>
      <c r="B13" s="13">
        <f>'Billing Determinants'!C35+'Billing Determinants'!D35</f>
        <v>92830.13671563439</v>
      </c>
      <c r="C13" s="13">
        <f>'Billing Determinants'!E35</f>
        <v>241264.3835505279</v>
      </c>
      <c r="D13" s="13">
        <f>'Billing Determinants'!F35</f>
        <v>0</v>
      </c>
      <c r="E13" s="13"/>
      <c r="F13" s="13"/>
    </row>
    <row r="15" spans="1:4" ht="12.75">
      <c r="A15" t="s">
        <v>101</v>
      </c>
      <c r="B15" s="16">
        <f>SUM(B4,B6:B8,B10:B13)</f>
        <v>6212996445.026027</v>
      </c>
      <c r="C15" s="16">
        <f>SUM(C4,C6:C8,C10:C13)</f>
        <v>1769643201.3661964</v>
      </c>
      <c r="D15" s="16">
        <f>SUM(D4,D6:D8,D10:D13)</f>
        <v>55411472.56931279</v>
      </c>
    </row>
    <row r="16" spans="1:4" ht="12.75">
      <c r="A16" t="s">
        <v>102</v>
      </c>
      <c r="B16" s="10">
        <v>6220156812</v>
      </c>
      <c r="C16" s="10">
        <v>1783471678</v>
      </c>
      <c r="D16" s="10">
        <v>55744253</v>
      </c>
    </row>
    <row r="17" spans="1:4" ht="12.75">
      <c r="A17" t="s">
        <v>103</v>
      </c>
      <c r="B17" s="10">
        <f>B16-B15</f>
        <v>7160366.973973274</v>
      </c>
      <c r="C17" s="10">
        <f>C16-C15</f>
        <v>13828476.633803606</v>
      </c>
      <c r="D17" s="10">
        <f>D16-D15</f>
        <v>332780.43068721145</v>
      </c>
    </row>
    <row r="18" ht="12.75">
      <c r="A18" t="s">
        <v>104</v>
      </c>
    </row>
    <row r="20" ht="12.75">
      <c r="A20" t="s">
        <v>222</v>
      </c>
    </row>
    <row r="21" spans="1:4" ht="12.75">
      <c r="A21" t="s">
        <v>99</v>
      </c>
      <c r="B21" s="13">
        <f aca="true" t="shared" si="0" ref="B21:D22">B10</f>
        <v>4247186.499373242</v>
      </c>
      <c r="C21" s="13">
        <f t="shared" si="0"/>
        <v>926748.5820804884</v>
      </c>
      <c r="D21" s="13">
        <f t="shared" si="0"/>
        <v>2505.9705124971942</v>
      </c>
    </row>
    <row r="22" spans="1:4" ht="12.75">
      <c r="A22" t="s">
        <v>100</v>
      </c>
      <c r="B22" s="13">
        <f t="shared" si="0"/>
        <v>2016565.5338601212</v>
      </c>
      <c r="C22" s="13">
        <f t="shared" si="0"/>
        <v>696276.4623668543</v>
      </c>
      <c r="D22" s="13">
        <f t="shared" si="0"/>
        <v>593.1359766847632</v>
      </c>
    </row>
    <row r="23" spans="1:4" ht="12.75">
      <c r="A23" t="s">
        <v>75</v>
      </c>
      <c r="B23" s="13">
        <f>SUM(B21:B22)</f>
        <v>6263752.033233363</v>
      </c>
      <c r="C23" s="13">
        <f>SUM(C21:C22)</f>
        <v>1623025.0444473429</v>
      </c>
      <c r="D23" s="13">
        <f>SUM(D21:D22)</f>
        <v>3099.1064891819574</v>
      </c>
    </row>
    <row r="25" spans="2:4" ht="12.75">
      <c r="B25">
        <f>B21/$B$23</f>
        <v>0.6780578919534327</v>
      </c>
      <c r="C25">
        <f>C21/$C$23</f>
        <v>0.5710007896988775</v>
      </c>
      <c r="D25">
        <f>D21/$D$23</f>
        <v>0.8086106499550043</v>
      </c>
    </row>
    <row r="26" spans="2:4" ht="12.75">
      <c r="B26">
        <f>B22/$B$23</f>
        <v>0.3219421080465673</v>
      </c>
      <c r="C26">
        <f>C22/$C$23</f>
        <v>0.4289992103011225</v>
      </c>
      <c r="D26">
        <f>D22/$D$23</f>
        <v>0.1913893500449957</v>
      </c>
    </row>
    <row r="28" spans="1:4" ht="12.75">
      <c r="A28" t="s">
        <v>99</v>
      </c>
      <c r="B28" s="13">
        <f>B25*$B$6</f>
        <v>16719823.044944819</v>
      </c>
      <c r="C28" s="13">
        <f>C25*$C$6</f>
        <v>3587035.040112897</v>
      </c>
      <c r="D28" s="13">
        <f>$D$6*D25</f>
        <v>235441.89858189895</v>
      </c>
    </row>
    <row r="29" spans="1:4" ht="12.75">
      <c r="A29" t="s">
        <v>100</v>
      </c>
      <c r="B29" s="13">
        <f>B26*$B$6</f>
        <v>7938577.42994132</v>
      </c>
      <c r="C29" s="13">
        <f>C26*$C$6</f>
        <v>2694979.1091224356</v>
      </c>
      <c r="D29" s="13">
        <f>$D$6*D26</f>
        <v>55726.53779103316</v>
      </c>
    </row>
    <row r="30" spans="1:4" ht="12.75">
      <c r="A30" t="s">
        <v>75</v>
      </c>
      <c r="B30" s="13">
        <f>SUM(B28:B29)</f>
        <v>24658400.474886138</v>
      </c>
      <c r="C30" s="13">
        <f>SUM(C28:C29)</f>
        <v>6282014.149235332</v>
      </c>
      <c r="D30" s="13">
        <f>SUM(D28:D29)</f>
        <v>291168.4363729321</v>
      </c>
    </row>
    <row r="32" ht="12.75">
      <c r="A32" t="s">
        <v>105</v>
      </c>
    </row>
    <row r="33" spans="2:8" ht="12.75">
      <c r="B33" t="s">
        <v>67</v>
      </c>
      <c r="C33" t="s">
        <v>68</v>
      </c>
      <c r="D33" t="s">
        <v>69</v>
      </c>
      <c r="E33" t="s">
        <v>70</v>
      </c>
      <c r="F33" t="s">
        <v>122</v>
      </c>
      <c r="G33" t="s">
        <v>123</v>
      </c>
      <c r="H33" t="s">
        <v>124</v>
      </c>
    </row>
    <row r="34" spans="1:5" ht="12.75">
      <c r="A34" t="s">
        <v>106</v>
      </c>
      <c r="B34" s="10">
        <f>4244929.25796228+E34</f>
        <v>4247186.499373237</v>
      </c>
      <c r="C34" s="10">
        <v>926748.5820804882</v>
      </c>
      <c r="D34" s="10">
        <v>2505.970512497194</v>
      </c>
      <c r="E34" s="10">
        <v>2257.241410956402</v>
      </c>
    </row>
    <row r="35" spans="1:8" ht="12.75">
      <c r="A35" t="s">
        <v>107</v>
      </c>
      <c r="B35" s="42">
        <f>217471.805250349+E35</f>
        <v>218506.82875718526</v>
      </c>
      <c r="C35" s="42">
        <v>689543.92702358</v>
      </c>
      <c r="D35" s="42">
        <v>1479.8041848380133</v>
      </c>
      <c r="E35" s="42">
        <v>1035.023506836266</v>
      </c>
      <c r="F35" s="19">
        <f>B35/$B$50</f>
        <v>0.147366137297617</v>
      </c>
      <c r="G35" s="19">
        <f>C35/$C$50</f>
        <v>0.38183274540545187</v>
      </c>
      <c r="H35" s="19">
        <f>D35/$D$50</f>
        <v>0.04873875378416812</v>
      </c>
    </row>
    <row r="36" spans="1:5" ht="12.75">
      <c r="A36" t="s">
        <v>108</v>
      </c>
      <c r="B36" s="42">
        <f>2012774.20382997+E36</f>
        <v>2016565.5338601195</v>
      </c>
      <c r="C36" s="42">
        <v>696276.4623668542</v>
      </c>
      <c r="D36" s="42">
        <v>593.1359766847631</v>
      </c>
      <c r="E36" s="42">
        <v>3791.3300301494637</v>
      </c>
    </row>
    <row r="37" spans="1:8" ht="12.75">
      <c r="A37" t="s">
        <v>109</v>
      </c>
      <c r="B37" s="42">
        <f>102756.259741964+E37</f>
        <v>103361.10085087003</v>
      </c>
      <c r="C37" s="42">
        <v>197278.39891831213</v>
      </c>
      <c r="D37" s="42">
        <v>238.96911202124846</v>
      </c>
      <c r="E37" s="42">
        <v>604.8411089060437</v>
      </c>
      <c r="F37" s="19">
        <f>B37/$B$50</f>
        <v>0.06970915401526677</v>
      </c>
      <c r="G37" s="19">
        <f>C37/$C$50</f>
        <v>0.1092422827843934</v>
      </c>
      <c r="H37" s="19">
        <f>D37/$D$50</f>
        <v>0.007870674263635675</v>
      </c>
    </row>
    <row r="38" spans="1:5" ht="12.75">
      <c r="A38" t="s">
        <v>110</v>
      </c>
      <c r="B38" s="42">
        <f>2730783.67671054+E38</f>
        <v>2731028.415571348</v>
      </c>
      <c r="C38" s="42">
        <v>1832988.2767420548</v>
      </c>
      <c r="D38" s="42">
        <v>1264.676764044127</v>
      </c>
      <c r="E38" s="42">
        <v>244.73886080780807</v>
      </c>
    </row>
    <row r="39" spans="1:8" ht="12.75">
      <c r="A39" t="s">
        <v>111</v>
      </c>
      <c r="B39" s="42">
        <f>126656.67575979+E39</f>
        <v>131663.318746805</v>
      </c>
      <c r="C39" s="42">
        <v>490554.9751491406</v>
      </c>
      <c r="D39" s="42">
        <v>17711.991170457382</v>
      </c>
      <c r="E39" s="42">
        <v>5006.642987014978</v>
      </c>
      <c r="F39" s="19">
        <f>B39/$B$50</f>
        <v>0.08879683448732283</v>
      </c>
      <c r="G39" s="19">
        <f>C39/$C$50</f>
        <v>0.27164324938952616</v>
      </c>
      <c r="H39" s="19">
        <f>D39/$D$50</f>
        <v>0.5833612213894225</v>
      </c>
    </row>
    <row r="40" spans="1:5" ht="12.75">
      <c r="A40" t="s">
        <v>112</v>
      </c>
      <c r="B40" s="42">
        <f>92830.1367156344+E40</f>
        <v>92830.1367156344</v>
      </c>
      <c r="C40" s="42">
        <v>241264.38355052785</v>
      </c>
      <c r="D40" s="42">
        <v>0</v>
      </c>
      <c r="E40" s="42">
        <v>0</v>
      </c>
    </row>
    <row r="41" spans="1:8" ht="12.75">
      <c r="A41" t="s">
        <v>113</v>
      </c>
      <c r="B41" s="42">
        <f>137575.601659451+E41</f>
        <v>143876.9699018848</v>
      </c>
      <c r="C41" s="42">
        <v>339473.37510270305</v>
      </c>
      <c r="D41" s="42">
        <v>2977.2171410378633</v>
      </c>
      <c r="E41" s="42">
        <v>6301.3682424337785</v>
      </c>
      <c r="F41" s="19">
        <f aca="true" t="shared" si="1" ref="F41:F49">B41/$B$50</f>
        <v>0.0970340076835198</v>
      </c>
      <c r="G41" s="19">
        <f aca="true" t="shared" si="2" ref="G41:G49">C41/$C$50</f>
        <v>0.18798229630856753</v>
      </c>
      <c r="H41" s="19">
        <f aca="true" t="shared" si="3" ref="H41:H49">D41/$D$50</f>
        <v>0.09805746914746924</v>
      </c>
    </row>
    <row r="42" spans="1:8" ht="12.75">
      <c r="A42" t="s">
        <v>114</v>
      </c>
      <c r="B42" s="42">
        <f>0+E42</f>
        <v>0</v>
      </c>
      <c r="C42" s="42">
        <v>0</v>
      </c>
      <c r="D42" s="42">
        <v>0</v>
      </c>
      <c r="E42" s="42">
        <v>0</v>
      </c>
      <c r="F42" s="19">
        <f t="shared" si="1"/>
        <v>0</v>
      </c>
      <c r="G42" s="19">
        <f t="shared" si="2"/>
        <v>0</v>
      </c>
      <c r="H42" s="19">
        <f t="shared" si="3"/>
        <v>0</v>
      </c>
    </row>
    <row r="43" spans="1:8" ht="12.75">
      <c r="A43" t="s">
        <v>115</v>
      </c>
      <c r="B43" s="42">
        <v>151185.54747782182</v>
      </c>
      <c r="C43" s="42">
        <v>22788.770312045322</v>
      </c>
      <c r="D43" s="42">
        <v>1078.6895083339173</v>
      </c>
      <c r="E43" s="42">
        <v>0</v>
      </c>
      <c r="F43" s="19">
        <f t="shared" si="1"/>
        <v>0.10196308405441287</v>
      </c>
      <c r="G43" s="19">
        <f t="shared" si="2"/>
        <v>0.012619208714117152</v>
      </c>
      <c r="H43" s="19">
        <f t="shared" si="3"/>
        <v>0.035527661629100725</v>
      </c>
    </row>
    <row r="44" spans="1:8" ht="12.75">
      <c r="A44" t="s">
        <v>116</v>
      </c>
      <c r="B44" s="42">
        <v>0</v>
      </c>
      <c r="C44" s="42">
        <v>0</v>
      </c>
      <c r="D44" s="42">
        <v>0</v>
      </c>
      <c r="E44" s="42">
        <v>0</v>
      </c>
      <c r="F44" s="19">
        <f t="shared" si="1"/>
        <v>0</v>
      </c>
      <c r="G44" s="19">
        <f t="shared" si="2"/>
        <v>0</v>
      </c>
      <c r="H44" s="19">
        <f t="shared" si="3"/>
        <v>0</v>
      </c>
    </row>
    <row r="45" spans="1:8" ht="12.75">
      <c r="A45" t="s">
        <v>117</v>
      </c>
      <c r="B45" s="42">
        <v>103340.12826471345</v>
      </c>
      <c r="C45" s="42">
        <v>12223.234399649276</v>
      </c>
      <c r="D45" s="42">
        <v>3722.362696053229</v>
      </c>
      <c r="E45" s="42">
        <v>0</v>
      </c>
      <c r="F45" s="19">
        <f t="shared" si="1"/>
        <v>0.0696950096105879</v>
      </c>
      <c r="G45" s="19">
        <f t="shared" si="2"/>
        <v>0.006768576976232061</v>
      </c>
      <c r="H45" s="19">
        <f t="shared" si="3"/>
        <v>0.12259954445132892</v>
      </c>
    </row>
    <row r="46" spans="1:8" ht="12.75">
      <c r="A46" t="s">
        <v>118</v>
      </c>
      <c r="B46" s="42">
        <v>0</v>
      </c>
      <c r="C46" s="42">
        <v>0</v>
      </c>
      <c r="D46" s="42">
        <v>0</v>
      </c>
      <c r="E46" s="42">
        <v>0</v>
      </c>
      <c r="F46" s="19">
        <f t="shared" si="1"/>
        <v>0</v>
      </c>
      <c r="G46" s="19">
        <f t="shared" si="2"/>
        <v>0</v>
      </c>
      <c r="H46" s="19">
        <f t="shared" si="3"/>
        <v>0</v>
      </c>
    </row>
    <row r="47" spans="1:8" ht="12.75">
      <c r="A47" t="s">
        <v>119</v>
      </c>
      <c r="B47" s="42">
        <v>249225.6295512974</v>
      </c>
      <c r="C47" s="42">
        <v>28972.042743366623</v>
      </c>
      <c r="D47" s="42">
        <v>1403.2754221180894</v>
      </c>
      <c r="E47" s="42">
        <v>0</v>
      </c>
      <c r="F47" s="19">
        <f t="shared" si="1"/>
        <v>0.16808361803353386</v>
      </c>
      <c r="G47" s="19">
        <f t="shared" si="2"/>
        <v>0.01604317605762262</v>
      </c>
      <c r="H47" s="19">
        <f t="shared" si="3"/>
        <v>0.046218206429437074</v>
      </c>
    </row>
    <row r="48" spans="1:8" ht="12.75">
      <c r="A48" t="s">
        <v>120</v>
      </c>
      <c r="B48" s="42">
        <v>0</v>
      </c>
      <c r="C48" s="42">
        <v>0</v>
      </c>
      <c r="D48" s="42">
        <v>0</v>
      </c>
      <c r="E48" s="42">
        <v>0</v>
      </c>
      <c r="F48" s="19">
        <f t="shared" si="1"/>
        <v>0</v>
      </c>
      <c r="G48" s="19">
        <f t="shared" si="2"/>
        <v>0</v>
      </c>
      <c r="H48" s="19">
        <f t="shared" si="3"/>
        <v>0</v>
      </c>
    </row>
    <row r="49" spans="1:8" ht="12.75">
      <c r="A49" t="s">
        <v>121</v>
      </c>
      <c r="B49" s="42">
        <v>381588.36388230184</v>
      </c>
      <c r="C49" s="42">
        <v>25044.775479500066</v>
      </c>
      <c r="D49" s="42">
        <v>1749.652652616751</v>
      </c>
      <c r="E49" s="42">
        <v>0</v>
      </c>
      <c r="F49" s="19">
        <f t="shared" si="1"/>
        <v>0.257352154817739</v>
      </c>
      <c r="G49" s="19">
        <f t="shared" si="2"/>
        <v>0.013868464364089214</v>
      </c>
      <c r="H49" s="19">
        <f t="shared" si="3"/>
        <v>0.05762646890543778</v>
      </c>
    </row>
    <row r="50" spans="2:8" ht="12.75">
      <c r="B50" s="10">
        <f>SUM(B35,B37,B39,B41:B49)</f>
        <v>1482747.8874328795</v>
      </c>
      <c r="C50" s="10">
        <f>SUM(C35,C37,C39,C41:C49)</f>
        <v>1805879.499128297</v>
      </c>
      <c r="D50" s="10">
        <f>SUM(D35,D37,D39,D41:D49)</f>
        <v>30361.961887476493</v>
      </c>
      <c r="E50" s="10">
        <f>SUM(E35,E37,E39,E41:E49)</f>
        <v>12947.875845191065</v>
      </c>
      <c r="F50" s="20">
        <f>SUM(F35:F49)</f>
        <v>1</v>
      </c>
      <c r="G50" s="20">
        <f>SUM(G35:G49)</f>
        <v>1</v>
      </c>
      <c r="H50" s="20">
        <f>SUM(H35:H49)</f>
        <v>1</v>
      </c>
    </row>
    <row r="52" spans="2:4" ht="12.75">
      <c r="B52" t="s">
        <v>125</v>
      </c>
      <c r="C52" t="s">
        <v>68</v>
      </c>
      <c r="D52" t="s">
        <v>69</v>
      </c>
    </row>
    <row r="53" spans="1:5" ht="12.75">
      <c r="A53" t="s">
        <v>107</v>
      </c>
      <c r="B53" s="8">
        <f>$B$17*F35</f>
        <v>1055195.6225878678</v>
      </c>
      <c r="C53" s="8">
        <f>$C$17*G35</f>
        <v>5280165.197860372</v>
      </c>
      <c r="D53" s="8">
        <f>$D$17*H35</f>
        <v>16219.303475453426</v>
      </c>
      <c r="E53" t="s">
        <v>126</v>
      </c>
    </row>
    <row r="54" spans="1:5" ht="12.75">
      <c r="A54" t="s">
        <v>109</v>
      </c>
      <c r="B54" s="8">
        <f>$B$17*F37</f>
        <v>499143.12419453263</v>
      </c>
      <c r="C54" s="8">
        <f>$C$17*G37</f>
        <v>1510654.35490735</v>
      </c>
      <c r="D54" s="8">
        <f>$D$17*H37</f>
        <v>2619.206371251431</v>
      </c>
      <c r="E54" t="s">
        <v>126</v>
      </c>
    </row>
    <row r="55" spans="1:5" ht="12.75">
      <c r="A55" t="s">
        <v>111</v>
      </c>
      <c r="B55" s="8">
        <f>$B$17*F39</f>
        <v>635817.9210563974</v>
      </c>
      <c r="C55" s="8">
        <f>$C$17*G39</f>
        <v>3756412.326913548</v>
      </c>
      <c r="D55" s="8">
        <f>$D$17*H39</f>
        <v>194131.19850018973</v>
      </c>
      <c r="E55" t="s">
        <v>126</v>
      </c>
    </row>
    <row r="56" spans="1:5" ht="12.75">
      <c r="A56" t="s">
        <v>113</v>
      </c>
      <c r="B56" s="8">
        <f>$B$17*F41</f>
        <v>694799.1039693442</v>
      </c>
      <c r="C56" s="8">
        <f>$C$17*G41</f>
        <v>2599508.792071772</v>
      </c>
      <c r="D56" s="8">
        <f>$D$17*H41</f>
        <v>32631.606814992763</v>
      </c>
      <c r="E56" t="s">
        <v>126</v>
      </c>
    </row>
    <row r="57" spans="1:4" ht="12.75">
      <c r="A57" t="s">
        <v>114</v>
      </c>
      <c r="B57" s="8">
        <f aca="true" t="shared" si="4" ref="B57:B64">$B$17*F42</f>
        <v>0</v>
      </c>
      <c r="C57" s="8">
        <f aca="true" t="shared" si="5" ref="C57:C64">$C$17*G42</f>
        <v>0</v>
      </c>
      <c r="D57" s="8">
        <f aca="true" t="shared" si="6" ref="D57:D64">$D$17*H42</f>
        <v>0</v>
      </c>
    </row>
    <row r="58" spans="1:5" ht="12.75">
      <c r="A58" t="s">
        <v>115</v>
      </c>
      <c r="B58" s="8">
        <f t="shared" si="4"/>
        <v>730093.0996276789</v>
      </c>
      <c r="C58" s="8">
        <f t="shared" si="5"/>
        <v>174504.4328402599</v>
      </c>
      <c r="D58" s="8">
        <f t="shared" si="6"/>
        <v>11822.910538241656</v>
      </c>
      <c r="E58" t="s">
        <v>127</v>
      </c>
    </row>
    <row r="59" spans="1:4" ht="12.75">
      <c r="A59" t="s">
        <v>116</v>
      </c>
      <c r="B59" s="8">
        <f t="shared" si="4"/>
        <v>0</v>
      </c>
      <c r="C59" s="8">
        <f t="shared" si="5"/>
        <v>0</v>
      </c>
      <c r="D59" s="8">
        <f t="shared" si="6"/>
        <v>0</v>
      </c>
    </row>
    <row r="60" spans="1:5" ht="12.75">
      <c r="A60" t="s">
        <v>117</v>
      </c>
      <c r="B60" s="8">
        <f t="shared" si="4"/>
        <v>499041.84506640356</v>
      </c>
      <c r="C60" s="8">
        <f t="shared" si="5"/>
        <v>93599.10855992611</v>
      </c>
      <c r="D60" s="8">
        <f t="shared" si="6"/>
        <v>40798.729204569165</v>
      </c>
      <c r="E60" t="s">
        <v>127</v>
      </c>
    </row>
    <row r="61" spans="1:4" ht="12.75">
      <c r="A61" t="s">
        <v>118</v>
      </c>
      <c r="B61" s="8">
        <f t="shared" si="4"/>
        <v>0</v>
      </c>
      <c r="C61" s="8">
        <f t="shared" si="5"/>
        <v>0</v>
      </c>
      <c r="D61" s="8">
        <f t="shared" si="6"/>
        <v>0</v>
      </c>
    </row>
    <row r="62" spans="1:5" ht="12.75">
      <c r="A62" t="s">
        <v>119</v>
      </c>
      <c r="B62" s="8">
        <f t="shared" si="4"/>
        <v>1203540.3874332546</v>
      </c>
      <c r="C62" s="8">
        <f t="shared" si="5"/>
        <v>221852.68524483187</v>
      </c>
      <c r="D62" s="8">
        <f t="shared" si="6"/>
        <v>15380.514641178515</v>
      </c>
      <c r="E62" t="s">
        <v>127</v>
      </c>
    </row>
    <row r="63" spans="1:4" ht="12.75">
      <c r="A63" t="s">
        <v>120</v>
      </c>
      <c r="B63" s="8">
        <f t="shared" si="4"/>
        <v>0</v>
      </c>
      <c r="C63" s="8">
        <f t="shared" si="5"/>
        <v>0</v>
      </c>
      <c r="D63" s="8">
        <f t="shared" si="6"/>
        <v>0</v>
      </c>
    </row>
    <row r="64" spans="1:5" ht="12.75">
      <c r="A64" t="s">
        <v>121</v>
      </c>
      <c r="B64" s="8">
        <f t="shared" si="4"/>
        <v>1842735.8700377953</v>
      </c>
      <c r="C64" s="8">
        <f t="shared" si="5"/>
        <v>191779.73540554568</v>
      </c>
      <c r="D64" s="8">
        <f t="shared" si="6"/>
        <v>19176.961141334785</v>
      </c>
      <c r="E64" t="s">
        <v>127</v>
      </c>
    </row>
    <row r="65" spans="2:4" ht="12.75">
      <c r="B65" s="8">
        <f>SUM(B53:B64)</f>
        <v>7160366.973973273</v>
      </c>
      <c r="C65" s="16">
        <f>SUM(C53:C64)</f>
        <v>13828476.633803606</v>
      </c>
      <c r="D65" s="16">
        <f>SUM(D53:D64)</f>
        <v>332780.4306872115</v>
      </c>
    </row>
  </sheetData>
  <printOptions horizontalCentered="1" verticalCentered="1"/>
  <pageMargins left="0.17" right="0.17" top="0.17" bottom="0.16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Postal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taufiqah</dc:creator>
  <cp:keywords/>
  <dc:description/>
  <cp:lastModifiedBy>rubindh</cp:lastModifiedBy>
  <cp:lastPrinted>2008-02-11T17:11:05Z</cp:lastPrinted>
  <dcterms:created xsi:type="dcterms:W3CDTF">2007-12-12T20:48:44Z</dcterms:created>
  <dcterms:modified xsi:type="dcterms:W3CDTF">2008-02-11T17:24:43Z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