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90" windowWidth="11865" windowHeight="3030" tabRatio="601" activeTab="0"/>
  </bookViews>
  <sheets>
    <sheet name="Contents" sheetId="1" r:id="rId1"/>
    <sheet name="Inputs" sheetId="2" r:id="rId2"/>
    <sheet name="Current SP Rates" sheetId="3" r:id="rId3"/>
    <sheet name="FY2005 Presort Billing Det." sheetId="4" r:id="rId4"/>
    <sheet name="FY2005 SP Billing Det." sheetId="5" r:id="rId5"/>
    <sheet name="FY2005 Single Piece Pounds" sheetId="6" r:id="rId6"/>
    <sheet name="Distribution Factors" sheetId="7" r:id="rId7"/>
    <sheet name="TYBR Pieces &amp; Pounds" sheetId="8" r:id="rId8"/>
    <sheet name="TY Cost Distribution" sheetId="9" r:id="rId9"/>
    <sheet name="TYBR Revenue" sheetId="10" r:id="rId10"/>
    <sheet name="Revenue Leakages" sheetId="11" r:id="rId11"/>
    <sheet name="Pound and Piece Charges" sheetId="12" r:id="rId12"/>
    <sheet name="Rate Adjustments" sheetId="13" r:id="rId13"/>
    <sheet name="Adjusted Rate Elements" sheetId="14" r:id="rId14"/>
    <sheet name="Rate Tables" sheetId="15" r:id="rId15"/>
    <sheet name="Rate Comparisons" sheetId="16" r:id="rId16"/>
    <sheet name="TYAR Pieces and Pounds" sheetId="17" r:id="rId17"/>
    <sheet name="TYAR Revenue Summary" sheetId="18" r:id="rId18"/>
    <sheet name="BPM Financials" sheetId="19" r:id="rId19"/>
  </sheets>
  <definedNames>
    <definedName name="_xlnm.Print_Area" localSheetId="2">'Current SP Rates'!$A$1:$J$28</definedName>
    <definedName name="_xlnm.Print_Area" localSheetId="1">'Inputs'!$A$1:$D$151</definedName>
    <definedName name="_xlnm.Print_Area" localSheetId="12">'Rate Adjustments'!$A$1:$N$108</definedName>
    <definedName name="_xlnm.Print_Area" localSheetId="10">'Revenue Leakages'!$A$1:$H$61</definedName>
    <definedName name="_xlnm.Print_Area" localSheetId="7">'TYBR Pieces &amp; Pounds'!$A$1:$Q$71</definedName>
  </definedNames>
  <calcPr fullCalcOnLoad="1"/>
</workbook>
</file>

<file path=xl/sharedStrings.xml><?xml version="1.0" encoding="utf-8"?>
<sst xmlns="http://schemas.openxmlformats.org/spreadsheetml/2006/main" count="2192" uniqueCount="1008">
  <si>
    <t xml:space="preserve">                                      [Mh] = sum of [Ma] to [Mg].</t>
  </si>
  <si>
    <t xml:space="preserve">          Calculation: [Ar] = (TYBR Pieces and Pounds Workpaper (WP-BPM-8),  [Eb] ) - [Aj] - [Ap] -[Aq];</t>
  </si>
  <si>
    <t xml:space="preserve">                                       Rows [s] to [u]:  [A] = (WP-BPM-8, column [E], rows [c] to [e]) - column [A], rows [k] to [n];</t>
  </si>
  <si>
    <t xml:space="preserve">          Calculation: [Ay] = sum of [Aj] to [Ax];</t>
  </si>
  <si>
    <t xml:space="preserve">          Calculation: Rows [j] to [q]:  [B] = (Pound and Piece Charges (WP-BPM-13), [Gy]) - (Revenue Leakages Workpaper (WP-BPM-12), cells [Dh] to [Dp] );</t>
  </si>
  <si>
    <t xml:space="preserve">          Calculation: Rows [j] to [x]: [C] = [A] * [B];</t>
  </si>
  <si>
    <t xml:space="preserve">                                      [Cy] = Sum of [Cj] to [Cx];</t>
  </si>
  <si>
    <t xml:space="preserve">          Source: Column [D]: Adjustments to preliminary per piece charges.</t>
  </si>
  <si>
    <t xml:space="preserve">          Calculation: Rows [j] to [x]: [E] = [A] * [D];</t>
  </si>
  <si>
    <t xml:space="preserve">                                      [Ey] = sum of [Ej] to [Ex].</t>
  </si>
  <si>
    <t>[5]    Source: Rows [j] to [q]: column [F]: (Pound and Piece Charges (WP-BPM-13),  [Dr] to [Dw]);</t>
  </si>
  <si>
    <t xml:space="preserve">          Calculation: [Fr] = (TYBR Pieces and Pounds Workpaper (WP-BPM-8),  [Qb] ) - [Fj] - [Fp] -[Fq];</t>
  </si>
  <si>
    <t xml:space="preserve">                                       Rows [s] to [u]:  [F] = (WP-BPM-8, column [Q], rows [c] to [e] ) - column [F], rows [k] to [n];</t>
  </si>
  <si>
    <t xml:space="preserve">          Calculation: [Fy] = sum of [Fj] to [Fx];</t>
  </si>
  <si>
    <t xml:space="preserve">          Source:  Rows [v] to [x], column [F]:  (WP-BPM-8, column [Q], rows [f] to [h]);</t>
  </si>
  <si>
    <t xml:space="preserve">          Source: Rows [r] to [x], column  [B]: (Pound and Piece Charges (WP-BPM-13), [Gy]);</t>
  </si>
  <si>
    <t xml:space="preserve">          Source:  Rows [v] to [x], column  [A]:  (WP-BPM-8, column [E], rows [f] to [h]);</t>
  </si>
  <si>
    <t>[4]    Source: Rows [j] to [q], column [A]: (Revenue Leakages Workpaper (WP-BPM-12),  [Ah] to [Ap]);</t>
  </si>
  <si>
    <t xml:space="preserve">        Calculation: Rows [aa] to [gg] and rows [jj] to [qq]: [F] = [D] * [E];</t>
  </si>
  <si>
    <t xml:space="preserve">        Calculation: Rows [aa] to [gg] and rows [jj] to [qq]: [C] = [A] * [B];</t>
  </si>
  <si>
    <t xml:space="preserve">                          [Fhh] = Sum of [Faa] to [Fgg];</t>
  </si>
  <si>
    <t xml:space="preserve">                          [Frr] = Sum of [Fjj] to [Fqq].</t>
  </si>
  <si>
    <t>[8]    Calculation: Rows [aa] to [gg] and rows [jj] to [qq]: [G] = [C] + [F];</t>
  </si>
  <si>
    <t xml:space="preserve">                          [Ghh] = Sum of [Gaa] to [Ggg];</t>
  </si>
  <si>
    <t xml:space="preserve">                          [Grr] = Sum of [Gjj] to [Gqq].</t>
  </si>
  <si>
    <t xml:space="preserve">        Calculation: [Drr] = Sum of [Djj] to [Dqq];</t>
  </si>
  <si>
    <t xml:space="preserve">        Calculation: [Dhh] = Sum of [Daa] to [Dgg];</t>
  </si>
  <si>
    <t xml:space="preserve">        Source:  Rows [jj] to [nn], column [D]: Distribution of Transportation Costs Workpaper (WP-BPM-9), column [C], rows [a] to [d];</t>
  </si>
  <si>
    <t>[7]    Source:  Rows [aa] to [gg], column [D]: Distribution of Transportation Costs Workpaper (WP-BPM-9), column [B];</t>
  </si>
  <si>
    <t xml:space="preserve">                     [Dpp]: Distribution of Transportation Costs Workpaper (WP-BPM-9), cell [Da];</t>
  </si>
  <si>
    <t xml:space="preserve">                     [Dqq]: Distribution of Transportation Costs Workpaper (WP-BPM-9), cell [Ea];</t>
  </si>
  <si>
    <r>
      <t>Calculated Revenue Before Discounts</t>
    </r>
    <r>
      <rPr>
        <vertAlign val="superscript"/>
        <sz val="12"/>
        <rFont val="Arial"/>
        <family val="2"/>
      </rPr>
      <t>[9]</t>
    </r>
  </si>
  <si>
    <r>
      <t>Adjusted Revenue Before Discounts</t>
    </r>
    <r>
      <rPr>
        <vertAlign val="superscript"/>
        <sz val="12"/>
        <rFont val="Arial"/>
        <family val="2"/>
      </rPr>
      <t>[10]</t>
    </r>
  </si>
  <si>
    <r>
      <t xml:space="preserve">   Carrier Route Discount</t>
    </r>
    <r>
      <rPr>
        <vertAlign val="superscript"/>
        <sz val="12"/>
        <rFont val="Arial"/>
        <family val="2"/>
      </rPr>
      <t>[11]</t>
    </r>
  </si>
  <si>
    <r>
      <t>TYBR Adjusted Presort Revenue</t>
    </r>
    <r>
      <rPr>
        <vertAlign val="superscript"/>
        <sz val="12"/>
        <rFont val="Arial"/>
        <family val="2"/>
      </rPr>
      <t>[13]</t>
    </r>
  </si>
  <si>
    <t>[9]    Calculation: [Ghh] + [Grr].</t>
  </si>
  <si>
    <t>[10]  Calculation: Row [ss] * (Inputs Workpaper (WP-BPM-1), Input [5] ).</t>
  </si>
  <si>
    <r>
      <t>Per Piece</t>
    </r>
    <r>
      <rPr>
        <b/>
        <vertAlign val="superscript"/>
        <sz val="12"/>
        <color indexed="8"/>
        <rFont val="Arial"/>
        <family val="2"/>
      </rPr>
      <t>[2]</t>
    </r>
  </si>
  <si>
    <r>
      <t>through</t>
    </r>
    <r>
      <rPr>
        <b/>
        <vertAlign val="superscript"/>
        <sz val="12"/>
        <color indexed="8"/>
        <rFont val="Arial"/>
        <family val="2"/>
      </rPr>
      <t>[3]</t>
    </r>
  </si>
  <si>
    <r>
      <t>Per Piece</t>
    </r>
    <r>
      <rPr>
        <b/>
        <vertAlign val="superscript"/>
        <sz val="12"/>
        <color indexed="8"/>
        <rFont val="Arial"/>
        <family val="2"/>
      </rPr>
      <t>[4]</t>
    </r>
  </si>
  <si>
    <r>
      <t xml:space="preserve">Revenue </t>
    </r>
    <r>
      <rPr>
        <b/>
        <vertAlign val="superscript"/>
        <sz val="12"/>
        <color indexed="8"/>
        <rFont val="Arial"/>
        <family val="2"/>
      </rPr>
      <t>[5]</t>
    </r>
  </si>
  <si>
    <t>[1]    Source:  [Aa]: TYBR Pieces and Pounds workpaper (WP-BPM-8), cell [Ca];</t>
  </si>
  <si>
    <t xml:space="preserve">        Calculation:  [Ab] = (TYBR Pieces and Pounds workpaper (WP-BPM-8),  [Ga] + [Ka] );</t>
  </si>
  <si>
    <t xml:space="preserve">        Source:  [Ac]: TYBR Pieces and Pounds workpaper (WP-BPM-8), cell [Ja];</t>
  </si>
  <si>
    <t xml:space="preserve">                           Rows [h] to [p]: column [A] = (TYBR Pieces and Pounds workpaper (WP-BPM-8), cell [Ea]) * </t>
  </si>
  <si>
    <t>[3]    Source:  Column [C]: Exogenous adjustment</t>
  </si>
  <si>
    <t>[4]    Calculation:  [D] = [B] * [C];</t>
  </si>
  <si>
    <t>[5]    Calculation:  Rows [a] to [p]: [E] =  [A] * [D];</t>
  </si>
  <si>
    <t xml:space="preserve">                           [Eq] = Sum of [Ea], [Ed], [Ef];</t>
  </si>
  <si>
    <t xml:space="preserve">                           [Er] = Sum of [Eb], [Ec], [Ee] and [Eg] to [Ep].</t>
  </si>
  <si>
    <r>
      <t xml:space="preserve">Markup </t>
    </r>
    <r>
      <rPr>
        <b/>
        <vertAlign val="superscript"/>
        <sz val="12"/>
        <color indexed="8"/>
        <rFont val="Arial"/>
        <family val="2"/>
      </rPr>
      <t>[4]</t>
    </r>
  </si>
  <si>
    <r>
      <t xml:space="preserve">Charge </t>
    </r>
    <r>
      <rPr>
        <b/>
        <vertAlign val="superscript"/>
        <sz val="12"/>
        <color indexed="8"/>
        <rFont val="Arial"/>
        <family val="2"/>
      </rPr>
      <t>[5]</t>
    </r>
  </si>
  <si>
    <r>
      <t xml:space="preserve">Costs </t>
    </r>
    <r>
      <rPr>
        <b/>
        <vertAlign val="superscript"/>
        <sz val="12"/>
        <color indexed="8"/>
        <rFont val="Arial"/>
        <family val="2"/>
      </rPr>
      <t>[6]</t>
    </r>
  </si>
  <si>
    <r>
      <t xml:space="preserve">Leakages </t>
    </r>
    <r>
      <rPr>
        <b/>
        <vertAlign val="superscript"/>
        <sz val="12"/>
        <color indexed="8"/>
        <rFont val="Arial"/>
        <family val="2"/>
      </rPr>
      <t>[7]</t>
    </r>
  </si>
  <si>
    <r>
      <t>Pieces</t>
    </r>
    <r>
      <rPr>
        <b/>
        <vertAlign val="superscript"/>
        <sz val="12"/>
        <color indexed="8"/>
        <rFont val="Arial"/>
        <family val="2"/>
      </rPr>
      <t xml:space="preserve"> [8]</t>
    </r>
  </si>
  <si>
    <r>
      <t xml:space="preserve">Piece </t>
    </r>
    <r>
      <rPr>
        <b/>
        <vertAlign val="superscript"/>
        <sz val="12"/>
        <color indexed="8"/>
        <rFont val="Arial"/>
        <family val="2"/>
      </rPr>
      <t>[9]</t>
    </r>
  </si>
  <si>
    <r>
      <t xml:space="preserve">Per Piece </t>
    </r>
    <r>
      <rPr>
        <b/>
        <vertAlign val="superscript"/>
        <sz val="12"/>
        <color indexed="8"/>
        <rFont val="Arial"/>
        <family val="2"/>
      </rPr>
      <t>[10]</t>
    </r>
  </si>
  <si>
    <r>
      <t xml:space="preserve">Charge </t>
    </r>
    <r>
      <rPr>
        <b/>
        <vertAlign val="superscript"/>
        <sz val="12"/>
        <color indexed="8"/>
        <rFont val="Arial"/>
        <family val="2"/>
      </rPr>
      <t>[11]</t>
    </r>
  </si>
  <si>
    <t xml:space="preserve">                        Rows [a] to [g]: WP-BPM-9, cells [Fa] to [Fg];</t>
  </si>
  <si>
    <t xml:space="preserve">                        Rows [r] to [u]: WP-BPM-9, cells [Ja] to [Jd];</t>
  </si>
  <si>
    <t xml:space="preserve">                        Rows [h] to [q]: WP-BPM-9, cells [Ha] to [Hg];</t>
  </si>
  <si>
    <t xml:space="preserve">                        Row [v]: WP-BPM-9, cell [Ka];</t>
  </si>
  <si>
    <t xml:space="preserve">                        Row [w]: WP-BPM-9, cell [Ma];</t>
  </si>
  <si>
    <t xml:space="preserve">                        Rows [a] to [g]: (WP-BPM-10), cells [Cb] to [Ch];</t>
  </si>
  <si>
    <t xml:space="preserve">                        Rows [h] to [q]: (WP-BPM-10), cells [Fb] to [Fh];</t>
  </si>
  <si>
    <t xml:space="preserve">        Calculation:  [Br] = (WP-BPM-9, cell [Ca]/(Sum of cells [Ch] to [Eh]) ) * (WP-BPM-10, cell [Ea] );</t>
  </si>
  <si>
    <t xml:space="preserve">        Source: Column [B], rows [s] to [u]: (WP-BPM-10, cells [Ec] to [Ee] );</t>
  </si>
  <si>
    <t xml:space="preserve">        Calculation:  [Bv] = (WP-BPM-9, cell [Da]/(Sum of cells [Ch] to [Eh]) ) * (WP-BPM-10, cell [Ea] );</t>
  </si>
  <si>
    <t xml:space="preserve">                           [Bw] = (WP-BPM-9, cell [Ea]/(Sum of cells [Ch] to [Eh]) ) * (WP-BPM-10, cell [Ea] );</t>
  </si>
  <si>
    <t xml:space="preserve">                           Rows [a] to [w]: [C]  =  [A] + [B].</t>
  </si>
  <si>
    <t xml:space="preserve">[7]    Calculation:  Total Non-Transportation Non-Weight-Related Costs are apportioned between single piece (cell [Ha]) and presort (cell [Ja]), based on  total pieces, </t>
  </si>
  <si>
    <t>[z]</t>
  </si>
  <si>
    <t>[xx]</t>
  </si>
  <si>
    <t>[yy]</t>
  </si>
  <si>
    <t>[zz]</t>
  </si>
  <si>
    <t>[aaa]</t>
  </si>
  <si>
    <t>[bbb]</t>
  </si>
  <si>
    <t>[ccc]</t>
  </si>
  <si>
    <t xml:space="preserve">                           [A] =  (WP-BPM-26, cell [Ba] ) * (WP-BPM-4, (columns [A] + [B])/cell [Jw] ) * (WP-BPM-16, Zones 1&amp;2 column );</t>
  </si>
  <si>
    <t xml:space="preserve">                           [B] =  (WP-BPM-26, cell [Ba] ) * (WP-BPM-4, (column [C])/cell [Jw] ) * (WP-BPM-16, Zone 3 column );</t>
  </si>
  <si>
    <t xml:space="preserve">                           [C] =  (WP-BPM-26, cell [Ba] ) * (WP-BPM-4, (column [D])/cell [Jw] ) * (WP-BPM-16, Zone 4 column );</t>
  </si>
  <si>
    <t xml:space="preserve">                           [D] =  (WP-BPM-26, cell [Ba] ) * (WP-BPM-4, (column [E])/cell [Jw] ) * (WP-BPM-16, Zone 5 column );</t>
  </si>
  <si>
    <t xml:space="preserve">                           [E] =  (WP-BPM-26, cell [Ba] ) * (WP-BPM-4, (column [F])/cell [Jw] ) * (WP-BPM-16, Zone 6 column );</t>
  </si>
  <si>
    <t xml:space="preserve">                           [F] =  (WP-BPM-26, cell [Ba] ) * (WP-BPM-4, (column [G])/cell [Jw] ) * (WP-BPM-16, Zone 7 column );</t>
  </si>
  <si>
    <t xml:space="preserve">                           [G] =  (WP-BPM-26, cell [Ba] ) * (WP-BPM-4, (column [H])/cell [Jw] ) * (WP-BPM-16, Zone 8 column ).</t>
  </si>
  <si>
    <r>
      <t>Adjusted Revenue Before Discounts/Differentials</t>
    </r>
    <r>
      <rPr>
        <vertAlign val="superscript"/>
        <sz val="12"/>
        <rFont val="Arial"/>
        <family val="2"/>
      </rPr>
      <t>[3]</t>
    </r>
  </si>
  <si>
    <r>
      <t>Discounts/Rate Differentials</t>
    </r>
    <r>
      <rPr>
        <vertAlign val="superscript"/>
        <sz val="12"/>
        <rFont val="Arial"/>
        <family val="2"/>
      </rPr>
      <t>[4]</t>
    </r>
  </si>
  <si>
    <r>
      <t>TYAR Adjusted Single Piece Revenue</t>
    </r>
    <r>
      <rPr>
        <vertAlign val="superscript"/>
        <sz val="12"/>
        <rFont val="Arial"/>
        <family val="2"/>
      </rPr>
      <t>[5]</t>
    </r>
  </si>
  <si>
    <t>[5]    Calculation:  Row [aa] =  Sum of rows [w] to [z].</t>
  </si>
  <si>
    <t>[6]    Calculation:  [Abb] =  (TYAR Pieces and Pounds Workpaper (WP-BPM-26), cell [Eb] ) - [Akk] - [Aqq] - [Arr];</t>
  </si>
  <si>
    <t xml:space="preserve">                           [Acc] =  (TYAR Pieces and Pounds Workpaper (WP-BPM-26), cell [Ec] ) - [Amm];</t>
  </si>
  <si>
    <t xml:space="preserve">                           [Add] =  (TYAR Pieces and Pounds Workpaper (WP-BPM-26), cell [Ed] ) - [Ann];</t>
  </si>
  <si>
    <t xml:space="preserve">                           [Aee] =  (TYAR Pieces and Pounds Workpaper (WP-BPM-26), cell [Ee] ) - [App];</t>
  </si>
  <si>
    <t xml:space="preserve">        Calculation:  [Ajj] =  Sum of [Abb] to [Ahh];</t>
  </si>
  <si>
    <t xml:space="preserve">        Source:  Rows [ff] to [hh]: column [A] =  (TYAR Pieces and Pounds Workpaper (WP-BPM-26), cells [Eff] to [Ehh]);</t>
  </si>
  <si>
    <t xml:space="preserve">                           [Ass] =  Sum of [Akk] to [Arr];</t>
  </si>
  <si>
    <t xml:space="preserve">        Source:  Rows [bb] to [hh], column [B]:  (Adjusted Rate Elements Workpaper (WP-BPM-15), cell [Ac]);</t>
  </si>
  <si>
    <t xml:space="preserve">                     Rows [kk] to [pp], column [B]:  (Adjusted Rate Elements Workpaper (WP-BPM-15), cell [Ad]);</t>
  </si>
  <si>
    <t xml:space="preserve">                     [Bqq]:  (Adjusted Rate Elements Workpaper (WP-BPM-15), cell [Ae]);</t>
  </si>
  <si>
    <t xml:space="preserve">                     [Brr]:  (Adjusted Rate Elements Workpaper (WP-BPM-15), cell [Af]);</t>
  </si>
  <si>
    <t xml:space="preserve">        Calculation:  Rows [bb] to [hh]: [C] = [A] * [B];</t>
  </si>
  <si>
    <t xml:space="preserve">                           Rows [kk] to [rr]: [C] = [A] * [B];</t>
  </si>
  <si>
    <t xml:space="preserve">                           [Css] = Sum of [Ckk] to [Crr].</t>
  </si>
  <si>
    <t xml:space="preserve">                           [Cjj] = Sum of [Cbb] to [Chh];</t>
  </si>
  <si>
    <r>
      <t xml:space="preserve">Revenue </t>
    </r>
    <r>
      <rPr>
        <b/>
        <vertAlign val="superscript"/>
        <sz val="12"/>
        <rFont val="Arial"/>
        <family val="2"/>
      </rPr>
      <t>[8]</t>
    </r>
  </si>
  <si>
    <r>
      <t>Discounts/Rate Differentials</t>
    </r>
    <r>
      <rPr>
        <vertAlign val="superscript"/>
        <sz val="12"/>
        <rFont val="Arial"/>
        <family val="2"/>
      </rPr>
      <t>[11]</t>
    </r>
  </si>
  <si>
    <r>
      <t>TYAR Adjusted Presort Revenue</t>
    </r>
    <r>
      <rPr>
        <vertAlign val="superscript"/>
        <sz val="12"/>
        <rFont val="Arial"/>
        <family val="2"/>
      </rPr>
      <t>[12]</t>
    </r>
  </si>
  <si>
    <r>
      <t>Total TYAR Net Revenue Before Fees</t>
    </r>
    <r>
      <rPr>
        <vertAlign val="superscript"/>
        <sz val="12"/>
        <rFont val="Arial"/>
        <family val="2"/>
      </rPr>
      <t>[13]</t>
    </r>
  </si>
  <si>
    <r>
      <t>Total TYAR Net Revenue With Fees</t>
    </r>
    <r>
      <rPr>
        <vertAlign val="superscript"/>
        <sz val="12"/>
        <rFont val="Arial"/>
        <family val="2"/>
      </rPr>
      <t>[15]</t>
    </r>
  </si>
  <si>
    <r>
      <t>Total Fees</t>
    </r>
    <r>
      <rPr>
        <vertAlign val="superscript"/>
        <sz val="12"/>
        <rFont val="Arial"/>
        <family val="2"/>
      </rPr>
      <t>[14]</t>
    </r>
  </si>
  <si>
    <t xml:space="preserve">    Non-Dropship Mail Unit Transportation Costs ($/Pound)</t>
  </si>
  <si>
    <t xml:space="preserve">          Non-dropship Mail </t>
  </si>
  <si>
    <t xml:space="preserve">                           [Djj] = Sum of [Dbb] to [Dhh];</t>
  </si>
  <si>
    <t xml:space="preserve">                           Rows [b] to [h]: [M] = [J] - [K];</t>
  </si>
  <si>
    <t xml:space="preserve">        Calculation:  [Pa] = [Ba] * (Pounds Distribution Factors Workpaper (WP-BPM-6), [Aj]) / (Pieces Distribution Factors Workpaper (WP-BPM-7), [Aj]);</t>
  </si>
  <si>
    <t xml:space="preserve">                           [Qa] = [Ea] * (Pounds Distribution Factors Workpaper (WP-BPM-6), [Bj]) / (Pieces Distribution Factors Workpaper (WP-BPM-7), [Bj] + [Cj]);</t>
  </si>
  <si>
    <t xml:space="preserve">                           [Pb] = [Pa] * (Pounds Distribution Factors Workpaper (WP-BPM-6), [Da] + [Db]);</t>
  </si>
  <si>
    <t xml:space="preserve">                           [Qb] = [Qa] * (Pounds Distribution Factors Workpaper (WP-BPM-6), [Ea] + [Eb]);</t>
  </si>
  <si>
    <t xml:space="preserve">                           Rows [c] to [h]: [P] = [Pa] * (Pounds Distribution Factors Workpaper (WP-BPM-6), cells [Dc] to [Dh]);</t>
  </si>
  <si>
    <t xml:space="preserve">                           Rows [c] to [h]: [Q] = [Qa] * (Pounds Distribution Factors Workpaper (WP-BPM-6), cells [Ec] to [Eh]);</t>
  </si>
  <si>
    <t xml:space="preserve">                           [N] = [P] + [Q].</t>
  </si>
  <si>
    <r>
      <t xml:space="preserve"> Barcode Discount </t>
    </r>
    <r>
      <rPr>
        <vertAlign val="superscript"/>
        <sz val="12"/>
        <rFont val="Arial"/>
        <family val="2"/>
      </rPr>
      <t>[2]</t>
    </r>
  </si>
  <si>
    <t>Adjustment of Preliminary Rates</t>
  </si>
  <si>
    <t xml:space="preserve">    Presort</t>
  </si>
  <si>
    <t xml:space="preserve">  DBMC</t>
  </si>
  <si>
    <t xml:space="preserve">  Basic Presort</t>
  </si>
  <si>
    <t>Current Rates Per Piece (All Zones)</t>
  </si>
  <si>
    <t xml:space="preserve">  DSCF</t>
  </si>
  <si>
    <t xml:space="preserve">  DDU</t>
  </si>
  <si>
    <t xml:space="preserve">  Presort (Basic and Carrier Route)</t>
  </si>
  <si>
    <t>Current Single Piece Bound Printed Matter Rates</t>
  </si>
  <si>
    <t>0.0 - 1.5</t>
  </si>
  <si>
    <t>[2]    Calculation: Single piece and presort pounds are calculated from forecast volumes (cells [Ba] and [Ea]) based on pounds per piece data from WP-BPM-6 and WP-BPM-7 workpapers;</t>
  </si>
  <si>
    <t>Calculation:  Column total pounds are apportioned to zones based on the Pounds Distribution Factors workpaper (WP-BPM-6), (columns [D] and [E]).</t>
  </si>
  <si>
    <t>10.0-11.0</t>
  </si>
  <si>
    <t>11.0-12.0</t>
  </si>
  <si>
    <t>12.0-13.0</t>
  </si>
  <si>
    <t>13.0-14.0</t>
  </si>
  <si>
    <t>14.0-15.0</t>
  </si>
  <si>
    <t xml:space="preserve">    Parcel/Flats Cost Differential</t>
  </si>
  <si>
    <t xml:space="preserve">   Flats Rate Differential</t>
  </si>
  <si>
    <t xml:space="preserve">   Barcode Discounts</t>
  </si>
  <si>
    <t xml:space="preserve">      Flats</t>
  </si>
  <si>
    <t xml:space="preserve">      Parcels</t>
  </si>
  <si>
    <t>Basic Presort</t>
  </si>
  <si>
    <t>Carrier Route Presort</t>
  </si>
  <si>
    <t>Per</t>
  </si>
  <si>
    <t>Presort Weight-Related Costs</t>
  </si>
  <si>
    <t>Drop-</t>
  </si>
  <si>
    <t>Non-Drop-</t>
  </si>
  <si>
    <t xml:space="preserve">    Origin Entry</t>
  </si>
  <si>
    <t>[a]</t>
  </si>
  <si>
    <t>[b]</t>
  </si>
  <si>
    <t>[c]</t>
  </si>
  <si>
    <t>[d]</t>
  </si>
  <si>
    <t>[e]</t>
  </si>
  <si>
    <t>[f]</t>
  </si>
  <si>
    <t>[g]</t>
  </si>
  <si>
    <t>[h]</t>
  </si>
  <si>
    <t>[j]</t>
  </si>
  <si>
    <t>[k]</t>
  </si>
  <si>
    <t>[m]</t>
  </si>
  <si>
    <t>[n]</t>
  </si>
  <si>
    <t>[A]</t>
  </si>
  <si>
    <t>[B]</t>
  </si>
  <si>
    <t>[C]</t>
  </si>
  <si>
    <t>[D]</t>
  </si>
  <si>
    <t>[E]</t>
  </si>
  <si>
    <t>[F]</t>
  </si>
  <si>
    <t>[G]</t>
  </si>
  <si>
    <t>[H]</t>
  </si>
  <si>
    <t>[J]</t>
  </si>
  <si>
    <t>[K]</t>
  </si>
  <si>
    <t>[p]</t>
  </si>
  <si>
    <t>[q]</t>
  </si>
  <si>
    <t>etc.,</t>
  </si>
  <si>
    <t>[r]</t>
  </si>
  <si>
    <t>[s]</t>
  </si>
  <si>
    <r>
      <t xml:space="preserve">RPW Data </t>
    </r>
    <r>
      <rPr>
        <b/>
        <vertAlign val="superscript"/>
        <sz val="12"/>
        <rFont val="Arial"/>
        <family val="2"/>
      </rPr>
      <t xml:space="preserve"> [1]</t>
    </r>
  </si>
  <si>
    <r>
      <t xml:space="preserve">Calculated Total Pounds </t>
    </r>
    <r>
      <rPr>
        <b/>
        <vertAlign val="superscript"/>
        <sz val="12"/>
        <rFont val="Arial"/>
        <family val="2"/>
      </rPr>
      <t>[2]</t>
    </r>
  </si>
  <si>
    <r>
      <t xml:space="preserve">Total </t>
    </r>
    <r>
      <rPr>
        <b/>
        <vertAlign val="superscript"/>
        <sz val="12"/>
        <rFont val="Arial"/>
        <family val="2"/>
      </rPr>
      <t>[3]</t>
    </r>
  </si>
  <si>
    <r>
      <t>Total</t>
    </r>
    <r>
      <rPr>
        <vertAlign val="superscript"/>
        <sz val="12"/>
        <color indexed="8"/>
        <rFont val="Arial"/>
        <family val="2"/>
      </rPr>
      <t xml:space="preserve"> </t>
    </r>
    <r>
      <rPr>
        <b/>
        <vertAlign val="superscript"/>
        <sz val="12"/>
        <color indexed="8"/>
        <rFont val="Arial"/>
        <family val="2"/>
      </rPr>
      <t>[4]</t>
    </r>
  </si>
  <si>
    <r>
      <t xml:space="preserve">Adjustment Factor to convert calculated pounds to RPW pounds:  </t>
    </r>
    <r>
      <rPr>
        <b/>
        <vertAlign val="superscript"/>
        <sz val="12"/>
        <color indexed="8"/>
        <rFont val="Arial"/>
        <family val="2"/>
      </rPr>
      <t>[5]</t>
    </r>
  </si>
  <si>
    <t>[t]</t>
  </si>
  <si>
    <t>Calculation:  Number of pieces times the upper weight in each weight range.  Examples:</t>
  </si>
  <si>
    <r>
      <t xml:space="preserve">Total </t>
    </r>
    <r>
      <rPr>
        <b/>
        <vertAlign val="superscript"/>
        <sz val="12"/>
        <color indexed="8"/>
        <rFont val="Arial"/>
        <family val="2"/>
      </rPr>
      <t>[3]</t>
    </r>
  </si>
  <si>
    <r>
      <t>Pounds</t>
    </r>
    <r>
      <rPr>
        <b/>
        <vertAlign val="superscript"/>
        <sz val="12"/>
        <color indexed="8"/>
        <rFont val="Arial"/>
        <family val="2"/>
      </rPr>
      <t xml:space="preserve"> [1]</t>
    </r>
  </si>
  <si>
    <t xml:space="preserve">                   Cell [Fj] = sum of [Fa] to [Fh].</t>
  </si>
  <si>
    <t>Calculation:  Column [C] = column [A] + column [B].</t>
  </si>
  <si>
    <r>
      <t xml:space="preserve">Pieces </t>
    </r>
    <r>
      <rPr>
        <b/>
        <vertAlign val="superscript"/>
        <sz val="12"/>
        <color indexed="8"/>
        <rFont val="Arial"/>
        <family val="2"/>
      </rPr>
      <t>[1]</t>
    </r>
  </si>
  <si>
    <r>
      <t>Factors</t>
    </r>
    <r>
      <rPr>
        <b/>
        <vertAlign val="superscript"/>
        <sz val="12"/>
        <color indexed="8"/>
        <rFont val="Arial"/>
        <family val="2"/>
      </rPr>
      <t xml:space="preserve"> [2]</t>
    </r>
  </si>
  <si>
    <r>
      <t>Factors</t>
    </r>
    <r>
      <rPr>
        <b/>
        <vertAlign val="superscript"/>
        <sz val="12"/>
        <color indexed="8"/>
        <rFont val="Arial"/>
        <family val="2"/>
      </rPr>
      <t xml:space="preserve"> [3]</t>
    </r>
  </si>
  <si>
    <r>
      <t>Factors</t>
    </r>
    <r>
      <rPr>
        <b/>
        <vertAlign val="superscript"/>
        <sz val="12"/>
        <color indexed="8"/>
        <rFont val="Arial"/>
        <family val="2"/>
      </rPr>
      <t xml:space="preserve"> [4]</t>
    </r>
  </si>
  <si>
    <t xml:space="preserve">                                                            [d]: [J] = [C] * (Inputs Workpaper, (WP-BPM-1), inputs [11m]) * (0.6979294); Transportation Cost Multiplier = 0.6979294</t>
  </si>
  <si>
    <t>[10]    Calculation: [Ka] = [Da] * (Inputs Workpaper, (WP-BPM-1), Input [11n]);</t>
  </si>
  <si>
    <t>[11]    Calculation: [Ma] = [Ea] * (Inputs Workpaper, (WP-BPM-1), Input [11p]);</t>
  </si>
  <si>
    <t xml:space="preserve">[1]    Calculation:  [Aa] = Inputs Workpaper (WP-BPM-1), Input [10] - (TY Transportation Costs Workpaper (WP-BPM-9), [Fh] + [Gh] ). </t>
  </si>
  <si>
    <t>[2]    Calculation:  [Ba] = (Inputs Workpaper (WP-BPM-1), Input [12a]) * (TYBR Pieces and Pounds Workpaper (WP-BPM-8), cell [Na]);</t>
  </si>
  <si>
    <t xml:space="preserve">                                  [yy] =  Sum of [ss] to [xx]</t>
  </si>
  <si>
    <t>[13]                           [zz] = [yy] * (Inputs Workpaper (WP-BPM-Q), Input [4])</t>
  </si>
  <si>
    <t xml:space="preserve">        Source:   Rows [aa] to [gg], column [E]: Inputs Workpaper (WP-BPM-1), Inputs [18a] to [18g];</t>
  </si>
  <si>
    <r>
      <t xml:space="preserve">   Parcel Barcode Discount</t>
    </r>
    <r>
      <rPr>
        <vertAlign val="superscript"/>
        <sz val="12"/>
        <rFont val="Arial"/>
        <family val="2"/>
      </rPr>
      <t>[3]</t>
    </r>
  </si>
  <si>
    <r>
      <t xml:space="preserve">Flat Differential </t>
    </r>
    <r>
      <rPr>
        <vertAlign val="superscript"/>
        <sz val="12"/>
        <rFont val="Arial"/>
        <family val="2"/>
      </rPr>
      <t>[4]</t>
    </r>
  </si>
  <si>
    <t>[zzz]</t>
  </si>
  <si>
    <t xml:space="preserve">          Calculaton:  [z] = Sum of row [v] and row [y].</t>
  </si>
  <si>
    <t>[5]    Calculaton:  [zzz] = [z] * (Inputs Workpaper (WP-BPM-1), [3])</t>
  </si>
  <si>
    <t xml:space="preserve">                          Rows [jj] to [qq]: [A] = (TYBR Pieces and Pounds Workpaper (WP-BPM-8), cell [Ea] ) * (Inputs Workpaper (WP-BPM-1), Inputs [8a] to [8f] );</t>
  </si>
  <si>
    <t xml:space="preserve">         Source:  Column [B], rows [aa] to [gg]: Inputs Workpaper (WP-BPM-1), Input [19a];</t>
  </si>
  <si>
    <t xml:space="preserve">                      Column [B], rows [jj] to [mm]: Inputs Workpaper (WP-BPM-1), Input [19b];</t>
  </si>
  <si>
    <t xml:space="preserve">                      Cell [Bpp]: Inputs Workpaper (WP-BPM-1), Input [19c];</t>
  </si>
  <si>
    <t xml:space="preserve">                      Cell [Bqq]: Inputs Workpaper (WP-BPM-1), Input [19d];</t>
  </si>
  <si>
    <t xml:space="preserve">        Calculation:  [Ad] = (TYBR Pieces and Pounds workpaper (WP-BPM-8), cell [Ba]) * (WP-BPM-1, Input [6a] );</t>
  </si>
  <si>
    <t xml:space="preserve">                           [Ae] = (TYBR Pieces and Pounds workpaper (WP-BPM-8), cell [Ea]) * (WP-BPM-1, Input [6b] );</t>
  </si>
  <si>
    <t xml:space="preserve">                           [Af] = (TYBR Pieces and Pounds workpaper (WP-BPM-8), cell [Ca]) * (WP-BPM-1, Input [6c] );</t>
  </si>
  <si>
    <t xml:space="preserve">                           [Ag] = (TYBR Pieces and Pounds workpaper (WP-BPM-8), [Ga] + [Ka]) * (WP-BPM-1, Input [6d] );</t>
  </si>
  <si>
    <t xml:space="preserve">                               (Inputs Workpaper (WP-BPM-1), Inputs [8a] to [8f]).</t>
  </si>
  <si>
    <t>[2]    Source:  [Ba], [Bb]:  Inputs Workpaper (WP-BPM-1), Input [12b];</t>
  </si>
  <si>
    <t xml:space="preserve">                     [Bc]:  Inputs Workpaper (WP-BPM-1), Input [13a];</t>
  </si>
  <si>
    <t xml:space="preserve">                     [Bd], [Be]:  Inputs Workpaper (WP-BPM-1), Input [13b];</t>
  </si>
  <si>
    <t xml:space="preserve">                     [Bf], [Bg]:  Inputs Workpaper (WP-BPM-1), Input [13c];</t>
  </si>
  <si>
    <t xml:space="preserve">                     [Bh] to [Bm]:  Inputs Workpaper (WP-BPM-1), Input [12c];</t>
  </si>
  <si>
    <t xml:space="preserve">        Calculation:  [Bn] = [Bh] +  (Inputs Workpaper (WP-BPM-1), Input [12d]);</t>
  </si>
  <si>
    <t xml:space="preserve">                           [Bp] = [Bn] +  (Inputs Workpaper (WP-BPM-1), Input [12e]).</t>
  </si>
  <si>
    <t>[4]    Calculation:  [F] = (Inputs Workpaper (WP-BPM-1), Input [2] - Adjustments);</t>
  </si>
  <si>
    <t xml:space="preserve">[1]    These amounts are correct for the corresponding weights.  </t>
  </si>
  <si>
    <t xml:space="preserve">[1]    These amounts are correct for the corresponding weights. </t>
  </si>
  <si>
    <t xml:space="preserve">                                     zoned rates for X pounds) / (Inputs Workpaper (WP-BPM-1), Input [19a] +</t>
  </si>
  <si>
    <t xml:space="preserve">                                     (Inputs Workpaper, (WP-BPM-1), Input [18]) * X pounds) - 1; (X = 1.5 to 15 pounds).</t>
  </si>
  <si>
    <t xml:space="preserve">                                     zoned DBMC rates for X pounds) / (Inputs Workpaper (WP-BPM-1), Input [19b] +</t>
  </si>
  <si>
    <t xml:space="preserve">                                     DSCF rates for X pounds) / (Inputs Workpaper (WP-BPM-1), Input [19c] +</t>
  </si>
  <si>
    <t xml:space="preserve">                                     (Inputs Workpaper, (WP-BPM-1), Input [18]) * X pounds) - 1; </t>
  </si>
  <si>
    <t xml:space="preserve">                                     DDU rates for X pounds) / (Inputs Workpaper (WP-BPM-1), Input [19d] +</t>
  </si>
  <si>
    <t xml:space="preserve">                                     zoned rates for X pounds) / (Inputs Workpaper (WP-BPM-1), Input [19a] - Input [20a] +</t>
  </si>
  <si>
    <t xml:space="preserve">                                     (Inputs Workpaper (WP-BPM-1), Input [19b] -Input [20a] +</t>
  </si>
  <si>
    <t xml:space="preserve">                                DSCF rates for X pounds) / (Inputs Workpaper (WP-BPM-1), Input [19c] - Input [20a] +</t>
  </si>
  <si>
    <t xml:space="preserve">                                (Inputs Workpaper, (WP-BPM-1), Input [18]) * X pounds) - 1; </t>
  </si>
  <si>
    <t xml:space="preserve">                                DDU rates for X pounds) / (Inputs Workpaper (WP-BPM-1), Input [19d] - Input [20a] +</t>
  </si>
  <si>
    <t>[1]    Source:  [Aa]: Inputs Workpaper (WP-BPM-1), Input [9];</t>
  </si>
  <si>
    <t xml:space="preserve">                           [Ca] = [Ba] * (Inputs Workpaper (WP-BPM-1), Input [7a] );</t>
  </si>
  <si>
    <t xml:space="preserve">                           [Ga] = [Fa] * (Inputs Workpaper (WP-BPM-1), Input [7b] );</t>
  </si>
  <si>
    <t xml:space="preserve">                           [Ka] = [Ja] * (Inputs Workpaper (WP-BPM-1), Input [7c] );</t>
  </si>
  <si>
    <t xml:space="preserve">                           Rows [b] to [h]: [C] = [B] * (Inputs Workpaper (WP-BPM-1), Input [7a] );</t>
  </si>
  <si>
    <t xml:space="preserve">                           Rows [b] to [h]: [G] = [F] * (Inputs Workpaper (WP-BPM-1), Input [7b] );</t>
  </si>
  <si>
    <t xml:space="preserve">                           Rows [b] to [h]: [K] = [J] * (Inputs Workpaper (WP-BPM-1), Input [7c] );</t>
  </si>
  <si>
    <t>[3]    Calculation: [w] = [v] * (Inputs Workpaper (WP-BPM-1), Input [3] ).</t>
  </si>
  <si>
    <t>[4]    Calculation:  [x] = - (TYAR Pieces and Pounds (WP-BPM-26), cell [Ca] ) * (Adjusted Rate Elements (WP-BPM-15), [Ab] - [Aa] );</t>
  </si>
  <si>
    <t>[3]    Calculation: [w] = -(TYBR Pieces and Pounds Workpaper (WP-BPM-8), Cell [Ba]) * (Inputs Workpaper (WP-BPM-1), Input [6a] * [20b]).</t>
  </si>
  <si>
    <t xml:space="preserve">                                    [x] = -(TYBR Pieces and Pounds Workpaper (WP-BPM-8), Cell [Ca]) * (Inputs Workpaper (WP-BPM-1), Input [6c] * [20b]).</t>
  </si>
  <si>
    <t>[4]    Calculation: [y] = -(TYBR Pieces and Pounds Workpaper (WP-BPM-8), Cell [Ca]) * (Inputs Workpaper (WP-BPM-1), [20c]).</t>
  </si>
  <si>
    <t>[11]  Calculation: [tt] = -(TYBR Pieces and Pounds Workpaper (WP-BPM-8), cell [Ja] ) * (Inputs Workpaper (WP-BPM-1), Input [20a] ).</t>
  </si>
  <si>
    <t>[12]  Calculation: [uu] = -(TYBR Pieces and Pounds Workpaper (WP-BPM-8), cell [Ea] ) * (Inputs Workpaper (WP-BPM-1), Input [20b] ) * (WP-BPM-1, Input [6b] ).</t>
  </si>
  <si>
    <t xml:space="preserve">                                  [ww] = -(TYBR Pieces and Pounds Workpaper (WP-BPM-8), cell [Ga] + [Ka]) * (Inputs Workpaper (WP-BPM-1), Input [20b] ) * (WP-BPM-1, Input [6d] ). </t>
  </si>
  <si>
    <t xml:space="preserve">                                  [xx] = -(TYBR Pieces and Pounds Workpaper (WP-BPM-8), cell [Ga] + [Ka]) * (Inputs Workpaper (WP-BPM-1), Input [20c] ) </t>
  </si>
  <si>
    <t xml:space="preserve">                           Row [y] = - (WP-BPM-26, cell [Ca] ) * (Inputs Workpaper (WP-BPM-1), Input [6c] ) * (WP-BPM-15, [An] );</t>
  </si>
  <si>
    <t xml:space="preserve">                           Row [z] = - (WP-BPM-26, cell [Ba] ) * (Inputs Workpaper (WP-BPM-1), Input [6a] ) * (WP-BPM-15, [Ap] );</t>
  </si>
  <si>
    <t>[2]    Calculation: [v] = Sum of columns [A] to [G], rows [a] to [u].</t>
  </si>
  <si>
    <t xml:space="preserve">                           Rows [kk] to [rr], column [A]:  (WP-BPM-26, cell [Ea] ) * (Inputs Workpaper (WP-BPM-1), Inputs [8a] to [8f] );</t>
  </si>
  <si>
    <t>[9]    Calculation:  [tt] = Sum of [Gjj] and [Gss].</t>
  </si>
  <si>
    <t>[10]   Calculation:  Row [uu] * (Inputs Workpaper, (WP-BPM-1), Input [4] ).</t>
  </si>
  <si>
    <t xml:space="preserve">                            Row [xx] = -(WP-BPM-26, [Ga] + [Ka] ) * (Inputs Workpaper (WP-BPM-1), Input [6d] ) * (Adjusted Rate Elements (WP-BPM-15), [An] );</t>
  </si>
  <si>
    <t xml:space="preserve">                            Row [yy] = -(WP-BPM-26, [Ea] ) * (Inputs Workpaper (WP-BPM-1), Input [6b] ) * (Adjusted Rate Elements (WP-BPM-15), [Ap] ).</t>
  </si>
  <si>
    <t>[12]   Calculation:   [zz] = Sum of Rows [uu] to [yy].</t>
  </si>
  <si>
    <t>[13]   Calculation:  [aaa] = Sum of Rows [aa] and [zz].</t>
  </si>
  <si>
    <t>From USPS-LR-L-46, page 42 (REVISED).</t>
  </si>
  <si>
    <t>[14]   Source:  [bbb] = Inputs Workpaper (WP-BPM-1), Input [16].</t>
  </si>
  <si>
    <t>[15]   Calculation: [ccc] = Sum of rows [aaa] and [bbb].</t>
  </si>
  <si>
    <t>[1]    Source: [Aa]: Inputs Workpaper (WP-BPM-1), Input [5];</t>
  </si>
  <si>
    <t xml:space="preserve">                     [Ab]: Inputs Workpaper (WP-BPM-1), Input [9].</t>
  </si>
  <si>
    <t xml:space="preserve">        Calculation: [Ba] = (Inputs Workpaper (WP-BPM-1), Input [10]);</t>
  </si>
  <si>
    <t xml:space="preserve">                            [Bb] = (Inputs Workpaper (WP-BPM-1), Input [14]).</t>
  </si>
  <si>
    <t xml:space="preserve">        Calculation: [Ca] = (TYBR Revenue Workpaper (WP-BPM-11),  row [y] + row [ww])  + (WP-BPM-1, Input [15]);</t>
  </si>
  <si>
    <t>USPS-LR-L-41</t>
  </si>
  <si>
    <r>
      <t>Factors</t>
    </r>
    <r>
      <rPr>
        <b/>
        <vertAlign val="superscript"/>
        <sz val="12"/>
        <color indexed="8"/>
        <rFont val="Arial"/>
        <family val="2"/>
      </rPr>
      <t xml:space="preserve"> [5]</t>
    </r>
  </si>
  <si>
    <t>Calculation:  [Ak] = [Aj] / Sum of [Aj] to [Cj];</t>
  </si>
  <si>
    <t xml:space="preserve">                   [Bk] = [Bj] / Sum of [Aj] to [Cj];</t>
  </si>
  <si>
    <t xml:space="preserve">                   [Ck] = [Cj] / Sum of [Aj] to [Cj].</t>
  </si>
  <si>
    <t>Calculation:  Rows [a] to [j]: column [D] = column [A] / cell [Aj].</t>
  </si>
  <si>
    <t>Calculation:  Rows [a] to [j]: column [E] = column [B] / cell [Bj].</t>
  </si>
  <si>
    <t>Calculation:  Rows [a] to [j]: column [F] = column [C] / cell [Cj].</t>
  </si>
  <si>
    <t>Calculation:  Rows [a] to [j]: column [G] = (column [B] + column [C]) / (cell [Bj] + cell [Cj]).</t>
  </si>
  <si>
    <t>Leakages</t>
  </si>
  <si>
    <t>Calculation of Pounds Distribution Factors</t>
  </si>
  <si>
    <r>
      <t>Pieces</t>
    </r>
    <r>
      <rPr>
        <b/>
        <vertAlign val="superscript"/>
        <sz val="12"/>
        <color indexed="8"/>
        <rFont val="Arial"/>
        <family val="2"/>
      </rPr>
      <t xml:space="preserve"> [1]</t>
    </r>
  </si>
  <si>
    <r>
      <t xml:space="preserve">Pounds </t>
    </r>
    <r>
      <rPr>
        <b/>
        <vertAlign val="superscript"/>
        <sz val="12"/>
        <color indexed="8"/>
        <rFont val="Arial"/>
        <family val="2"/>
      </rPr>
      <t>[2]</t>
    </r>
  </si>
  <si>
    <t xml:space="preserve">Calculation:  Total forecast volume is apportioned to Single Piece, Basic Presort, and Carrier Route Presort categories based on </t>
  </si>
  <si>
    <t>[u]</t>
  </si>
  <si>
    <t>[v]</t>
  </si>
  <si>
    <t>Calculation of TYBR Revenue</t>
  </si>
  <si>
    <r>
      <t xml:space="preserve">Revenue </t>
    </r>
    <r>
      <rPr>
        <b/>
        <vertAlign val="superscript"/>
        <sz val="12"/>
        <color indexed="8"/>
        <rFont val="Arial"/>
        <family val="2"/>
      </rPr>
      <t>[6]</t>
    </r>
  </si>
  <si>
    <t>[M]</t>
  </si>
  <si>
    <t>Flats Rate Differential</t>
  </si>
  <si>
    <t xml:space="preserve">    Flats</t>
  </si>
  <si>
    <t xml:space="preserve">    Machinable Parcels</t>
  </si>
  <si>
    <t xml:space="preserve">         Calculation:  [Bh] = Sum of rows [Ba] to [Bg].</t>
  </si>
  <si>
    <t xml:space="preserve">                                        [Ch] = Sum of rows [Ca] to [Cd].</t>
  </si>
  <si>
    <t xml:space="preserve">                                       [Dh] = [Da].</t>
  </si>
  <si>
    <t xml:space="preserve">                                       [Eh] = [Ea].</t>
  </si>
  <si>
    <t xml:space="preserve">                                       [Fh] = Sum of rows [Fa] to [Fg].</t>
  </si>
  <si>
    <t>[7]    Calculation:  Rows [a] to [g]:  [G] = Sum of columns [H], [J], [K], [M].</t>
  </si>
  <si>
    <t xml:space="preserve">                                       [Gh] = Sum of rows [Ga] to [Gg].</t>
  </si>
  <si>
    <t xml:space="preserve">                                       [Hh] = Sum of rows [Ha] to [Hg].</t>
  </si>
  <si>
    <t xml:space="preserve">                                       [Jh] = Sum of rows [Ja] to [Jd].</t>
  </si>
  <si>
    <t xml:space="preserve">                                       [Kh] = [Ka].</t>
  </si>
  <si>
    <t xml:space="preserve">                                       [Mh] = [Ma].</t>
  </si>
  <si>
    <t xml:space="preserve">                                        [Bb] = [Ba] * (Pounds Distribution Factors Workpaper (WP-BPM-6), cells [Fa] + [Fb]);</t>
  </si>
  <si>
    <t xml:space="preserve">                                        Rows [c] to [h]:  [B] = [Ba] * (Pounds Distribution Factors Workpaper (WP-BPM-6),  [F]);</t>
  </si>
  <si>
    <t xml:space="preserve">                                        [Ca] = [Ba] *  (2* WP-BPM-6, cell [Aj]) / (WP-BPM-6, (2 * cell [Aj]) + WP-BPM-6 cell [Bj]);</t>
  </si>
  <si>
    <t xml:space="preserve">                                        [Da] = [Ba] - [Ca];</t>
  </si>
  <si>
    <t xml:space="preserve">                                        [Cb] = [Ca] *  (WP-BPM-6, cells [Da] + [Db]);</t>
  </si>
  <si>
    <t xml:space="preserve">                                        [Db] = [Da] *  (WP-BPM-6, cells [Ea] + [Eb]);</t>
  </si>
  <si>
    <t xml:space="preserve">                                        Rows [c] to [h]: [C] = [Ca] *  (WP-BPM-6, [D], rows [c] to [h]);</t>
  </si>
  <si>
    <t xml:space="preserve">                                        Rows [c] to [h]: [D] = [Da] *  (WP-BPM-6, [E], rows [c] to [h]).</t>
  </si>
  <si>
    <t>[4]   Calculation:    [Ea] = [Da] * (WP-BPM-9, sum of [Ch] to [Eh]) / (WP-BPM-9, sum of [Bh] to [Eh]);</t>
  </si>
  <si>
    <t xml:space="preserve">                                        [Eb] = [Ea] *  (WP-BPM-9, sum of [Ca] to [Ea]) / (WP-BPM-9, sum of [Ch] to [Eh]);</t>
  </si>
  <si>
    <t xml:space="preserve">                                        [Ec] = [Ea] *  (WP-BPM-9, [Cb]) / (WP-BPM-9, sum of [Ch] to [Eh]);</t>
  </si>
  <si>
    <t xml:space="preserve">                                        [Ed] = [Ea] *  (WP-BPM-9, [Cc]) / (WP-BPM-9, sum of [Ch] to [Eh]);</t>
  </si>
  <si>
    <t xml:space="preserve">                                        [Ee] = [Ea] *  (WP-BPM-9, [Cd]) / (WP-BPM-9, sum of [Ch] to [Eh]).</t>
  </si>
  <si>
    <t xml:space="preserve">                                         [H] = [G] *  (2* WP-BPM-7, cell [Aj]) / (WP-BPM-7, 2* cell [Aj] + WP-BPM-7 cell [Bj] + WP-BPM-7 cell [Cj]).</t>
  </si>
  <si>
    <t xml:space="preserve">                                         [J] = [G] *  (WP-BPM-7, cell [Bj] + WP-BPM-7, cell [Cj]) / (WP-BPM-7, 2* cell [Aj] + WP-BPM-7 cell [Bj] + WP-BPM-7 cell [Cj]).</t>
  </si>
  <si>
    <t xml:space="preserve">                                                 with single piece costs per piece weighted at twice the presort cost per piece;</t>
  </si>
  <si>
    <r>
      <t>Single Piece Bound Printed Matter</t>
    </r>
    <r>
      <rPr>
        <b/>
        <vertAlign val="superscript"/>
        <sz val="12"/>
        <color indexed="8"/>
        <rFont val="Arial"/>
        <family val="2"/>
      </rPr>
      <t>[1]</t>
    </r>
  </si>
  <si>
    <r>
      <t>Calculated Revenue Before Discounts</t>
    </r>
    <r>
      <rPr>
        <vertAlign val="superscript"/>
        <sz val="12"/>
        <rFont val="Arial"/>
        <family val="2"/>
      </rPr>
      <t>[2]</t>
    </r>
  </si>
  <si>
    <r>
      <t>TYBR Adjusted Single Piece Revenue</t>
    </r>
    <r>
      <rPr>
        <vertAlign val="superscript"/>
        <sz val="12"/>
        <rFont val="Arial"/>
        <family val="2"/>
      </rPr>
      <t>[5]</t>
    </r>
  </si>
  <si>
    <t xml:space="preserve">[1]    Calculation:  Rows [a] to [u]: </t>
  </si>
  <si>
    <t xml:space="preserve">                           [A] =  (WP-BPM-8, cell [Ba] ) * (WP-BPM-4, (columns [A] + [B])/cell [Jw] ) * (WP-BPM-2, column [A] );</t>
  </si>
  <si>
    <r>
      <t xml:space="preserve">                           [</t>
    </r>
    <r>
      <rPr>
        <sz val="10"/>
        <rFont val="Arial"/>
        <family val="2"/>
      </rPr>
      <t>B</t>
    </r>
    <r>
      <rPr>
        <sz val="10"/>
        <rFont val="Arial"/>
        <family val="0"/>
      </rPr>
      <t>] =  (WP-BPM-8, cell [Ba] ) * (WP-BPM-4, (column [C])/cell [Jw] ) * (WP-BPM-2, column [B] );</t>
    </r>
  </si>
  <si>
    <r>
      <t xml:space="preserve">                           [</t>
    </r>
    <r>
      <rPr>
        <sz val="10"/>
        <rFont val="Arial"/>
        <family val="2"/>
      </rPr>
      <t>C</t>
    </r>
    <r>
      <rPr>
        <sz val="10"/>
        <rFont val="Arial"/>
        <family val="0"/>
      </rPr>
      <t>] =  (WP-BPM-8, cell [Ba] ) * (WP-BPM-4, (column [D])/cell [Jw] ) * (WP-BPM-2, column [C] );</t>
    </r>
  </si>
  <si>
    <r>
      <t xml:space="preserve">                           [</t>
    </r>
    <r>
      <rPr>
        <sz val="10"/>
        <rFont val="Arial"/>
        <family val="2"/>
      </rPr>
      <t>D</t>
    </r>
    <r>
      <rPr>
        <sz val="10"/>
        <rFont val="Arial"/>
        <family val="0"/>
      </rPr>
      <t>] =  (WP-BPM-8, cell [Ba] ) * (WP-BPM-4, (column [E])/cell [Jw] ) * (WP-BPM-2, column [D] );</t>
    </r>
  </si>
  <si>
    <r>
      <t xml:space="preserve">                           [</t>
    </r>
    <r>
      <rPr>
        <sz val="10"/>
        <rFont val="Arial"/>
        <family val="2"/>
      </rPr>
      <t>E</t>
    </r>
    <r>
      <rPr>
        <sz val="10"/>
        <rFont val="Arial"/>
        <family val="0"/>
      </rPr>
      <t>] =  (WP-BPM-8, cell [Ba] ) * (WP-BPM-4, (column [F])/cell [Jw] ) * (WP-BPM-2, column [E] );</t>
    </r>
  </si>
  <si>
    <r>
      <t xml:space="preserve">                           [</t>
    </r>
    <r>
      <rPr>
        <sz val="10"/>
        <rFont val="Arial"/>
        <family val="2"/>
      </rPr>
      <t>F</t>
    </r>
    <r>
      <rPr>
        <sz val="10"/>
        <rFont val="Arial"/>
        <family val="0"/>
      </rPr>
      <t>] =  (WP-BPM-8, cell [Ba] ) * (WP-BPM-4, (column [G])/cell [Jw] ) * (WP-BPM-2, column [F] );</t>
    </r>
  </si>
  <si>
    <r>
      <t xml:space="preserve">                           [</t>
    </r>
    <r>
      <rPr>
        <sz val="10"/>
        <rFont val="Arial"/>
        <family val="2"/>
      </rPr>
      <t>G</t>
    </r>
    <r>
      <rPr>
        <sz val="10"/>
        <rFont val="Arial"/>
        <family val="0"/>
      </rPr>
      <t>] =  (WP-BPM-8, cell [Ba] ) * (WP-BPM-4, (column [H])/cell [Jw] ) * (WP-BPM-2, column [G] ).</t>
    </r>
  </si>
  <si>
    <t>[2]    Calculation:  Sum of columns [A] to [G], rows [a] to [u].</t>
  </si>
  <si>
    <t xml:space="preserve">  Machinable Parcels Barcoding Per Piece</t>
  </si>
  <si>
    <r>
      <t xml:space="preserve">Per Piece Component </t>
    </r>
    <r>
      <rPr>
        <b/>
        <vertAlign val="superscript"/>
        <sz val="12"/>
        <color indexed="8"/>
        <rFont val="Arial"/>
        <family val="2"/>
      </rPr>
      <t>[6]</t>
    </r>
  </si>
  <si>
    <r>
      <t xml:space="preserve">Per Pound Component </t>
    </r>
    <r>
      <rPr>
        <b/>
        <vertAlign val="superscript"/>
        <sz val="12"/>
        <color indexed="8"/>
        <rFont val="Arial"/>
        <family val="2"/>
      </rPr>
      <t>[7]</t>
    </r>
  </si>
  <si>
    <r>
      <t xml:space="preserve">Revenue </t>
    </r>
    <r>
      <rPr>
        <b/>
        <vertAlign val="superscript"/>
        <sz val="12"/>
        <color indexed="8"/>
        <rFont val="Arial"/>
        <family val="2"/>
      </rPr>
      <t>[8]</t>
    </r>
  </si>
  <si>
    <t>[aa]</t>
  </si>
  <si>
    <t>[bb]</t>
  </si>
  <si>
    <t>[cc]</t>
  </si>
  <si>
    <t>[dd]</t>
  </si>
  <si>
    <t>[ee]</t>
  </si>
  <si>
    <t>[ff]</t>
  </si>
  <si>
    <t>[gg]</t>
  </si>
  <si>
    <t>[hh]</t>
  </si>
  <si>
    <t>[jj]</t>
  </si>
  <si>
    <t>[kk]</t>
  </si>
  <si>
    <t>[mm]</t>
  </si>
  <si>
    <t>[nn]</t>
  </si>
  <si>
    <t>[pp]</t>
  </si>
  <si>
    <t>[qq]</t>
  </si>
  <si>
    <t>[rr]</t>
  </si>
  <si>
    <t>[ss]</t>
  </si>
  <si>
    <t>[tt]</t>
  </si>
  <si>
    <t>[uu]</t>
  </si>
  <si>
    <t>[vv]</t>
  </si>
  <si>
    <t>[ww]</t>
  </si>
  <si>
    <t>[6]    Calculation: [Aaa] = (TYBR Pieces and Pounds Workpaper (WP-BPM-8), cell [Eb] ) - [Ajj] - ]App] - [Aqq];</t>
  </si>
  <si>
    <t xml:space="preserve">                          [Abb] = (TYBR Pieces and Pounds Workpaper (WP-BPM-8), cell [Ec] ) - [Akk];</t>
  </si>
  <si>
    <t xml:space="preserve">                          [Acc] = (TYBR Pieces and Pounds Workpaper (WP-BPM-8), cell [Ed] ) - [Amm];</t>
  </si>
  <si>
    <t xml:space="preserve">                          [Add] = (TYBR Pieces and Pounds Workpaper (WP-BPM-8), cell [Ee] ) - [Ann];</t>
  </si>
  <si>
    <t xml:space="preserve">                          Rows [ee] to [gg]: [A] = (TYBR Pieces and Pounds Workpaper (WP-BPM-8), column [E], rows [f] to [h];</t>
  </si>
  <si>
    <t xml:space="preserve">                          [Ahh] = Sum of [Aaa] to [Agg];</t>
  </si>
  <si>
    <t xml:space="preserve">                          [Arr] = Sum of [Ajj] to [Aqq];</t>
  </si>
  <si>
    <t xml:space="preserve">                          [Chh] = Sum of [Caa] to [Cgg];</t>
  </si>
  <si>
    <t xml:space="preserve">                          [Crr] = Sum of [Cjj] to [Cqq].</t>
  </si>
  <si>
    <t>Target Cost Coverage (Including Contingency)</t>
  </si>
  <si>
    <t>Factor used with contingency to mark up costs to achieve target cost coverage.</t>
  </si>
  <si>
    <t xml:space="preserve">Calculation:  Total forecast pounds for single piece and presort are calculated from total forecast pieces </t>
  </si>
  <si>
    <t xml:space="preserve">                   and total presort pounds to total presort pieces (from Pieces and Pounds Distribution Factors workpapers).</t>
  </si>
  <si>
    <t>Transportation Costs</t>
  </si>
  <si>
    <t xml:space="preserve">         Zones 1&amp;2</t>
  </si>
  <si>
    <t xml:space="preserve">         Zone 3</t>
  </si>
  <si>
    <t xml:space="preserve">         Zone 4</t>
  </si>
  <si>
    <t xml:space="preserve">         Zone 5</t>
  </si>
  <si>
    <t xml:space="preserve">         Zone 6</t>
  </si>
  <si>
    <t xml:space="preserve">         Zone 7</t>
  </si>
  <si>
    <t xml:space="preserve">         Zone 8</t>
  </si>
  <si>
    <t xml:space="preserve">    Destination Entry Mail</t>
  </si>
  <si>
    <t>Current SP Rates</t>
  </si>
  <si>
    <t>TYAR Pieces and Pounds</t>
  </si>
  <si>
    <t xml:space="preserve">       DBMC Unit Transportation Costs ($/Pound)</t>
  </si>
  <si>
    <t xml:space="preserve">           Zones 1&amp;2</t>
  </si>
  <si>
    <t xml:space="preserve">           Zone 3</t>
  </si>
  <si>
    <t xml:space="preserve">           Zone 4</t>
  </si>
  <si>
    <t xml:space="preserve">           Zone 5</t>
  </si>
  <si>
    <t xml:space="preserve">       DSCF Unit Transportation Costs ($/Pound)</t>
  </si>
  <si>
    <t xml:space="preserve">       DDU Unit Transportation Costs ($/Pound)</t>
  </si>
  <si>
    <t>Non-Transportation Costs and Cost Savings</t>
  </si>
  <si>
    <t xml:space="preserve">    Non-Transportation Weight Related Costs ($/Pound)</t>
  </si>
  <si>
    <t xml:space="preserve">    DBMC Per Piece Savings Relative to </t>
  </si>
  <si>
    <t xml:space="preserve">    DSCF Per Piece Savings Relative to DBMC</t>
  </si>
  <si>
    <t xml:space="preserve">    DDU Per Piece Savings Relative to DSCF</t>
  </si>
  <si>
    <t>Other Cost Savings</t>
  </si>
  <si>
    <t>Non-Drop</t>
  </si>
  <si>
    <t>Presort Transportation Costs</t>
  </si>
  <si>
    <t>Totals</t>
  </si>
  <si>
    <t>Flats Cost Differential</t>
  </si>
  <si>
    <r>
      <t>Costs</t>
    </r>
    <r>
      <rPr>
        <b/>
        <vertAlign val="superscript"/>
        <sz val="12"/>
        <color indexed="8"/>
        <rFont val="Arial"/>
        <family val="2"/>
      </rPr>
      <t xml:space="preserve"> [6]</t>
    </r>
  </si>
  <si>
    <r>
      <t>Total</t>
    </r>
    <r>
      <rPr>
        <b/>
        <vertAlign val="superscript"/>
        <sz val="12"/>
        <color indexed="8"/>
        <rFont val="Arial"/>
        <family val="2"/>
      </rPr>
      <t xml:space="preserve"> [7]</t>
    </r>
  </si>
  <si>
    <r>
      <t xml:space="preserve">Total </t>
    </r>
    <r>
      <rPr>
        <b/>
        <vertAlign val="superscript"/>
        <sz val="12"/>
        <color indexed="8"/>
        <rFont val="Arial"/>
        <family val="2"/>
      </rPr>
      <t>[1]</t>
    </r>
  </si>
  <si>
    <r>
      <t>Costs</t>
    </r>
    <r>
      <rPr>
        <b/>
        <vertAlign val="superscript"/>
        <sz val="12"/>
        <color indexed="8"/>
        <rFont val="Arial"/>
        <family val="2"/>
      </rPr>
      <t xml:space="preserve"> [2]</t>
    </r>
  </si>
  <si>
    <r>
      <t xml:space="preserve">Costs </t>
    </r>
    <r>
      <rPr>
        <b/>
        <vertAlign val="superscript"/>
        <sz val="12"/>
        <color indexed="8"/>
        <rFont val="Arial"/>
        <family val="2"/>
      </rPr>
      <t>[3]</t>
    </r>
  </si>
  <si>
    <r>
      <t xml:space="preserve">Shipped </t>
    </r>
    <r>
      <rPr>
        <b/>
        <vertAlign val="superscript"/>
        <sz val="12"/>
        <color indexed="8"/>
        <rFont val="Arial"/>
        <family val="2"/>
      </rPr>
      <t>[4]</t>
    </r>
  </si>
  <si>
    <r>
      <t xml:space="preserve">Shipped </t>
    </r>
    <r>
      <rPr>
        <b/>
        <vertAlign val="superscript"/>
        <sz val="12"/>
        <color indexed="8"/>
        <rFont val="Arial"/>
        <family val="2"/>
      </rPr>
      <t>[5]</t>
    </r>
  </si>
  <si>
    <t xml:space="preserve">                                       with single piece costs per pound weighted at twice the presort cost per pound;</t>
  </si>
  <si>
    <t>[5]    Calculation:    [F] = [D] - [E].</t>
  </si>
  <si>
    <t>[6]    Calculation:    [G] = [A] - [B].</t>
  </si>
  <si>
    <t xml:space="preserve">[3]    Calculation:  Total Non-Transportation Weight-Related Costs are apportioned between single piece (cell [Ca]) and presort (cell [Da]), based on  total pounds, </t>
  </si>
  <si>
    <t>WP-BPM-8</t>
  </si>
  <si>
    <t>Revenue Summary</t>
  </si>
  <si>
    <r>
      <t xml:space="preserve">Revenue </t>
    </r>
    <r>
      <rPr>
        <b/>
        <vertAlign val="superscript"/>
        <sz val="12"/>
        <color indexed="8"/>
        <rFont val="Arial"/>
        <family val="2"/>
      </rPr>
      <t>[3]</t>
    </r>
  </si>
  <si>
    <r>
      <t xml:space="preserve">Per Piece Component </t>
    </r>
    <r>
      <rPr>
        <b/>
        <vertAlign val="superscript"/>
        <sz val="12"/>
        <color indexed="8"/>
        <rFont val="Arial"/>
        <family val="2"/>
      </rPr>
      <t>[1]</t>
    </r>
  </si>
  <si>
    <r>
      <t xml:space="preserve">Per Pound Component </t>
    </r>
    <r>
      <rPr>
        <b/>
        <vertAlign val="superscript"/>
        <sz val="12"/>
        <color indexed="8"/>
        <rFont val="Arial"/>
        <family val="2"/>
      </rPr>
      <t>[2]</t>
    </r>
  </si>
  <si>
    <r>
      <t xml:space="preserve">Per Pound Component </t>
    </r>
    <r>
      <rPr>
        <b/>
        <vertAlign val="superscript"/>
        <sz val="12"/>
        <color indexed="8"/>
        <rFont val="Arial"/>
        <family val="2"/>
      </rPr>
      <t>[5]</t>
    </r>
  </si>
  <si>
    <r>
      <t xml:space="preserve">Per Piece Component </t>
    </r>
    <r>
      <rPr>
        <b/>
        <vertAlign val="superscript"/>
        <sz val="12"/>
        <color indexed="8"/>
        <rFont val="Arial"/>
        <family val="2"/>
      </rPr>
      <t>[4]</t>
    </r>
  </si>
  <si>
    <t xml:space="preserve">     DBMC</t>
  </si>
  <si>
    <t xml:space="preserve">     DSCF</t>
  </si>
  <si>
    <t xml:space="preserve">     DDU</t>
  </si>
  <si>
    <r>
      <t xml:space="preserve">Pounds Distribution Factors </t>
    </r>
    <r>
      <rPr>
        <b/>
        <vertAlign val="superscript"/>
        <sz val="12"/>
        <color indexed="8"/>
        <rFont val="Arial"/>
        <family val="2"/>
      </rPr>
      <t>[2]</t>
    </r>
  </si>
  <si>
    <t>Calculation:  Rows [a] to [h]: column [D] = column [A] / cell [Aj];</t>
  </si>
  <si>
    <t xml:space="preserve">     Presorted</t>
  </si>
  <si>
    <t xml:space="preserve">                   Cell [Dj] = sum of [Da] to [Dh].</t>
  </si>
  <si>
    <t xml:space="preserve">                   Rows [a] to [h]: column [E] = column [B] / cell [Bj];</t>
  </si>
  <si>
    <t xml:space="preserve">                   Cell [Ej] = sum of [Ea] to [Eh].</t>
  </si>
  <si>
    <t xml:space="preserve">                   Rows [a] to [h]: column [F] = column [C] / cell [Cj];</t>
  </si>
  <si>
    <t>Calculation of TYBR Pieces and Pounds</t>
  </si>
  <si>
    <t>Calculation:  Column total pieces are apportioned to zones based on the Pieces Distribution Factors workpaper (WP-BPM-7), (columns [D] to [F]).</t>
  </si>
  <si>
    <t xml:space="preserve">                   using the Base Year ratios of total single piece pounds to total single piece pieces </t>
  </si>
  <si>
    <t>Table of Contents</t>
  </si>
  <si>
    <t>Workbook Tab Designation</t>
  </si>
  <si>
    <t>Workpaper</t>
  </si>
  <si>
    <t>Workpaper Title</t>
  </si>
  <si>
    <t>Inputs</t>
  </si>
  <si>
    <t xml:space="preserve">  Machinable Parcels (Share of Total SP/Presort Pieces)</t>
  </si>
  <si>
    <t xml:space="preserve">     Machinable Parcels</t>
  </si>
  <si>
    <t>Major Input Assumptions for Proposed Rate Schedule Determination</t>
  </si>
  <si>
    <t>Rate Adjustments</t>
  </si>
  <si>
    <t>Distribution Factors</t>
  </si>
  <si>
    <t>TYBR Pieces &amp; Pounds</t>
  </si>
  <si>
    <t>TY Cost Distribution</t>
  </si>
  <si>
    <t>Revenue Leakages</t>
  </si>
  <si>
    <t>TYBR Revenue</t>
  </si>
  <si>
    <t>Pound and Piece Charges</t>
  </si>
  <si>
    <t>Rate Tables</t>
  </si>
  <si>
    <t>Rate Comparisons</t>
  </si>
  <si>
    <t>TYAR Revenue Summary</t>
  </si>
  <si>
    <t>BPM Financials</t>
  </si>
  <si>
    <t>Proposed Single Piece Rates</t>
  </si>
  <si>
    <t>Computed Proposed Basic Presort Rates</t>
  </si>
  <si>
    <t>Computed Proposed Basic Presort Destination Entry Rates</t>
  </si>
  <si>
    <t>Computed Proposed Carrier Route Presort Rates</t>
  </si>
  <si>
    <t>Computed Proposed Carrier Route Presort Destination Entry Rates</t>
  </si>
  <si>
    <t>Proposed Single Piece Rate Percent Changes</t>
  </si>
  <si>
    <t>Computed Proposed Basic Presort Rate Percent Changes</t>
  </si>
  <si>
    <t>Computed Proposed Basic Presort Destination Entry Rate Percent Changes</t>
  </si>
  <si>
    <t>Computed Proposed Carrier Route Presort Rate Percent Changes</t>
  </si>
  <si>
    <t>Computed Proposed Carrier Route Presort Destination Entry Rate Percent Changes</t>
  </si>
  <si>
    <t>Distribution of Test Year Transportation Costs</t>
  </si>
  <si>
    <r>
      <t xml:space="preserve">Piece </t>
    </r>
    <r>
      <rPr>
        <b/>
        <vertAlign val="superscript"/>
        <sz val="12"/>
        <color indexed="8"/>
        <rFont val="Arial"/>
        <family val="2"/>
      </rPr>
      <t>[1]</t>
    </r>
  </si>
  <si>
    <r>
      <t xml:space="preserve">Shipped </t>
    </r>
    <r>
      <rPr>
        <b/>
        <vertAlign val="superscript"/>
        <sz val="12"/>
        <color indexed="8"/>
        <rFont val="Arial"/>
        <family val="2"/>
      </rPr>
      <t>[2]</t>
    </r>
  </si>
  <si>
    <r>
      <t>DBMC</t>
    </r>
    <r>
      <rPr>
        <b/>
        <vertAlign val="superscript"/>
        <sz val="12"/>
        <color indexed="8"/>
        <rFont val="Arial"/>
        <family val="2"/>
      </rPr>
      <t xml:space="preserve"> [3]</t>
    </r>
  </si>
  <si>
    <r>
      <t xml:space="preserve">DSCF </t>
    </r>
    <r>
      <rPr>
        <b/>
        <vertAlign val="superscript"/>
        <sz val="12"/>
        <color indexed="8"/>
        <rFont val="Arial"/>
        <family val="2"/>
      </rPr>
      <t>[4]</t>
    </r>
  </si>
  <si>
    <r>
      <t xml:space="preserve">DDU </t>
    </r>
    <r>
      <rPr>
        <b/>
        <vertAlign val="superscript"/>
        <sz val="12"/>
        <color indexed="8"/>
        <rFont val="Arial"/>
        <family val="2"/>
      </rPr>
      <t>[5]</t>
    </r>
  </si>
  <si>
    <r>
      <t>Shipped</t>
    </r>
    <r>
      <rPr>
        <b/>
        <vertAlign val="superscript"/>
        <sz val="12"/>
        <color indexed="8"/>
        <rFont val="Arial"/>
        <family val="2"/>
      </rPr>
      <t xml:space="preserve"> [8]</t>
    </r>
  </si>
  <si>
    <r>
      <t>DBMC</t>
    </r>
    <r>
      <rPr>
        <b/>
        <vertAlign val="superscript"/>
        <sz val="12"/>
        <color indexed="8"/>
        <rFont val="Arial"/>
        <family val="2"/>
      </rPr>
      <t xml:space="preserve"> [9]</t>
    </r>
  </si>
  <si>
    <r>
      <t xml:space="preserve">DSCF </t>
    </r>
    <r>
      <rPr>
        <b/>
        <vertAlign val="superscript"/>
        <sz val="12"/>
        <color indexed="8"/>
        <rFont val="Arial"/>
        <family val="2"/>
      </rPr>
      <t>[10]</t>
    </r>
  </si>
  <si>
    <r>
      <t xml:space="preserve">DDU </t>
    </r>
    <r>
      <rPr>
        <b/>
        <vertAlign val="superscript"/>
        <sz val="12"/>
        <color indexed="8"/>
        <rFont val="Arial"/>
        <family val="2"/>
      </rPr>
      <t>[11]</t>
    </r>
  </si>
  <si>
    <t xml:space="preserve">  Automatable Flats (Share of SP/Presort Flats)</t>
  </si>
  <si>
    <t>Adjusted Rate Elements</t>
  </si>
  <si>
    <t xml:space="preserve">    Parcels/IPPs</t>
  </si>
  <si>
    <t>[3]    Calculation:  Rows [a] and [b], columns [B] to [H] = (Rate Adjustments Workpaper (WP-BPM-14),</t>
  </si>
  <si>
    <t xml:space="preserve">                           Rows [c] and [g], columns [B] to [H] = (WP-BPM-14, columns [G] + [J], rows [r] to [x], transposed), </t>
  </si>
  <si>
    <t xml:space="preserve">                           Rows [d], and [h], columns [B] to [E] = (WP-BPM-14, columns [G] + [J], rows [j] to [n], transposed), </t>
  </si>
  <si>
    <t xml:space="preserve">                           [Be] = [Bj] = (WP-BPM-14, [Gp] + [Jp]), rounded to tenths of a cent;</t>
  </si>
  <si>
    <t xml:space="preserve">                           [Bf] = [Bk] = (WP-BPM-14, [Gq] + [Jq]), rounded to tenths of a cent.</t>
  </si>
  <si>
    <r>
      <t>Flats Differential</t>
    </r>
    <r>
      <rPr>
        <vertAlign val="superscript"/>
        <sz val="12"/>
        <rFont val="Arial"/>
        <family val="2"/>
      </rPr>
      <t>[3]</t>
    </r>
  </si>
  <si>
    <t xml:space="preserve">        Calculation:  Zoned rates for X pounds = (Adjusted Rate Schedules Workpaper (WP-BPM-15), cell [Ab]) +</t>
  </si>
  <si>
    <t xml:space="preserve">                              (WP-BPM-15, row [b], columns [B] to [H]) * X pounds; (X = 1.5 to 15 pounds).</t>
  </si>
  <si>
    <t>[2]    For eligible barcoded pieces, deduct the the appropriate Barcode Discount.</t>
  </si>
  <si>
    <t>[3]    Rates shown are for parcels/ipps.  For flats, subtract the Flats Differential from the rate shown in the table.</t>
  </si>
  <si>
    <t xml:space="preserve">            times the number of pounds.  Rates are for parcels/ipps only.  For flats, see Note [3], below.</t>
  </si>
  <si>
    <t xml:space="preserve">        Calculation:  Zoned rates for X pounds = (Adjusted Rate Schedules Workpaper (WP-BPM-15), cell [Ac]) +</t>
  </si>
  <si>
    <t>R2006 - 1</t>
  </si>
  <si>
    <t>FY2005 Presort Billing Det.</t>
  </si>
  <si>
    <t>FY 2005 Billing Determinants--Presort Bound Printed Matter</t>
  </si>
  <si>
    <t>FY2005 SP Billing Det.</t>
  </si>
  <si>
    <t>FY 2005 Billing Determinants--Single Piece Bound Printed Matter</t>
  </si>
  <si>
    <t>FY2005 Single Piece Pounds</t>
  </si>
  <si>
    <t>Calculation of FY 2005 Single Piece Total Pounds by Zone</t>
  </si>
  <si>
    <t>Total Presort Pounds Breakdown</t>
  </si>
  <si>
    <t>Source: Revenue, Pieces and Pounds are from FY 2005 Single Piece Billing Determinants (WP-BPM-4), row [a].</t>
  </si>
  <si>
    <t>Source:  Column [A]: FY 2005 Single Piece Pounds Workpaper (WP-BPM-5), row [x], transposed.</t>
  </si>
  <si>
    <t xml:space="preserve">             Column [B]: FY 2005 Presort Billing Determinants (WP-BPM-3), Total Pounds column.</t>
  </si>
  <si>
    <t>Source:  Column [A] (rows [a] to [j]): FY 2005 Single Piece Billing Determinants (WP-BPM-4), row [w], transposed.</t>
  </si>
  <si>
    <t xml:space="preserve">             Columns [B] and [C] (rows [a] to [j]): FY 2005 Presort Billing Determinants (WP-BPM-3).</t>
  </si>
  <si>
    <t xml:space="preserve">                              (WP-BPM-15, row [c], columns [B] to [H]) * X pounds; (X = 1.5 to 15 pounds).</t>
  </si>
  <si>
    <r>
      <t xml:space="preserve"> Barcode Discount </t>
    </r>
    <r>
      <rPr>
        <vertAlign val="superscript"/>
        <sz val="12"/>
        <rFont val="Arial"/>
        <family val="2"/>
      </rPr>
      <t>[3]</t>
    </r>
  </si>
  <si>
    <r>
      <t>Flats Differential</t>
    </r>
    <r>
      <rPr>
        <vertAlign val="superscript"/>
        <sz val="12"/>
        <rFont val="Arial"/>
        <family val="2"/>
      </rPr>
      <t>[4]</t>
    </r>
  </si>
  <si>
    <t xml:space="preserve">            times the number of pounds.  Rates are for parcels/ipps only.  For flats, see Note [4], below.</t>
  </si>
  <si>
    <t>[3]    For eligible barcoded pieces, deduct the appropriate Barcode Discount.</t>
  </si>
  <si>
    <t>[4]    Rates shown are for parcels/ipps.  For flats, subtract the Flats Differential from the rate shown in the table.</t>
  </si>
  <si>
    <t xml:space="preserve">           (if applicable), times the number of pounds.  </t>
  </si>
  <si>
    <t xml:space="preserve">           Rates are for parcels/ipps only.  For flats, see Note [4], below.</t>
  </si>
  <si>
    <t xml:space="preserve">                              (Adjusted Rate Schedules Workpaper (WP-BPM-15), cell [Ad]) +</t>
  </si>
  <si>
    <t xml:space="preserve">                              (WP-BPM-15, row [d], columns [B] to [E]) * X pounds; (X = 1.5 to 15 pounds).</t>
  </si>
  <si>
    <t xml:space="preserve">                              (Adjusted Rate Schedules Workpaper (WP-BPM-15), cell [Ae]) +</t>
  </si>
  <si>
    <t xml:space="preserve">                              (WP-BPM-15, [Be]) * X pounds; (X = 1.5 to 15 pounds).</t>
  </si>
  <si>
    <t xml:space="preserve">                              (Adjusted Rate Schedules Workpaper (WP-BPM-15), cell [Af]) +</t>
  </si>
  <si>
    <t xml:space="preserve">                              (WP-BPM-15, [Bf]) * X pounds; (X = 1.5 to 15 pounds).</t>
  </si>
  <si>
    <t xml:space="preserve">           from the rate shown in the table.</t>
  </si>
  <si>
    <t xml:space="preserve">[4]    Rates shown are for parcels/ipps.  For flats, subtract the Flats Differential </t>
  </si>
  <si>
    <t xml:space="preserve">        Calculation:  Zoned rates for X pounds = (Adjusted Rate Schedules Workpaper (WP-BPM-15), cell [Ag]) +</t>
  </si>
  <si>
    <t xml:space="preserve">                              (WP-BPM-15, row [g], columns [B] to [H]) * X pounds; (X = 1.5 to 15 pounds).</t>
  </si>
  <si>
    <t xml:space="preserve">           Rates are for parcels/ipps only.  For flats, see Note [3], below.</t>
  </si>
  <si>
    <t xml:space="preserve">                              (Adjusted Rate Schedules Workpaper (WP-BPM-15), cell [Ah]) +</t>
  </si>
  <si>
    <t xml:space="preserve">                              (WP-BPM-15, row [h], columns [B] to [E]) * X pounds; (X = 1.5 to 15 pounds).</t>
  </si>
  <si>
    <t xml:space="preserve">                              (Adjusted Rate Schedules Workpaper (WP-BPM-15), cell [Aj]) +</t>
  </si>
  <si>
    <t xml:space="preserve">                              (WP-BPM-15, [Bj]) * X pounds; (X = 1.5 to 15 pounds).</t>
  </si>
  <si>
    <t xml:space="preserve">                              (Adjusted Rate Schedules Workpaper (WP-BPM-15), cell [Ak]) +</t>
  </si>
  <si>
    <t xml:space="preserve">                              (WP-BPM-15, [Bk]) * X pounds; (X = 1.5 to 15 pounds).</t>
  </si>
  <si>
    <t xml:space="preserve">[3]    Rates shown are for parcels/ipps.  For flats, subtract the Flats Differential </t>
  </si>
  <si>
    <t xml:space="preserve">[1]    Calculation:  Zoned rate changes for X pounds = (Proposed Single Piece Rates Workpaper, (WP-BPM-16), </t>
  </si>
  <si>
    <t xml:space="preserve">                                (X = 1.5 to 15 pounds).</t>
  </si>
  <si>
    <t xml:space="preserve">                             zoned rates for X pounds) / (Current SP Rates Workpaper (WP-BPM-2), zoned rates for X pounds) - 1.</t>
  </si>
  <si>
    <t xml:space="preserve">                             (X = 1.5 to 15 pounds).</t>
  </si>
  <si>
    <t xml:space="preserve">[1]    Calculation:  Zoned rate changes for X pounds = (Proposed Basic Presort Rates Workpaper, (WP-BPM-17), </t>
  </si>
  <si>
    <t xml:space="preserve">                                     (Proposed Basic Presort Destination Entry Rates Workpaper, (WP-BPM-18), </t>
  </si>
  <si>
    <t xml:space="preserve">[2]     Calculation:    DSCF: Rate changes for X pounds = </t>
  </si>
  <si>
    <t xml:space="preserve">[2]    Calculation:    DSCF: Rate changes for X pounds = </t>
  </si>
  <si>
    <t xml:space="preserve">[3]     Calculation:    DDU: Rate changes for X pounds = </t>
  </si>
  <si>
    <t xml:space="preserve">[3]    Calculation:    DDU: Rate changes for X pounds = </t>
  </si>
  <si>
    <t>13a</t>
  </si>
  <si>
    <t>Factor accounting for portion of Non-transportation costs that are weight-related.</t>
  </si>
  <si>
    <t xml:space="preserve">[1]    Calculation:  </t>
  </si>
  <si>
    <t xml:space="preserve">             Zoned rate changes for X pounds = (Proposed Carrier Route Presort Rates Workpaper, (WP-BPM-19), </t>
  </si>
  <si>
    <t xml:space="preserve">                                     (Proposed Carrier Route Presort Destination Entry Rates Workpaper, (WP-BPM-20), </t>
  </si>
  <si>
    <t>Grand</t>
  </si>
  <si>
    <t xml:space="preserve">                                (Proposed Carrier Route Presort Destination Entry Rates Workpaper, (WP-BPM-20), </t>
  </si>
  <si>
    <t xml:space="preserve">                           [Fa] = [Aa] * (Pieces Distribution Factors workpaper (WP-BPM-7), cell [Bk]);</t>
  </si>
  <si>
    <t xml:space="preserve">                           [Ja] = [Aa] * (Pieces Distribution Factors workpaper (WP-BPM-7), cell [Ck]);</t>
  </si>
  <si>
    <t xml:space="preserve">                           Single Piece, Basic Presort and Carrier Route Presort Totals are further split into flats and parcels/ipps using</t>
  </si>
  <si>
    <t xml:space="preserve">                           shares from the Inputs Workpaper.</t>
  </si>
  <si>
    <t xml:space="preserve">                           [Da] = [Ba] - [Ca];</t>
  </si>
  <si>
    <t xml:space="preserve">                           [Ea] = [Fa] + [Ja];</t>
  </si>
  <si>
    <t xml:space="preserve">                           [Ha] = [Fa] - [Ga];</t>
  </si>
  <si>
    <t xml:space="preserve">                           [Ma] = [Ja] - [Ka];</t>
  </si>
  <si>
    <t xml:space="preserve">        Calculation:  Rows [b] to [h]: [A] = [B] + [F] + [J];</t>
  </si>
  <si>
    <t xml:space="preserve">    Single Piece (Share of Total SP)</t>
  </si>
  <si>
    <t xml:space="preserve">    Basic Presort (Share of Total Basic)</t>
  </si>
  <si>
    <t xml:space="preserve">    Carrier Route Presort  (Share of Total CR)</t>
  </si>
  <si>
    <t>Calculated from FY2005 RPW data</t>
  </si>
  <si>
    <t xml:space="preserve">                           [Bb] = [Ba] * (Pieces Distribution Factors Workpaper (WP-BPM-7), cells [Da] + [Db] );</t>
  </si>
  <si>
    <t xml:space="preserve">                           Rows [c] to [h]: [B] = [Ba] * (Pieces Distribution Factors Workpaper (WP-BPM-7), cells [Dc] to [Dh] );</t>
  </si>
  <si>
    <t xml:space="preserve">                           Rows [b] to [h]: [D] = [B] - [C];</t>
  </si>
  <si>
    <t xml:space="preserve">                           Rows [b] to [h]: [E] = [F] + [J];</t>
  </si>
  <si>
    <t xml:space="preserve">                           [Fb] = [Fa] * (Pieces Distribution Factors Workpaper (WP-BPM-7), cells [Ea] + [Eb] );</t>
  </si>
  <si>
    <t xml:space="preserve">                           Rows [c] to [h]: [F] = [Fa] * (Pieces Distribution Factors Workpaper (WP-BPM-7), cells [Ec] to [Eh] );</t>
  </si>
  <si>
    <t xml:space="preserve">                           Rows [b] to [h]: [H] = [F] - [G];</t>
  </si>
  <si>
    <t xml:space="preserve">                           [Jb] = [Ja] * (Pieces Distribution Factors Workpaper (WP-BPM-7), cells [Fa] + [Fb] );</t>
  </si>
  <si>
    <t xml:space="preserve">                           Rows [c] to [h]: [J] = [Ja] * (Pieces Distribution Factors Workpaper (WP-BPM-7), cells [Fc] to [Fh] );</t>
  </si>
  <si>
    <t xml:space="preserve">          Source:  Rows [j] to [q], column [G]:  (Pound and Piece Charges (WP-BPM-13), column [G], rows [r] to [w]);</t>
  </si>
  <si>
    <t xml:space="preserve">                              Rows [r] to [x], column [G]:  (Pound and Piece Charges (WP-BPM-13), column [G], rows [h] to [q]);</t>
  </si>
  <si>
    <t xml:space="preserve">          Calculation: Rows [j] to [x]: [H] = [F] * [G];</t>
  </si>
  <si>
    <t xml:space="preserve">                                      [Hy] = Sum of [Hj] to [Hx];</t>
  </si>
  <si>
    <t xml:space="preserve">          Source: column [J]: Adjustments to preliminary per pound charges.</t>
  </si>
  <si>
    <t xml:space="preserve">          Calculation: Rows [j] to [x]: [K] = [F] * [J];</t>
  </si>
  <si>
    <t xml:space="preserve">                                      [Ky] = sum of [Kj] to [Kx].</t>
  </si>
  <si>
    <t>[6]    Calculation: Rows [j] to [x]: [M] = [C] + [E] + [H] + [K];</t>
  </si>
  <si>
    <t xml:space="preserve">                                      [My] = Sum of [Mj] to [Mx].</t>
  </si>
  <si>
    <t xml:space="preserve">    Automatable Flats</t>
  </si>
  <si>
    <t>[1]    Calculation:  [Aa] = (Rate Adjustments Workpaper (WP-BPM-14), [Ba] + [Da] ) - [Am], rounded to whole cents;</t>
  </si>
  <si>
    <t xml:space="preserve">                           [Ab] = (Rate Adjustments Workpaper (WP-BPM-14), [Ba] + [Da] ), rounded to whole cents;</t>
  </si>
  <si>
    <t xml:space="preserve">                           [Ac] = (Rate Adjustments Workpaper (WP-BPM-14), [Br] + [Dr]) rounded to tenths of a cent;</t>
  </si>
  <si>
    <r>
      <t>Basic Presort</t>
    </r>
    <r>
      <rPr>
        <vertAlign val="superscript"/>
        <sz val="12"/>
        <rFont val="Arial"/>
        <family val="2"/>
      </rPr>
      <t>[4]</t>
    </r>
  </si>
  <si>
    <r>
      <t>Carrier Route Presort</t>
    </r>
    <r>
      <rPr>
        <vertAlign val="superscript"/>
        <sz val="12"/>
        <rFont val="Arial"/>
        <family val="2"/>
      </rPr>
      <t>[4]</t>
    </r>
  </si>
  <si>
    <t xml:space="preserve">            Subtract the Flats Rate Differential (cell [Am]) for flats.</t>
  </si>
  <si>
    <t>[4]    Basic Presort and Carrier Route Presort per-piece rate elements shown are for parcels/ipps.</t>
  </si>
  <si>
    <t xml:space="preserve">                           [Ad] = (Rate Adjustments Workpaper (WP-BPM-14), [Bj] + [Dj]) rounded to tenths of a cent;</t>
  </si>
  <si>
    <t xml:space="preserve">                           [Ae] = (Rate Adjustments Workpaper (WP-BPM-14), [Bp] + [Dp]) rounded to tenths of a cent;</t>
  </si>
  <si>
    <t xml:space="preserve">                           [Af] = (Rate Adjustments Workpaper (WP-BPM-14), [Bq] + [Dq]) rounded to tenths of a cent;</t>
  </si>
  <si>
    <t>From USPS-T-31.</t>
  </si>
  <si>
    <t>From USPS-T-7, Attachment A.</t>
  </si>
  <si>
    <t>Calculated from 2005 RPW data.</t>
  </si>
  <si>
    <t>From USPS-T-10.</t>
  </si>
  <si>
    <t>From Library Reference USPS-LR-L-89, Attachment A.</t>
  </si>
  <si>
    <t>12a</t>
  </si>
  <si>
    <t>From USPS-LR-L-77: FY 2005 Billing Determinants for single piece mail.</t>
  </si>
  <si>
    <t>From USPS-LR-L-77: FY 2005 Billing Determinants for presort mail.</t>
  </si>
  <si>
    <t>From USPS-T-39, Workpaper WP-29.</t>
  </si>
  <si>
    <t>From USPS-T-39, Workpaper WP-30.</t>
  </si>
  <si>
    <t>From USPS-LR-L-73.</t>
  </si>
  <si>
    <t>USPS-T-38</t>
  </si>
  <si>
    <t>From USPS-LR-L-46, page 42.</t>
  </si>
  <si>
    <t>13b,c</t>
  </si>
  <si>
    <t xml:space="preserve"> [Cb] = (High end of weight range in column [A], row [b]) * (FY 2005 Single Piece Billing Determinants (WP-BPM-4), cell [Bb]),</t>
  </si>
  <si>
    <t>Calculation: Sum of rows [b] to [v] in columns [C] to [K].</t>
  </si>
  <si>
    <t>Source:  [Aa]: Inputs Workpaper (WP-BPM-1), Input [5].</t>
  </si>
  <si>
    <t>[Ca] = [Ba] * (Inputs Workpaper (WP-BPM-1), Input [7a]);</t>
  </si>
  <si>
    <t>[Ga] = [Fa] * (Inputs Workpaper (WP-BPM-1), Input [7b]);</t>
  </si>
  <si>
    <t>[Ka] = [Ja] * (Inputs Workpaper (WP-BPM-1), Input [7c]);</t>
  </si>
  <si>
    <t xml:space="preserve">                                    column [C] = column [B] * (Inputs Workpaper (WP-BPM-1), Input [7a]);</t>
  </si>
  <si>
    <t xml:space="preserve">                                    column [G] = column [F] * (Inputs Workpaper (WP-BPM-1), Input [7b]);</t>
  </si>
  <si>
    <t xml:space="preserve">                                    column [K] = column [J] * (Inputs Workpaper (WP-BPM-1), Input [7c]);</t>
  </si>
  <si>
    <t>[1]    Source:  Column [A], Rows [a] to [g]: TYBR Pieces and Pounds Workpaper (WP-BPM-8),  column [P];</t>
  </si>
  <si>
    <t>[2]    Calculation:  [Ba] = (FY2005 Presort Billing Determinant (WP-BPM-3),  cell [D52]/[G32]*(TYBR Pieces and Pounds Workpaper (WP-BPM-8), cell [Qa]);</t>
  </si>
  <si>
    <t xml:space="preserve">                                        [Bb] = (FY2005 Presort Billing Determinant (WP-BPM-3),  cell [D53]/[G32]*(TYBR Pieces and Pounds Workpaper (WP-BPM-8), cell [Qa]);</t>
  </si>
  <si>
    <t xml:space="preserve">                                        [Bc] = (FY2005 Presort Billing Determinant (WP-BPM-3),  cell [D54]/[G32]*(TYBR Pieces and Pounds Workpaper (WP-BPM-8), cell [Qa]);</t>
  </si>
  <si>
    <t xml:space="preserve">                                        [Bd] = (FY2005 Presort Billing Determinant (WP-BPM-3),  cell [D55]/[G32]*(TYBR Pieces and Pounds Workpaper (WP-BPM-8), cell [Qa]);</t>
  </si>
  <si>
    <t xml:space="preserve">                                        [Be] = (FY2005 Presort Billing Determinant (WP-BPM-3),  cell [D56]/[G32]*(TYBR Pieces and Pounds Workpaper (WP-BPM-8), cell [Qa]);</t>
  </si>
  <si>
    <t xml:space="preserve">                                        [Bf] = (FY2005 Presort Billing Determinant (WP-BPM-3),  cell [D57]/[G32]*(TYBR Pieces and Pounds Workpaper (WP-BPM-8), cell [Qa]);</t>
  </si>
  <si>
    <t>[3]    Calculation:  [Ca] =  (FY2005 Presort Billing Determinant (WP-BPM-3),  cell [E52]/[G32]*(TYBR Pieces and Pounds Workpaper (WP-BPM-8), cell [Qa]);</t>
  </si>
  <si>
    <t xml:space="preserve">                                        [Bg] = (FY2005 Presort Billing Determinant (WP-BPM-3),  cell [D58]/[G32]*(TYBR Pieces and Pounds Workpaper (WP-BPM-8), cell [Qa]);</t>
  </si>
  <si>
    <t xml:space="preserve">                                        [Cb] = (FY2005 Presort Billing Determinant (WP-BPM-3),  cell [E53]/[G32]*(TYBR Pieces and Pounds Workpaper (WP-BPM-8), cell [Qa]);</t>
  </si>
  <si>
    <t xml:space="preserve">                                        [Cc] = (FY2005 Presort Billing Determinant (WP-BPM-3),  cell [E54]/[G32]*(TYBR Pieces and Pounds Workpaper (WP-BPM-8), cell [Qa]);</t>
  </si>
  <si>
    <t xml:space="preserve">                                        [Cd] = (FY2005 Presort Billing Determinant (WP-BPM-3),  cell [E55]/[G32]*(TYBR Pieces and Pounds Workpaper (WP-BPM-8), cell [Qa]);</t>
  </si>
  <si>
    <t>[4]    Calculation:  [Da] = ((FY2005 Presort Billing Determinant (WP-BPM-3),  cell [F51]/[G32]*(TYBR Pieces and Pounds Workpaper (WP-BPM-8), cell [Qa]);</t>
  </si>
  <si>
    <t>[5]    Calculation:  [Ea] = ((FY2005 Presort Billing Determinant (WP-BPM-3),  cell [G51]/[G32]*(TYBR Pieces and Pounds Workpaper (WP-BPM-8), cell [Qa]);</t>
  </si>
  <si>
    <t>[6]    Calculation: Rows [a] to [g]:  [F] = [A] * (Inputs Workpaper, (WP-BPM-1), Inputs [11a] to [11g]);</t>
  </si>
  <si>
    <t>[8]    Calculation: Rows [a] to [g]:  [H] = [B] * (Inputs Workpaper, (WP-BPM-1), Inputs [11a] to [11g]);</t>
  </si>
  <si>
    <t>[9]    Calculation: Rows [a] to [c]:  [J] = [C] * (Inputs Workpaper, (WP-BPM-1), Inputs [11h] to [11k]);</t>
  </si>
  <si>
    <t xml:space="preserve">                           [Ag] = [Ac] - (Revenue Leakages Workpaper (WP-BPM-12), cell [Dc]), rounded to tenths of a cent;</t>
  </si>
  <si>
    <t xml:space="preserve">                           [Ah] = [Ad] - (Revenue Leakages Workpaper (WP-BPM-12), cell [Dc]), rounded to tenths of a cent;</t>
  </si>
  <si>
    <t xml:space="preserve">                           [Aj] = [Ae] - (Revenue Leakages Workpaper (WP-BPM-12), cell [Dc]), rounded to tenths of a cent;</t>
  </si>
  <si>
    <t xml:space="preserve">                           [Ak] = [Af] - (Revenue Leakages Workpaper (WP-BPM-12), cell [Dc]), rounded to tenths of a cent;</t>
  </si>
  <si>
    <t xml:space="preserve">        Source:  [Am] = (Revenue Leakages Workpaper (WP-BPM-12), cell [Db]), rounded to tenths of a cent;</t>
  </si>
  <si>
    <t xml:space="preserve">                     [An] = (Revenue Leakages Workpaper (WP-BPM-12), cell [Dg]), rounded to tenths of a cent;</t>
  </si>
  <si>
    <t xml:space="preserve">                     [Ap] = (Revenue Leakages Workpaper (WP-BPM-12), cell [De]), rounded to tenths of a cent.</t>
  </si>
  <si>
    <t>[2]    Properly prepared single piece and basic presort mailings are eligible for one of the Barcode Discounts</t>
  </si>
  <si>
    <t xml:space="preserve">           shown in cells [An] and [Ap].</t>
  </si>
  <si>
    <t>Difference</t>
  </si>
  <si>
    <t>Pass-</t>
  </si>
  <si>
    <t xml:space="preserve">     Automatable Flats</t>
  </si>
  <si>
    <t>Per Pound Base Component</t>
  </si>
  <si>
    <t>Per Piece Base Component</t>
  </si>
  <si>
    <t>Distribution of Test Year Non-Transportation Costs</t>
  </si>
  <si>
    <t>Volume Variable Costs</t>
  </si>
  <si>
    <t xml:space="preserve">  Carrier Route Presort Savings Per Piece</t>
  </si>
  <si>
    <t xml:space="preserve">  Barcoding Cost Savings Per Piece</t>
  </si>
  <si>
    <t xml:space="preserve">[1]    Source:  Column [A] </t>
  </si>
  <si>
    <t xml:space="preserve">                     Column [B]</t>
  </si>
  <si>
    <t>WP-BPM-1</t>
  </si>
  <si>
    <t>WP-BPM-2</t>
  </si>
  <si>
    <t>WP-BPM-3</t>
  </si>
  <si>
    <t>WP-BPM-4</t>
  </si>
  <si>
    <t>WP-BPM-5</t>
  </si>
  <si>
    <t>WP-BPM-6</t>
  </si>
  <si>
    <t>WP-BPM-7</t>
  </si>
  <si>
    <r>
      <t>Computed Proposed Basic Presort Rate Percent Changes</t>
    </r>
    <r>
      <rPr>
        <b/>
        <vertAlign val="superscript"/>
        <sz val="14"/>
        <color indexed="8"/>
        <rFont val="Arial"/>
        <family val="2"/>
      </rPr>
      <t xml:space="preserve"> [1]</t>
    </r>
  </si>
  <si>
    <r>
      <t xml:space="preserve"> Destination Entry Rate Percent Changes</t>
    </r>
    <r>
      <rPr>
        <b/>
        <vertAlign val="superscript"/>
        <sz val="14"/>
        <color indexed="8"/>
        <rFont val="Arial"/>
        <family val="2"/>
      </rPr>
      <t xml:space="preserve"> </t>
    </r>
  </si>
  <si>
    <r>
      <t xml:space="preserve">DBMC/ASF Zone </t>
    </r>
    <r>
      <rPr>
        <b/>
        <vertAlign val="superscript"/>
        <sz val="12"/>
        <color indexed="8"/>
        <rFont val="Arial"/>
        <family val="2"/>
      </rPr>
      <t>[1]</t>
    </r>
  </si>
  <si>
    <r>
      <t xml:space="preserve">DSCF </t>
    </r>
    <r>
      <rPr>
        <b/>
        <vertAlign val="superscript"/>
        <sz val="12"/>
        <color indexed="8"/>
        <rFont val="Arial"/>
        <family val="2"/>
      </rPr>
      <t>[2]</t>
    </r>
  </si>
  <si>
    <r>
      <t>DDU</t>
    </r>
    <r>
      <rPr>
        <b/>
        <vertAlign val="superscript"/>
        <sz val="12"/>
        <color indexed="8"/>
        <rFont val="Arial"/>
        <family val="2"/>
      </rPr>
      <t xml:space="preserve"> [3]</t>
    </r>
  </si>
  <si>
    <t xml:space="preserve">                                     (X = 1.5 to 15 pounds).</t>
  </si>
  <si>
    <t xml:space="preserve">[1]    Calculation:   DBMC:  Zoned rate changes for X pounds = </t>
  </si>
  <si>
    <t>Rate Class / Zone</t>
  </si>
  <si>
    <t xml:space="preserve">   Carrier Route Discount</t>
  </si>
  <si>
    <t>Non-Drop-Shipped Presort</t>
  </si>
  <si>
    <t xml:space="preserve">DBMC </t>
  </si>
  <si>
    <t xml:space="preserve">DDU </t>
  </si>
  <si>
    <t xml:space="preserve">    Single Piece Parcels</t>
  </si>
  <si>
    <t xml:space="preserve">    Presort Parcels</t>
  </si>
  <si>
    <t xml:space="preserve">    Single Piece Flats</t>
  </si>
  <si>
    <t xml:space="preserve">    Presort Flats</t>
  </si>
  <si>
    <t>Total Leakages</t>
  </si>
  <si>
    <t xml:space="preserve">   Single Piece</t>
  </si>
  <si>
    <t xml:space="preserve">   Presort</t>
  </si>
  <si>
    <t>Barcode Discounts</t>
  </si>
  <si>
    <t>[20]</t>
  </si>
  <si>
    <t>Current Single Piece Rates: See WP-BPM-2</t>
  </si>
  <si>
    <t>[y]</t>
  </si>
  <si>
    <t xml:space="preserve">        Source:  Rows [bb] to [hh], column [E]:  (Adjusted Rate Elements Workpaper (WP-BPM-15), row [c], columns [B] to [H]);</t>
  </si>
  <si>
    <t xml:space="preserve">                     Rows [kk] to [pp], column [E]:  (Adjusted Rate Elements Workpaper (WP-BPM-15), row [d], columns [B] to [E]);</t>
  </si>
  <si>
    <t xml:space="preserve">                     [Eqq]: (Adjusted Rate Elements Workpaper (WP-BPM-15), cell [Be];</t>
  </si>
  <si>
    <t xml:space="preserve">                     [Err]: (Adjusted Rate Elements Workpaper (WP-BPM-15), cell [Bf];</t>
  </si>
  <si>
    <t xml:space="preserve">        Calculation:  Rows [bb] to [hh]: [F] = [D] * [E];</t>
  </si>
  <si>
    <t xml:space="preserve">                           [Fjj] = Sum of [Fbb] to [Fhh];</t>
  </si>
  <si>
    <t xml:space="preserve">                           Rows [kk] to [rr]: [F] = [A] * [E];</t>
  </si>
  <si>
    <t xml:space="preserve">                           [Fss] = Sum of [Fkk] to [Frr].</t>
  </si>
  <si>
    <t xml:space="preserve">                           [Gjj] = Sum of [Gbb] to [Ghh];</t>
  </si>
  <si>
    <t xml:space="preserve">                           Rows [kk] to [rr]: [G] = [C] + [F];</t>
  </si>
  <si>
    <t xml:space="preserve">                           [Gss] = Sum of [Gkk] to [Grr].</t>
  </si>
  <si>
    <t>[8]    Calculation:  Rows [bb] to [hh]: [G] = [C] + [F];</t>
  </si>
  <si>
    <t>[11]   Calculation:  Row [v v] = -(TYAR Pieces and Pounds  (WP-BPM-26), [Ga] + [Ka] ) * (Adjusted Rate Elements  (WP-BPM-15), [Am] );</t>
  </si>
  <si>
    <t xml:space="preserve">                            Row [ww] = -(TYAR Pieces and Pounds  (WP-BPM-26), [Ja] ) * (Adjusted Rate Elements  (WP-BPM-15), [Ac] - [Ag] );</t>
  </si>
  <si>
    <t xml:space="preserve">        Source:  [Cb]:  TYAR Revenue Calculation Workpaper (WP-BPM-27), row [ccc].</t>
  </si>
  <si>
    <t>[7]    Calculation:  Rows [bb] to [hh]: [D] =  (WP-BPM-9, [Ba] to [Bg] ) / (WP-BPM-9, Sum of [Bh] to [Eh] ) *  (WP-BPM-26, cell [Qa] );</t>
  </si>
  <si>
    <t xml:space="preserve">                           Rows [kk] to [pp]: [D] =  (WP-BPM-9, [Ca] to [Cd] ) / (WP-BPM-9, Sum of [Bh] to [Eh] ) *  (WP-BPM-26, cell [Qa] );</t>
  </si>
  <si>
    <t xml:space="preserve">                           [Dqq] =  (WP-BPM-9, [Da] ) / (WP-BPM-9, Sum of [Bh] to [Eh] ) *  (WP-BPM-26, cell [Qa] );</t>
  </si>
  <si>
    <t xml:space="preserve">                           [Drr] =  (WP-BPM-9, [Ea] ) / (WP-BPM-9, Sum of [Bh] to [Eh] ) *  (WP-BPM-26, cell [Qa] );</t>
  </si>
  <si>
    <t>Calculation: Totals in row [w] multiplied by RPW Pound Adjustment Factor in row [y].</t>
  </si>
  <si>
    <t>Calculation: (RPW Pounds in row [a]) / (Calculated Total Pounds in cell [Kw]).</t>
  </si>
  <si>
    <t>[N]</t>
  </si>
  <si>
    <t>[P]</t>
  </si>
  <si>
    <t>[Q]</t>
  </si>
  <si>
    <t>[Ba] = [Aa] * (Pieces Distribution Factors Workpaper (WP-BPM-7), cell [Ak]);</t>
  </si>
  <si>
    <t xml:space="preserve">                   shares of total pieces from the Pieces Distribution Factors Workpaper, row [k], and Flats Volume Shares:</t>
  </si>
  <si>
    <t>[Da] = [Ba] - [Ca];</t>
  </si>
  <si>
    <t>[Ea] = [Fa] + [Ja];</t>
  </si>
  <si>
    <t>[Ha] = [Fa] - [Ga];</t>
  </si>
  <si>
    <t>[Ma] = [Ja] - [Ka].</t>
  </si>
  <si>
    <t>[Fb] = [Fa] * (Pieces Distribution Factors Workpaper, (WP-BPM-7), ([Ea] + [Eb]));</t>
  </si>
  <si>
    <t>[Bb] = [Ba] * (Pieces Distribution Factors Workpaper, (WP-BPM-7), ([Da] + [Db]));</t>
  </si>
  <si>
    <t>[Fa] = [Aa] * (Pieces Distribution Factors Workpaper (WP-BPM-7), cell [Bk]);</t>
  </si>
  <si>
    <t>[Ja] = [Aa] * (Pieces Distribution Factors Workpaper (WP-BPM-7), cell [Ck]);</t>
  </si>
  <si>
    <t>[Jb] = [Ja] * (Pieces Distribution Factors Workpaper, (WP-BPM-7), ([Fa] + [Fb]));</t>
  </si>
  <si>
    <t>Rows [c] to [h]:  column [B] = cell [Ba] * (Pieces Distribution Factors workpaper (WP-BPM-7), column [D]);</t>
  </si>
  <si>
    <t xml:space="preserve">  Flats Per Piece</t>
  </si>
  <si>
    <t>Unzoned</t>
  </si>
  <si>
    <t>Adjustments</t>
  </si>
  <si>
    <t xml:space="preserve">   Barcode Discount</t>
  </si>
  <si>
    <t>Adjusted Revenue</t>
  </si>
  <si>
    <t>0 - 1.5</t>
  </si>
  <si>
    <t>Current Discounts / Differentials</t>
  </si>
  <si>
    <t xml:space="preserve">     Single Piece</t>
  </si>
  <si>
    <t>Discounts / Differentials</t>
  </si>
  <si>
    <t xml:space="preserve">   Flats Differential</t>
  </si>
  <si>
    <r>
      <t xml:space="preserve">Calculated Revenue Before Discounts / Differentials </t>
    </r>
    <r>
      <rPr>
        <vertAlign val="superscript"/>
        <sz val="12"/>
        <rFont val="Arial"/>
        <family val="2"/>
      </rPr>
      <t>[2]</t>
    </r>
  </si>
  <si>
    <t>Total Calculated Revenue After Discounts / Differentials</t>
  </si>
  <si>
    <t xml:space="preserve">   Flats Barcode Discount</t>
  </si>
  <si>
    <t>Automatable Flats Barcoding Per Piece</t>
  </si>
  <si>
    <t xml:space="preserve">   Automatable Flats Barcode Discount</t>
  </si>
  <si>
    <r>
      <t xml:space="preserve">   Parcels Barcode Discount</t>
    </r>
    <r>
      <rPr>
        <vertAlign val="superscript"/>
        <sz val="12"/>
        <rFont val="Arial"/>
        <family val="2"/>
      </rPr>
      <t>[12]</t>
    </r>
  </si>
  <si>
    <t>Non-Dropshipped</t>
  </si>
  <si>
    <t xml:space="preserve">                                    column [F] = cell [Fa] * (Pieces Distribution Factors workpaper (WP-BPM-7), column [E]);</t>
  </si>
  <si>
    <t xml:space="preserve">                                    column [J] = cell [Ja] * (Pieces Distribution Factors workpaper (WP-BPM-7), column [F]);</t>
  </si>
  <si>
    <t>Rows [b] to [h]:  column [A] = Sum of columns [B], [F], [J]);</t>
  </si>
  <si>
    <t xml:space="preserve">                                    column [D] = column [B] - column [C];</t>
  </si>
  <si>
    <t xml:space="preserve">                                    column [E] = column [F] + column [J];</t>
  </si>
  <si>
    <t xml:space="preserve">                                    column [H] = column [F] - column [G];</t>
  </si>
  <si>
    <t xml:space="preserve">                                    column [M] = column [J] - column [K].</t>
  </si>
  <si>
    <t xml:space="preserve">    [Pa] = (Pounds Distribution Factors Workpaper (WP-BPM-6), cell [Aj]) / (Pieces Distribution Factors Workpaper (WP-BPM-7), cell [Aj]) * [Ba];</t>
  </si>
  <si>
    <t xml:space="preserve">    [Qa] = (Pounds Distribution Factors Workpaper (WP-BPM-6), cell [Bj]) / (Pieces Distribution Factors Workpaper (WP-BPM-7), cells [Bj] + [Cj]) * [Ea].</t>
  </si>
  <si>
    <t>[Pb] = cell [Pa] * (Pounds Distribution Factors workpaper (WP-BPM-6), ([Da] + [Db]);</t>
  </si>
  <si>
    <t>[Qb] = cell [Qa] * (Pounds Distribution Factors workpaper (WP-BPM-6), ([Ea] + [Eb]);</t>
  </si>
  <si>
    <t>Rows [c] to [h]:  column [P] = cell [Pa] * (Pounds Distribution Factors workpaper (WP-BPM-6), column [D]);</t>
  </si>
  <si>
    <t xml:space="preserve">                                    column [Q] = cell [Qa] * (Pounds Distribution Factors workpaper (WP-BPM-6), column [E]);</t>
  </si>
  <si>
    <t xml:space="preserve">                                    column [N] = column [P] + column [Q].</t>
  </si>
  <si>
    <t xml:space="preserve">          Calculation:  [Ah] = Sum of [Aa] to [Ag];</t>
  </si>
  <si>
    <t xml:space="preserve"> Destination Entry Rate Percent Changes</t>
  </si>
  <si>
    <t>WP-BPM-9</t>
  </si>
  <si>
    <t>WP-BPM-10</t>
  </si>
  <si>
    <t>WP-BPM-11</t>
  </si>
  <si>
    <t>WP-BPM-12</t>
  </si>
  <si>
    <t>WP-BPM-13</t>
  </si>
  <si>
    <t>WP-BPM-14</t>
  </si>
  <si>
    <t>WP-BPM-15</t>
  </si>
  <si>
    <r>
      <t xml:space="preserve">Rate </t>
    </r>
    <r>
      <rPr>
        <b/>
        <vertAlign val="superscript"/>
        <sz val="12"/>
        <color indexed="8"/>
        <rFont val="Arial"/>
        <family val="2"/>
      </rPr>
      <t>[1],[2]</t>
    </r>
  </si>
  <si>
    <r>
      <t xml:space="preserve">Per Pound Rate </t>
    </r>
    <r>
      <rPr>
        <b/>
        <vertAlign val="superscript"/>
        <sz val="12"/>
        <color indexed="8"/>
        <rFont val="Arial"/>
        <family val="2"/>
      </rPr>
      <t>[3]</t>
    </r>
  </si>
  <si>
    <r>
      <t xml:space="preserve">Proposed Single Piece Rate Percent Changes </t>
    </r>
    <r>
      <rPr>
        <b/>
        <vertAlign val="superscript"/>
        <sz val="14"/>
        <color indexed="8"/>
        <rFont val="Arial"/>
        <family val="2"/>
      </rPr>
      <t>[1]</t>
    </r>
  </si>
  <si>
    <t>WP-BPM-21</t>
  </si>
  <si>
    <t>WP-BPM-22</t>
  </si>
  <si>
    <r>
      <t>Computed Proposed Carrier Route Presort Rate Percent Changes</t>
    </r>
    <r>
      <rPr>
        <b/>
        <vertAlign val="superscript"/>
        <sz val="14"/>
        <color indexed="8"/>
        <rFont val="Arial"/>
        <family val="2"/>
      </rPr>
      <t xml:space="preserve"> [1]</t>
    </r>
  </si>
  <si>
    <t>WP-BPM-23</t>
  </si>
  <si>
    <t>Input Assumption</t>
  </si>
  <si>
    <t>[6]</t>
  </si>
  <si>
    <t>[8]</t>
  </si>
  <si>
    <t>[9]</t>
  </si>
  <si>
    <t>[12]</t>
  </si>
  <si>
    <t xml:space="preserve"> </t>
  </si>
  <si>
    <t>[13]</t>
  </si>
  <si>
    <t>[14]</t>
  </si>
  <si>
    <t>[15]</t>
  </si>
  <si>
    <t>[16]</t>
  </si>
  <si>
    <t>[17]</t>
  </si>
  <si>
    <t>[19]</t>
  </si>
  <si>
    <t>Forecasts</t>
  </si>
  <si>
    <t>Volume</t>
  </si>
  <si>
    <t xml:space="preserve">                                     zoned DBMC rates for X pounds) / </t>
  </si>
  <si>
    <t>Cost</t>
  </si>
  <si>
    <t>Contribution</t>
  </si>
  <si>
    <r>
      <t xml:space="preserve">Volume  </t>
    </r>
    <r>
      <rPr>
        <b/>
        <vertAlign val="superscript"/>
        <sz val="12"/>
        <rFont val="Arial"/>
        <family val="2"/>
      </rPr>
      <t>[1]</t>
    </r>
  </si>
  <si>
    <r>
      <t>Cost</t>
    </r>
    <r>
      <rPr>
        <b/>
        <vertAlign val="superscript"/>
        <sz val="12"/>
        <rFont val="Arial"/>
        <family val="2"/>
      </rPr>
      <t xml:space="preserve"> [2]</t>
    </r>
  </si>
  <si>
    <r>
      <t xml:space="preserve">Revenue </t>
    </r>
    <r>
      <rPr>
        <b/>
        <vertAlign val="superscript"/>
        <sz val="12"/>
        <rFont val="Arial"/>
        <family val="2"/>
      </rPr>
      <t>[3]</t>
    </r>
  </si>
  <si>
    <r>
      <t xml:space="preserve">Coverage </t>
    </r>
    <r>
      <rPr>
        <b/>
        <vertAlign val="superscript"/>
        <sz val="12"/>
        <rFont val="Arial"/>
        <family val="2"/>
      </rPr>
      <t>[4]</t>
    </r>
  </si>
  <si>
    <r>
      <t xml:space="preserve">Piece </t>
    </r>
    <r>
      <rPr>
        <b/>
        <vertAlign val="superscript"/>
        <sz val="12"/>
        <rFont val="Arial"/>
        <family val="2"/>
      </rPr>
      <t>[5]</t>
    </r>
  </si>
  <si>
    <r>
      <t xml:space="preserve">Per Piece </t>
    </r>
    <r>
      <rPr>
        <b/>
        <vertAlign val="superscript"/>
        <sz val="12"/>
        <rFont val="Arial"/>
        <family val="2"/>
      </rPr>
      <t>[6]</t>
    </r>
  </si>
  <si>
    <r>
      <t xml:space="preserve">Per Piece </t>
    </r>
    <r>
      <rPr>
        <b/>
        <vertAlign val="superscript"/>
        <sz val="12"/>
        <rFont val="Arial"/>
        <family val="2"/>
      </rPr>
      <t>[7]</t>
    </r>
  </si>
  <si>
    <t>Before Rates</t>
  </si>
  <si>
    <t>After Rates</t>
  </si>
  <si>
    <t>Per Piece Changes</t>
  </si>
  <si>
    <t>[2]    Costs include contingency:</t>
  </si>
  <si>
    <t>[3]    Revenues include Fees:</t>
  </si>
  <si>
    <t>[4]    Calculation: [D] = [C] / [B].</t>
  </si>
  <si>
    <t>[5]    Calculation: Rows [a] and [b]: [E] = [B] / [A];</t>
  </si>
  <si>
    <t xml:space="preserve">                            [Ec] = [Eb] / [Ea] - 1.</t>
  </si>
  <si>
    <t>[6]    Calculation: Rows [a] and [b]: [F] = [C] / [A];</t>
  </si>
  <si>
    <t xml:space="preserve">                            [Fc] = [Fb] / [Fa] - 1.</t>
  </si>
  <si>
    <t>[7]    Calculation: Rows [a] and [b]: [G] = [F] - [E];</t>
  </si>
  <si>
    <t>12d,e</t>
  </si>
  <si>
    <t>12b,c</t>
  </si>
  <si>
    <t>From USPS-LR-L-46, page 1 (REVISED). (Barcode cost savings per piece same as Parcel Post barcode cost savings per piece)</t>
  </si>
  <si>
    <t>REVISED with updated costs from USPS-LR-L-46</t>
  </si>
  <si>
    <t xml:space="preserve">                            [Gc] = [Gb] / [Ga] - 1.</t>
  </si>
  <si>
    <t>Bound Printed Matter Financial Summary</t>
  </si>
  <si>
    <t>Drop-Shipped</t>
  </si>
  <si>
    <t>WP-BPM-24</t>
  </si>
  <si>
    <t>Calculation of TYAR Pieces and Pounds</t>
  </si>
  <si>
    <t>Calculation of TYAR Revenue</t>
  </si>
  <si>
    <t>WP-BPM-16</t>
  </si>
  <si>
    <t>Not Over</t>
  </si>
  <si>
    <t>(lbs).</t>
  </si>
  <si>
    <t>WP-BPM-17</t>
  </si>
  <si>
    <r>
      <t>Computed Proposed Basic Presort Rates</t>
    </r>
    <r>
      <rPr>
        <b/>
        <vertAlign val="superscript"/>
        <sz val="14"/>
        <color indexed="8"/>
        <rFont val="Arial"/>
        <family val="2"/>
      </rPr>
      <t xml:space="preserve"> [1],[2]</t>
    </r>
  </si>
  <si>
    <t>WP-BPM-18</t>
  </si>
  <si>
    <r>
      <t>Computed Proposed Basic Presort Destination Entry Rates</t>
    </r>
    <r>
      <rPr>
        <b/>
        <vertAlign val="superscript"/>
        <sz val="14"/>
        <color indexed="8"/>
        <rFont val="Arial"/>
        <family val="2"/>
      </rPr>
      <t xml:space="preserve"> [1],[2]</t>
    </r>
  </si>
  <si>
    <t>DBMC/ASF Zone</t>
  </si>
  <si>
    <t>WP-BPM-19</t>
  </si>
  <si>
    <t>WP-BPM-20</t>
  </si>
  <si>
    <r>
      <t xml:space="preserve">Costs </t>
    </r>
    <r>
      <rPr>
        <b/>
        <vertAlign val="superscript"/>
        <sz val="12"/>
        <color indexed="8"/>
        <rFont val="Arial"/>
        <family val="2"/>
      </rPr>
      <t>[1]</t>
    </r>
  </si>
  <si>
    <t>Computed Proposed Basic Presort</t>
  </si>
  <si>
    <t>Computed Proposed Carrier Route Presort</t>
  </si>
  <si>
    <t>Notes</t>
  </si>
  <si>
    <t>Rates</t>
  </si>
  <si>
    <t>Current Rates per Pound</t>
  </si>
  <si>
    <t>TYAR Fees</t>
  </si>
  <si>
    <t>Fees</t>
  </si>
  <si>
    <t>TYBR Fees</t>
  </si>
  <si>
    <t>Costs</t>
  </si>
  <si>
    <t>[11]</t>
  </si>
  <si>
    <t>[10]</t>
  </si>
  <si>
    <t>[7]</t>
  </si>
  <si>
    <t>TYAR Total Volume Forecast</t>
  </si>
  <si>
    <t>[5]</t>
  </si>
  <si>
    <t>Impact</t>
  </si>
  <si>
    <t>Non-Drop-Shipped</t>
  </si>
  <si>
    <t>TYBR Total Volume Forecast</t>
  </si>
  <si>
    <t>[4]</t>
  </si>
  <si>
    <t xml:space="preserve">  Presort</t>
  </si>
  <si>
    <t>[3]</t>
  </si>
  <si>
    <t xml:space="preserve">  Single Piece</t>
  </si>
  <si>
    <t>Factors</t>
  </si>
  <si>
    <t>[2]</t>
  </si>
  <si>
    <t>Target / Adjustment</t>
  </si>
  <si>
    <t>[1]</t>
  </si>
  <si>
    <t>Value</t>
  </si>
  <si>
    <t>Type of Assumption</t>
  </si>
  <si>
    <t>Proposed Rate Schedule Determination</t>
  </si>
  <si>
    <t xml:space="preserve">Major Input Assumptions for </t>
  </si>
  <si>
    <t>RPW Data</t>
  </si>
  <si>
    <t>Pieces</t>
  </si>
  <si>
    <t>Pounds</t>
  </si>
  <si>
    <t>Single</t>
  </si>
  <si>
    <t>Piece</t>
  </si>
  <si>
    <t>Billing Determinants</t>
  </si>
  <si>
    <t>Total</t>
  </si>
  <si>
    <t>Adjustment Factor to convert calculated revenue to RPW revenue:</t>
  </si>
  <si>
    <t>Presort</t>
  </si>
  <si>
    <t>Basic</t>
  </si>
  <si>
    <t>Zone</t>
  </si>
  <si>
    <t>1&amp;2</t>
  </si>
  <si>
    <t>Carrier Route</t>
  </si>
  <si>
    <t xml:space="preserve">   Revenue (Excluding Fees)</t>
  </si>
  <si>
    <t>Revenue (Excluding Fees)</t>
  </si>
  <si>
    <t>Weight</t>
  </si>
  <si>
    <t>(Pounds)</t>
  </si>
  <si>
    <t>Zones 1&amp;2</t>
  </si>
  <si>
    <t>Zone 3</t>
  </si>
  <si>
    <t>Zone 4</t>
  </si>
  <si>
    <t>Zone 5</t>
  </si>
  <si>
    <t>Zone 6</t>
  </si>
  <si>
    <t>Zone 7</t>
  </si>
  <si>
    <t>Zone 8</t>
  </si>
  <si>
    <t>1.5 - 2.0</t>
  </si>
  <si>
    <t>2.0 - 2.5</t>
  </si>
  <si>
    <t>2.5 - 3.0</t>
  </si>
  <si>
    <t>3.0 - 3.5</t>
  </si>
  <si>
    <t>3.5 - 4.0</t>
  </si>
  <si>
    <t>4.0 - 4.5</t>
  </si>
  <si>
    <t>4.5 - 5.0</t>
  </si>
  <si>
    <t>5.0 - 6.0</t>
  </si>
  <si>
    <t>6.0 - 7.0</t>
  </si>
  <si>
    <t>7.0 - 8.0</t>
  </si>
  <si>
    <t>8.0 - 9.0</t>
  </si>
  <si>
    <t>9.0 - 10.0</t>
  </si>
  <si>
    <t>-</t>
  </si>
  <si>
    <t>Adjusted</t>
  </si>
  <si>
    <t>Distribution</t>
  </si>
  <si>
    <t>Shares</t>
  </si>
  <si>
    <t>Calculation of Pieces Distribution Factors</t>
  </si>
  <si>
    <t>Single Piece</t>
  </si>
  <si>
    <t>of Total</t>
  </si>
  <si>
    <t>All Zones</t>
  </si>
  <si>
    <t>---</t>
  </si>
  <si>
    <t>Single Piece Bound Printed Matter</t>
  </si>
  <si>
    <t>Rate</t>
  </si>
  <si>
    <t>Per Piece</t>
  </si>
  <si>
    <t>Per Pound</t>
  </si>
  <si>
    <t xml:space="preserve">        Zones 1&amp;2</t>
  </si>
  <si>
    <t xml:space="preserve">        Zone 3</t>
  </si>
  <si>
    <t xml:space="preserve">        Zone 4</t>
  </si>
  <si>
    <t xml:space="preserve">        Zone 5</t>
  </si>
  <si>
    <t xml:space="preserve">        Zone 6</t>
  </si>
  <si>
    <t xml:space="preserve">        Zone 7</t>
  </si>
  <si>
    <t xml:space="preserve">        Zone 8</t>
  </si>
  <si>
    <t xml:space="preserve">                             columns [G] + [J], rows [a] to [g], transposed), rounded to whole cents;</t>
  </si>
  <si>
    <t xml:space="preserve">                             rounded to tenths of a cent;</t>
  </si>
  <si>
    <t>Flats Volume Shares</t>
  </si>
  <si>
    <t>Flats</t>
  </si>
  <si>
    <t>Parcels/</t>
  </si>
  <si>
    <t>IPPs</t>
  </si>
  <si>
    <t>Parcels/IPPs</t>
  </si>
  <si>
    <t>CR</t>
  </si>
  <si>
    <t>Non-Weight-Related Costs</t>
  </si>
  <si>
    <r>
      <t xml:space="preserve">Total </t>
    </r>
    <r>
      <rPr>
        <b/>
        <vertAlign val="superscript"/>
        <sz val="12"/>
        <color indexed="8"/>
        <rFont val="Arial"/>
        <family val="2"/>
      </rPr>
      <t>[6]</t>
    </r>
  </si>
  <si>
    <r>
      <t xml:space="preserve">Single Piece </t>
    </r>
    <r>
      <rPr>
        <b/>
        <vertAlign val="superscript"/>
        <sz val="12"/>
        <color indexed="8"/>
        <rFont val="Arial"/>
        <family val="2"/>
      </rPr>
      <t>[7]</t>
    </r>
  </si>
  <si>
    <r>
      <t xml:space="preserve">Presort </t>
    </r>
    <r>
      <rPr>
        <b/>
        <vertAlign val="superscript"/>
        <sz val="12"/>
        <color indexed="8"/>
        <rFont val="Arial"/>
        <family val="2"/>
      </rPr>
      <t>[7]</t>
    </r>
  </si>
  <si>
    <t xml:space="preserve">[1]    Rate cells calculated as the sum of per-piece rate and the per-pound rate for each zone, </t>
  </si>
  <si>
    <t xml:space="preserve">[2]    Rate cells calculated as the sum of per-piece rate and the per-pound rate for each zone, </t>
  </si>
  <si>
    <t xml:space="preserve">           (if applicable), times the number of pounds.</t>
  </si>
  <si>
    <t xml:space="preserve">        Calculation:  DBMC: Zoned rates for X pounds = </t>
  </si>
  <si>
    <t xml:space="preserve">                           DSCF: Rate for X pounds = </t>
  </si>
  <si>
    <t xml:space="preserve">                           DDU: Rate for X pounds = </t>
  </si>
  <si>
    <r>
      <t>Computed Proposed Carrier Route Presort Rates</t>
    </r>
    <r>
      <rPr>
        <b/>
        <vertAlign val="superscript"/>
        <sz val="14"/>
        <color indexed="8"/>
        <rFont val="Arial"/>
        <family val="2"/>
      </rPr>
      <t xml:space="preserve"> [1],[2]</t>
    </r>
  </si>
  <si>
    <r>
      <t>Computed Proposed Carrier Route Presort Destination Entry Rates</t>
    </r>
    <r>
      <rPr>
        <b/>
        <vertAlign val="superscript"/>
        <sz val="14"/>
        <color indexed="8"/>
        <rFont val="Arial"/>
        <family val="2"/>
      </rPr>
      <t xml:space="preserve"> [1],[2]</t>
    </r>
  </si>
  <si>
    <t>WP-BPM-25</t>
  </si>
  <si>
    <t>WP-BPM-26</t>
  </si>
  <si>
    <t>WP-BPM-27</t>
  </si>
  <si>
    <t>WP-BPM-28</t>
  </si>
  <si>
    <t xml:space="preserve">  Carrier Route Per Piece</t>
  </si>
  <si>
    <t>Current</t>
  </si>
  <si>
    <t>Revenue</t>
  </si>
  <si>
    <t>Per Piece Component</t>
  </si>
  <si>
    <t>Preliminary</t>
  </si>
  <si>
    <t>Presort Bound Printed Matter</t>
  </si>
  <si>
    <t>RPW Revenue Adjustment Factors</t>
  </si>
  <si>
    <t>Barcoded Volume Shares</t>
  </si>
  <si>
    <t xml:space="preserve">    Single Piece</t>
  </si>
  <si>
    <t>Revenue Leakage</t>
  </si>
  <si>
    <t>Carrier Route Discount</t>
  </si>
  <si>
    <t>Barcode Discount</t>
  </si>
  <si>
    <t xml:space="preserve">        Calculation:  Total forecast volume is apportioned to Single Piece, Basic Presort, and Carrier Route Presort categories based on </t>
  </si>
  <si>
    <t xml:space="preserve">                           shares of total pieces from the Pieces Distribution Factors Workpaper (WP-BPM-7), row [k];</t>
  </si>
  <si>
    <t xml:space="preserve">                           [Ba] = [Aa] * (Pieces Distribution Factors Workpaper (WP-BPM-7), cell [Ak]);</t>
  </si>
  <si>
    <t>DBMC Discount</t>
  </si>
  <si>
    <t xml:space="preserve">    Zones 1&amp;2</t>
  </si>
  <si>
    <t xml:space="preserve">    Zone 3</t>
  </si>
  <si>
    <t xml:space="preserve">    Zone 4</t>
  </si>
  <si>
    <t xml:space="preserve">    Zone 5</t>
  </si>
  <si>
    <t>DSCF Discount</t>
  </si>
  <si>
    <t>DDU Discount</t>
  </si>
  <si>
    <t>Lost</t>
  </si>
  <si>
    <t>Dropshipment Volume Shares</t>
  </si>
  <si>
    <t xml:space="preserve">    DBMC</t>
  </si>
  <si>
    <t xml:space="preserve">    DSCF</t>
  </si>
  <si>
    <t xml:space="preserve">    DDU</t>
  </si>
  <si>
    <t xml:space="preserve">            Zones 1&amp;2</t>
  </si>
  <si>
    <t xml:space="preserve">            Zone 3</t>
  </si>
  <si>
    <t xml:space="preserve">            Zone 4</t>
  </si>
  <si>
    <t xml:space="preserve">            Zone 5</t>
  </si>
  <si>
    <t>Adjustment</t>
  </si>
  <si>
    <t>Related</t>
  </si>
  <si>
    <t>Weight-</t>
  </si>
  <si>
    <t xml:space="preserve">    Zone 6</t>
  </si>
  <si>
    <t xml:space="preserve">    Zone 7</t>
  </si>
  <si>
    <t xml:space="preserve">    Zone 8</t>
  </si>
  <si>
    <t>Zone Distribution of Costs</t>
  </si>
  <si>
    <t>Cost Per</t>
  </si>
  <si>
    <t>DBMC</t>
  </si>
  <si>
    <t>DSCF</t>
  </si>
  <si>
    <t>DDU</t>
  </si>
  <si>
    <t>TYBR</t>
  </si>
  <si>
    <t>Transpor-</t>
  </si>
  <si>
    <t>tation</t>
  </si>
  <si>
    <t>Non-Trans-</t>
  </si>
  <si>
    <t>portation</t>
  </si>
  <si>
    <t>Calculation of Per Pound and Per Piece Charges</t>
  </si>
  <si>
    <t>[w]</t>
  </si>
  <si>
    <t>[x]</t>
  </si>
  <si>
    <t>[2]    Source:  Column [D], rows [a] to [g]: TYBR Pieces and Pounds (WP-BPM-8), column [P], rows [b] to [h] ;</t>
  </si>
  <si>
    <t xml:space="preserve">                     Column [D], rows [h] to [q]: Distribution of Test Year Transportation Costs Workpaper (WP-BPM-9), column [B], rows [a] to [g];</t>
  </si>
  <si>
    <t xml:space="preserve">                     Column [D], rows [r] to [u]: Distribution of Test Year Transportation Costs Workpaper (WP-BPM-9), column [C], rows [a] to [d];</t>
  </si>
  <si>
    <t xml:space="preserve">                     [Dv]: Distribution of Test Year Transportation Costs Workpaper (WP-BPM-9), cell [Da];</t>
  </si>
  <si>
    <t xml:space="preserve">                     [Dw]: Distribution of Test Year Transportation Costs Workpaper (WP-BPM-9), cell [Ea];</t>
  </si>
  <si>
    <t>[3]    Calculation:  Rows [a] to [w]: [E] = [C] / [D].</t>
  </si>
  <si>
    <t>[18]</t>
  </si>
  <si>
    <t>[5]    Calculation:  Rows [a] to [w]: [G] = [E] * [F].</t>
  </si>
  <si>
    <t>[6]    Source:  [Ax]: Distribution of Test Year Non-Transportation Costs Workpaper (WP-BPM-10), cell [Ha];</t>
  </si>
  <si>
    <t xml:space="preserve">                     [Ay]: Distribution of Test Year Non-Transportation Costs Workpaper (WP-BPM-10), cell [Ja];</t>
  </si>
  <si>
    <t xml:space="preserve"> Revenue Leakages</t>
  </si>
  <si>
    <r>
      <t>[7]    Source:  [</t>
    </r>
    <r>
      <rPr>
        <sz val="10"/>
        <rFont val="Arial"/>
        <family val="2"/>
      </rPr>
      <t>A</t>
    </r>
    <r>
      <rPr>
        <sz val="10"/>
        <rFont val="Arial"/>
        <family val="0"/>
      </rPr>
      <t>x]: Revenue Leakages Workpaper (WP-BPM-12), cell [Eq];</t>
    </r>
  </si>
  <si>
    <r>
      <t xml:space="preserve">                     [</t>
    </r>
    <r>
      <rPr>
        <sz val="10"/>
        <rFont val="Arial"/>
        <family val="2"/>
      </rPr>
      <t>A</t>
    </r>
    <r>
      <rPr>
        <sz val="10"/>
        <rFont val="Arial"/>
        <family val="0"/>
      </rPr>
      <t>x]: Revenue Leakages Workpaper (WP-BPM-12), cell [Er].</t>
    </r>
  </si>
  <si>
    <t>[8]    Source:  [Cx]: TYBR Pieces and Pounds (WP-BPM-8), cell [Ba];</t>
  </si>
  <si>
    <t xml:space="preserve">                     [Cy]: TYBR Pieces and Pounds (WP-BPM-8), cell [Ea].</t>
  </si>
  <si>
    <t>[9]    Calculation:  Rows [x] to [y]: [D] = [A] / [C].</t>
  </si>
  <si>
    <t>[10]  Calculation:  Rows [x] to [y]: [E] = [B] / [C].</t>
  </si>
  <si>
    <t>[11]  Calculation:  Rows [x] to [y]: [G] = [D] * [F] + [E].</t>
  </si>
  <si>
    <t>Current (R2005 Rates) Single Piece Bound Printed Matter Parcels Rates</t>
  </si>
  <si>
    <t>TYBR Total Adjusted Volume Variable Costs (w/ contingency)</t>
  </si>
  <si>
    <t>TYAR Volume Variable Costs w/ Contingency</t>
  </si>
  <si>
    <t>Cost Coverage Markup Factor (Including Contingency)</t>
  </si>
  <si>
    <r>
      <t xml:space="preserve">Proposed Single Piece Parcels Rates </t>
    </r>
    <r>
      <rPr>
        <b/>
        <vertAlign val="superscript"/>
        <sz val="14"/>
        <color indexed="8"/>
        <rFont val="Arial"/>
        <family val="2"/>
      </rPr>
      <t>[1]</t>
    </r>
  </si>
  <si>
    <t>[1]    Source: Column [A], rows [a] to [g]: WP-BPM-8, column [B], rows [b] to [h];</t>
  </si>
  <si>
    <t xml:space="preserve">         Calculation: Rows [a] to [g]: [H] = [F] * [G];</t>
  </si>
  <si>
    <t xml:space="preserve">         Calculation: Rows [a] to [g]: [K] = [F] * [J];</t>
  </si>
  <si>
    <t xml:space="preserve">                                     [Kh] = Sum of [Ka] to [Kg].</t>
  </si>
  <si>
    <t xml:space="preserve">                                      [Hh] = Sum of [Ha] to [Hg];</t>
  </si>
  <si>
    <t xml:space="preserve">         Source: Column [J]: Adjustments to preliminary per pound charges.</t>
  </si>
  <si>
    <t xml:space="preserve">         Source: Column [G]: Pound and Piece Charges Workpaper (WP-BPM-13), cells [Ga] to [Gg];</t>
  </si>
  <si>
    <t xml:space="preserve">         Calculation: [Fh] = Sum of [Fa] to [Fg];</t>
  </si>
  <si>
    <t>[2]   Source: Column [F], rows [a] to [g]: WP-BPM-8, column [P], rows [b] to [h];</t>
  </si>
  <si>
    <t xml:space="preserve">          Source: Column [B]: Pound and Piece Charges Workpaper (WP-BPM-13), cell [Gx];</t>
  </si>
  <si>
    <t xml:space="preserve">          Calculation: [Ah] = sum of [Aa] to [Ag];</t>
  </si>
  <si>
    <t xml:space="preserve">          Calculation: Rows [a] to [g]: [C] = [A] * [B];</t>
  </si>
  <si>
    <t xml:space="preserve">                                      [Ch] = Sum of [Ca] to [Cg];</t>
  </si>
  <si>
    <t xml:space="preserve">          Source: Column [D]: adjustments to preliminary per piece charges.</t>
  </si>
  <si>
    <t xml:space="preserve">          Calculation: Rows [a] to [g]: [E] = [A] * [D];</t>
  </si>
  <si>
    <t xml:space="preserve">                                     [Eh] = Sum of [Ea] to [Eg].</t>
  </si>
  <si>
    <t>[3]    Calculation: Rows [a] to [g]: [M] = [C] + [E] + [H] + [K];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</si>
</sst>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0.00000000"/>
    <numFmt numFmtId="167" formatCode="_(* #,##0_);_(* \(#,##0\);_(* &quot;-&quot;??_);_(@_)"/>
    <numFmt numFmtId="168" formatCode="&quot;$&quot;#,##0.00"/>
    <numFmt numFmtId="169" formatCode="0.0000000000"/>
    <numFmt numFmtId="170" formatCode="_(* #,##0.0_);_(* \(#,##0.0\);_(* &quot;-&quot;??_);_(@_)"/>
    <numFmt numFmtId="171" formatCode="0.0"/>
    <numFmt numFmtId="172" formatCode="0.000"/>
    <numFmt numFmtId="173" formatCode="0.0000"/>
    <numFmt numFmtId="174" formatCode="#,##0.0000"/>
    <numFmt numFmtId="175" formatCode="#,##0.00000000000"/>
    <numFmt numFmtId="176" formatCode="#,##0.0000000000"/>
    <numFmt numFmtId="177" formatCode="0.000000000"/>
    <numFmt numFmtId="178" formatCode="&quot;$&quot;#,##0.0000"/>
    <numFmt numFmtId="179" formatCode="0.0000000"/>
    <numFmt numFmtId="180" formatCode="0.0%"/>
    <numFmt numFmtId="181" formatCode="#,##0.000"/>
    <numFmt numFmtId="182" formatCode="#,##0.0000000"/>
    <numFmt numFmtId="183" formatCode="0.00000"/>
    <numFmt numFmtId="184" formatCode="#,##0.000000"/>
    <numFmt numFmtId="185" formatCode="&quot;$&quot;#,##0.00000"/>
    <numFmt numFmtId="186" formatCode="&quot;$&quot;#,##0.0"/>
    <numFmt numFmtId="187" formatCode="#,##0.0"/>
    <numFmt numFmtId="188" formatCode="0.000%"/>
    <numFmt numFmtId="189" formatCode="0.0000%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&quot;$&quot;#,##0.000_);\(&quot;$&quot;#,##0.000\)"/>
    <numFmt numFmtId="193" formatCode="_(* #,##0.000_);_(* \(#,##0.000\);_(* &quot;-&quot;??_);_(@_)"/>
    <numFmt numFmtId="194" formatCode="General_)"/>
    <numFmt numFmtId="195" formatCode="#,##0.00000"/>
    <numFmt numFmtId="196" formatCode="#,##0.00000000"/>
    <numFmt numFmtId="197" formatCode="#,##0.000000000"/>
    <numFmt numFmtId="198" formatCode="[$-F800]dddd\,\ mmmm\ dd\,\ yyyy"/>
    <numFmt numFmtId="199" formatCode="[$-409]dddd\,\ mmmm\ dd\,\ yyyy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2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2" borderId="7" xfId="0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 quotePrefix="1">
      <alignment horizontal="right"/>
    </xf>
    <xf numFmtId="17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9" xfId="0" applyNumberFormat="1" applyFont="1" applyFill="1" applyBorder="1" applyAlignment="1" quotePrefix="1">
      <alignment/>
    </xf>
    <xf numFmtId="0" fontId="7" fillId="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4" fillId="2" borderId="2" xfId="0" applyFont="1" applyFill="1" applyBorder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182" fontId="0" fillId="0" borderId="0" xfId="0" applyNumberFormat="1" applyAlignment="1">
      <alignment/>
    </xf>
    <xf numFmtId="3" fontId="0" fillId="2" borderId="8" xfId="0" applyNumberFormat="1" applyFill="1" applyBorder="1" applyAlignment="1">
      <alignment/>
    </xf>
    <xf numFmtId="18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3" fontId="7" fillId="3" borderId="12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78" fontId="1" fillId="3" borderId="1" xfId="0" applyNumberFormat="1" applyFont="1" applyFill="1" applyBorder="1" applyAlignment="1">
      <alignment/>
    </xf>
    <xf numFmtId="0" fontId="1" fillId="3" borderId="14" xfId="0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8" fillId="3" borderId="4" xfId="0" applyFont="1" applyFill="1" applyBorder="1" applyAlignment="1">
      <alignment horizontal="centerContinuous"/>
    </xf>
    <xf numFmtId="0" fontId="8" fillId="3" borderId="5" xfId="0" applyFont="1" applyFill="1" applyBorder="1" applyAlignment="1">
      <alignment horizontal="centerContinuous"/>
    </xf>
    <xf numFmtId="0" fontId="5" fillId="3" borderId="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8" fillId="3" borderId="12" xfId="0" applyFont="1" applyFill="1" applyBorder="1" applyAlignment="1">
      <alignment horizontal="centerContinuous"/>
    </xf>
    <xf numFmtId="0" fontId="8" fillId="3" borderId="12" xfId="0" applyFont="1" applyFill="1" applyBorder="1" applyAlignment="1">
      <alignment/>
    </xf>
    <xf numFmtId="0" fontId="8" fillId="3" borderId="1" xfId="0" applyFont="1" applyFill="1" applyBorder="1" applyAlignment="1">
      <alignment horizontal="centerContinuous"/>
    </xf>
    <xf numFmtId="3" fontId="5" fillId="3" borderId="12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3" fontId="5" fillId="3" borderId="22" xfId="0" applyNumberFormat="1" applyFont="1" applyFill="1" applyBorder="1" applyAlignment="1">
      <alignment/>
    </xf>
    <xf numFmtId="3" fontId="5" fillId="3" borderId="22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3" fontId="5" fillId="3" borderId="23" xfId="0" applyNumberFormat="1" applyFont="1" applyFill="1" applyBorder="1" applyAlignment="1">
      <alignment/>
    </xf>
    <xf numFmtId="3" fontId="5" fillId="3" borderId="21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3" fontId="7" fillId="3" borderId="16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7" fillId="3" borderId="28" xfId="0" applyFont="1" applyFill="1" applyBorder="1" applyAlignment="1">
      <alignment horizontal="center"/>
    </xf>
    <xf numFmtId="3" fontId="4" fillId="3" borderId="25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3" fontId="5" fillId="3" borderId="25" xfId="0" applyNumberFormat="1" applyFont="1" applyFill="1" applyBorder="1" applyAlignment="1">
      <alignment/>
    </xf>
    <xf numFmtId="168" fontId="5" fillId="3" borderId="12" xfId="0" applyNumberFormat="1" applyFont="1" applyFill="1" applyBorder="1" applyAlignment="1">
      <alignment/>
    </xf>
    <xf numFmtId="0" fontId="5" fillId="3" borderId="25" xfId="0" applyFont="1" applyFill="1" applyBorder="1" applyAlignment="1">
      <alignment/>
    </xf>
    <xf numFmtId="3" fontId="4" fillId="3" borderId="12" xfId="21" applyNumberFormat="1" applyFont="1" applyFill="1" applyBorder="1" applyAlignment="1">
      <alignment/>
    </xf>
    <xf numFmtId="0" fontId="5" fillId="3" borderId="29" xfId="0" applyFont="1" applyFill="1" applyBorder="1" applyAlignment="1">
      <alignment/>
    </xf>
    <xf numFmtId="3" fontId="4" fillId="3" borderId="22" xfId="21" applyNumberFormat="1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67" fontId="5" fillId="2" borderId="4" xfId="15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167" fontId="5" fillId="3" borderId="0" xfId="15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7" fillId="3" borderId="23" xfId="0" applyFont="1" applyFill="1" applyBorder="1" applyAlignment="1">
      <alignment horizontal="center"/>
    </xf>
    <xf numFmtId="0" fontId="5" fillId="3" borderId="31" xfId="0" applyFont="1" applyFill="1" applyBorder="1" applyAlignment="1">
      <alignment/>
    </xf>
    <xf numFmtId="0" fontId="8" fillId="3" borderId="0" xfId="0" applyFont="1" applyFill="1" applyBorder="1" applyAlignment="1">
      <alignment horizontal="centerContinuous"/>
    </xf>
    <xf numFmtId="3" fontId="5" fillId="3" borderId="9" xfId="0" applyNumberFormat="1" applyFont="1" applyFill="1" applyBorder="1" applyAlignment="1">
      <alignment/>
    </xf>
    <xf numFmtId="3" fontId="5" fillId="3" borderId="32" xfId="0" applyNumberFormat="1" applyFont="1" applyFill="1" applyBorder="1" applyAlignment="1">
      <alignment/>
    </xf>
    <xf numFmtId="164" fontId="5" fillId="3" borderId="9" xfId="0" applyNumberFormat="1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4" fillId="3" borderId="33" xfId="0" applyFont="1" applyFill="1" applyBorder="1" applyAlignment="1">
      <alignment/>
    </xf>
    <xf numFmtId="167" fontId="4" fillId="3" borderId="25" xfId="15" applyNumberFormat="1" applyFont="1" applyFill="1" applyBorder="1" applyAlignment="1">
      <alignment/>
    </xf>
    <xf numFmtId="167" fontId="4" fillId="3" borderId="33" xfId="15" applyNumberFormat="1" applyFont="1" applyFill="1" applyBorder="1" applyAlignment="1">
      <alignment/>
    </xf>
    <xf numFmtId="167" fontId="5" fillId="3" borderId="25" xfId="15" applyNumberFormat="1" applyFont="1" applyFill="1" applyBorder="1" applyAlignment="1">
      <alignment/>
    </xf>
    <xf numFmtId="167" fontId="5" fillId="3" borderId="33" xfId="15" applyNumberFormat="1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/>
    </xf>
    <xf numFmtId="0" fontId="2" fillId="3" borderId="1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3" borderId="36" xfId="0" applyFont="1" applyFill="1" applyBorder="1" applyAlignment="1">
      <alignment/>
    </xf>
    <xf numFmtId="171" fontId="4" fillId="3" borderId="2" xfId="0" applyNumberFormat="1" applyFont="1" applyFill="1" applyBorder="1" applyAlignment="1">
      <alignment/>
    </xf>
    <xf numFmtId="171" fontId="4" fillId="3" borderId="0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3" fontId="5" fillId="3" borderId="33" xfId="0" applyNumberFormat="1" applyFont="1" applyFill="1" applyBorder="1" applyAlignment="1">
      <alignment/>
    </xf>
    <xf numFmtId="177" fontId="5" fillId="3" borderId="1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4" fillId="2" borderId="1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3" borderId="3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5" fontId="5" fillId="3" borderId="25" xfId="0" applyNumberFormat="1" applyFont="1" applyFill="1" applyBorder="1" applyAlignment="1">
      <alignment/>
    </xf>
    <xf numFmtId="165" fontId="5" fillId="3" borderId="12" xfId="0" applyNumberFormat="1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2" fillId="3" borderId="25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3" fontId="7" fillId="3" borderId="37" xfId="0" applyNumberFormat="1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174" fontId="4" fillId="3" borderId="12" xfId="0" applyNumberFormat="1" applyFont="1" applyFill="1" applyBorder="1" applyAlignment="1">
      <alignment horizontal="right"/>
    </xf>
    <xf numFmtId="174" fontId="4" fillId="3" borderId="33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3" fontId="4" fillId="3" borderId="33" xfId="0" applyNumberFormat="1" applyFont="1" applyFill="1" applyBorder="1" applyAlignment="1">
      <alignment horizontal="right"/>
    </xf>
    <xf numFmtId="168" fontId="5" fillId="3" borderId="33" xfId="0" applyNumberFormat="1" applyFont="1" applyFill="1" applyBorder="1" applyAlignment="1">
      <alignment/>
    </xf>
    <xf numFmtId="0" fontId="2" fillId="3" borderId="38" xfId="0" applyFont="1" applyFill="1" applyBorder="1" applyAlignment="1">
      <alignment horizontal="center"/>
    </xf>
    <xf numFmtId="3" fontId="7" fillId="3" borderId="25" xfId="0" applyNumberFormat="1" applyFont="1" applyFill="1" applyBorder="1" applyAlignment="1">
      <alignment horizontal="center"/>
    </xf>
    <xf numFmtId="3" fontId="7" fillId="3" borderId="33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/>
    </xf>
    <xf numFmtId="174" fontId="4" fillId="3" borderId="12" xfId="0" applyNumberFormat="1" applyFont="1" applyFill="1" applyBorder="1" applyAlignment="1" quotePrefix="1">
      <alignment horizontal="right"/>
    </xf>
    <xf numFmtId="174" fontId="4" fillId="3" borderId="25" xfId="0" applyNumberFormat="1" applyFont="1" applyFill="1" applyBorder="1" applyAlignment="1">
      <alignment/>
    </xf>
    <xf numFmtId="174" fontId="4" fillId="3" borderId="12" xfId="0" applyNumberFormat="1" applyFont="1" applyFill="1" applyBorder="1" applyAlignment="1">
      <alignment/>
    </xf>
    <xf numFmtId="174" fontId="4" fillId="3" borderId="33" xfId="0" applyNumberFormat="1" applyFont="1" applyFill="1" applyBorder="1" applyAlignment="1">
      <alignment/>
    </xf>
    <xf numFmtId="173" fontId="5" fillId="3" borderId="12" xfId="0" applyNumberFormat="1" applyFont="1" applyFill="1" applyBorder="1" applyAlignment="1">
      <alignment/>
    </xf>
    <xf numFmtId="164" fontId="5" fillId="3" borderId="12" xfId="0" applyNumberFormat="1" applyFont="1" applyFill="1" applyBorder="1" applyAlignment="1">
      <alignment/>
    </xf>
    <xf numFmtId="174" fontId="5" fillId="3" borderId="25" xfId="0" applyNumberFormat="1" applyFont="1" applyFill="1" applyBorder="1" applyAlignment="1">
      <alignment/>
    </xf>
    <xf numFmtId="3" fontId="4" fillId="3" borderId="33" xfId="21" applyNumberFormat="1" applyFont="1" applyFill="1" applyBorder="1" applyAlignment="1">
      <alignment/>
    </xf>
    <xf numFmtId="174" fontId="5" fillId="3" borderId="22" xfId="0" applyNumberFormat="1" applyFont="1" applyFill="1" applyBorder="1" applyAlignment="1">
      <alignment/>
    </xf>
    <xf numFmtId="164" fontId="5" fillId="3" borderId="22" xfId="0" applyNumberFormat="1" applyFont="1" applyFill="1" applyBorder="1" applyAlignment="1">
      <alignment/>
    </xf>
    <xf numFmtId="3" fontId="5" fillId="3" borderId="29" xfId="0" applyNumberFormat="1" applyFont="1" applyFill="1" applyBorder="1" applyAlignment="1">
      <alignment/>
    </xf>
    <xf numFmtId="3" fontId="4" fillId="3" borderId="35" xfId="21" applyNumberFormat="1" applyFont="1" applyFill="1" applyBorder="1" applyAlignment="1">
      <alignment/>
    </xf>
    <xf numFmtId="0" fontId="7" fillId="3" borderId="23" xfId="0" applyFont="1" applyFill="1" applyBorder="1" applyAlignment="1">
      <alignment/>
    </xf>
    <xf numFmtId="0" fontId="7" fillId="3" borderId="26" xfId="0" applyFont="1" applyFill="1" applyBorder="1" applyAlignment="1">
      <alignment horizontal="center"/>
    </xf>
    <xf numFmtId="0" fontId="5" fillId="3" borderId="36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5" fillId="3" borderId="33" xfId="0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/>
    </xf>
    <xf numFmtId="3" fontId="4" fillId="3" borderId="25" xfId="0" applyNumberFormat="1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3" fontId="5" fillId="3" borderId="33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68" fontId="5" fillId="3" borderId="12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165" fontId="4" fillId="3" borderId="12" xfId="0" applyNumberFormat="1" applyFont="1" applyFill="1" applyBorder="1" applyAlignment="1" quotePrefix="1">
      <alignment horizontal="center"/>
    </xf>
    <xf numFmtId="3" fontId="4" fillId="3" borderId="12" xfId="0" applyNumberFormat="1" applyFont="1" applyFill="1" applyBorder="1" applyAlignment="1" quotePrefix="1">
      <alignment/>
    </xf>
    <xf numFmtId="164" fontId="4" fillId="3" borderId="12" xfId="0" applyNumberFormat="1" applyFont="1" applyFill="1" applyBorder="1" applyAlignment="1" quotePrefix="1">
      <alignment/>
    </xf>
    <xf numFmtId="164" fontId="4" fillId="3" borderId="33" xfId="0" applyNumberFormat="1" applyFont="1" applyFill="1" applyBorder="1" applyAlignment="1" quotePrefix="1">
      <alignment/>
    </xf>
    <xf numFmtId="3" fontId="4" fillId="3" borderId="12" xfId="0" applyNumberFormat="1" applyFont="1" applyFill="1" applyBorder="1" applyAlignment="1" quotePrefix="1">
      <alignment horizontal="center"/>
    </xf>
    <xf numFmtId="3" fontId="4" fillId="3" borderId="33" xfId="0" applyNumberFormat="1" applyFont="1" applyFill="1" applyBorder="1" applyAlignment="1" quotePrefix="1">
      <alignment horizontal="center"/>
    </xf>
    <xf numFmtId="0" fontId="4" fillId="3" borderId="7" xfId="0" applyFont="1" applyFill="1" applyBorder="1" applyAlignment="1">
      <alignment horizontal="left"/>
    </xf>
    <xf numFmtId="164" fontId="4" fillId="3" borderId="22" xfId="0" applyNumberFormat="1" applyFont="1" applyFill="1" applyBorder="1" applyAlignment="1">
      <alignment/>
    </xf>
    <xf numFmtId="164" fontId="4" fillId="3" borderId="35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7" fillId="3" borderId="39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5" fillId="3" borderId="25" xfId="0" applyFont="1" applyFill="1" applyBorder="1" applyAlignment="1">
      <alignment/>
    </xf>
    <xf numFmtId="164" fontId="5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164" fontId="4" fillId="3" borderId="12" xfId="0" applyNumberFormat="1" applyFont="1" applyFill="1" applyBorder="1" applyAlignment="1">
      <alignment/>
    </xf>
    <xf numFmtId="164" fontId="5" fillId="3" borderId="12" xfId="0" applyNumberFormat="1" applyFont="1" applyFill="1" applyBorder="1" applyAlignment="1">
      <alignment/>
    </xf>
    <xf numFmtId="164" fontId="5" fillId="3" borderId="33" xfId="0" applyNumberFormat="1" applyFont="1" applyFill="1" applyBorder="1" applyAlignment="1">
      <alignment/>
    </xf>
    <xf numFmtId="164" fontId="4" fillId="3" borderId="33" xfId="0" applyNumberFormat="1" applyFont="1" applyFill="1" applyBorder="1" applyAlignment="1" quotePrefix="1">
      <alignment horizontal="center"/>
    </xf>
    <xf numFmtId="164" fontId="4" fillId="3" borderId="33" xfId="0" applyNumberFormat="1" applyFont="1" applyFill="1" applyBorder="1" applyAlignment="1" quotePrefix="1">
      <alignment horizontal="right"/>
    </xf>
    <xf numFmtId="164" fontId="4" fillId="3" borderId="29" xfId="0" applyNumberFormat="1" applyFon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73" fontId="4" fillId="3" borderId="12" xfId="0" applyNumberFormat="1" applyFont="1" applyFill="1" applyBorder="1" applyAlignment="1">
      <alignment/>
    </xf>
    <xf numFmtId="174" fontId="5" fillId="3" borderId="12" xfId="0" applyNumberFormat="1" applyFont="1" applyFill="1" applyBorder="1" applyAlignment="1">
      <alignment/>
    </xf>
    <xf numFmtId="173" fontId="5" fillId="3" borderId="12" xfId="0" applyNumberFormat="1" applyFont="1" applyFill="1" applyBorder="1" applyAlignment="1">
      <alignment/>
    </xf>
    <xf numFmtId="164" fontId="4" fillId="3" borderId="12" xfId="0" applyNumberFormat="1" applyFont="1" applyFill="1" applyBorder="1" applyAlignment="1" quotePrefix="1">
      <alignment horizontal="center"/>
    </xf>
    <xf numFmtId="0" fontId="4" fillId="2" borderId="1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3" fontId="7" fillId="3" borderId="33" xfId="0" applyNumberFormat="1" applyFont="1" applyFill="1" applyBorder="1" applyAlignment="1">
      <alignment/>
    </xf>
    <xf numFmtId="165" fontId="4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165" fontId="4" fillId="3" borderId="12" xfId="0" applyNumberFormat="1" applyFont="1" applyFill="1" applyBorder="1" applyAlignment="1">
      <alignment horizontal="right"/>
    </xf>
    <xf numFmtId="164" fontId="4" fillId="3" borderId="12" xfId="0" applyNumberFormat="1" applyFont="1" applyFill="1" applyBorder="1" applyAlignment="1">
      <alignment/>
    </xf>
    <xf numFmtId="168" fontId="4" fillId="3" borderId="25" xfId="0" applyNumberFormat="1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3" borderId="33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8" fontId="5" fillId="3" borderId="8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 horizontal="right"/>
    </xf>
    <xf numFmtId="174" fontId="4" fillId="3" borderId="8" xfId="0" applyNumberFormat="1" applyFont="1" applyFill="1" applyBorder="1" applyAlignment="1">
      <alignment horizontal="right"/>
    </xf>
    <xf numFmtId="168" fontId="4" fillId="3" borderId="12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left"/>
    </xf>
    <xf numFmtId="165" fontId="4" fillId="3" borderId="12" xfId="0" applyNumberFormat="1" applyFont="1" applyFill="1" applyBorder="1" applyAlignment="1" quotePrefix="1">
      <alignment/>
    </xf>
    <xf numFmtId="9" fontId="4" fillId="3" borderId="12" xfId="0" applyNumberFormat="1" applyFont="1" applyFill="1" applyBorder="1" applyAlignment="1" quotePrefix="1">
      <alignment/>
    </xf>
    <xf numFmtId="165" fontId="4" fillId="3" borderId="33" xfId="0" applyNumberFormat="1" applyFont="1" applyFill="1" applyBorder="1" applyAlignment="1" quotePrefix="1">
      <alignment/>
    </xf>
    <xf numFmtId="3" fontId="4" fillId="3" borderId="22" xfId="0" applyNumberFormat="1" applyFont="1" applyFill="1" applyBorder="1" applyAlignment="1" quotePrefix="1">
      <alignment/>
    </xf>
    <xf numFmtId="3" fontId="4" fillId="3" borderId="35" xfId="0" applyNumberFormat="1" applyFont="1" applyFill="1" applyBorder="1" applyAlignment="1" quotePrefix="1">
      <alignment/>
    </xf>
    <xf numFmtId="0" fontId="4" fillId="3" borderId="33" xfId="0" applyFont="1" applyFill="1" applyBorder="1" applyAlignment="1">
      <alignment/>
    </xf>
    <xf numFmtId="165" fontId="4" fillId="3" borderId="35" xfId="0" applyNumberFormat="1" applyFont="1" applyFill="1" applyBorder="1" applyAlignment="1" quotePrefix="1">
      <alignment/>
    </xf>
    <xf numFmtId="165" fontId="4" fillId="3" borderId="25" xfId="0" applyNumberFormat="1" applyFont="1" applyFill="1" applyBorder="1" applyAlignment="1" quotePrefix="1">
      <alignment/>
    </xf>
    <xf numFmtId="168" fontId="4" fillId="3" borderId="12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left"/>
    </xf>
    <xf numFmtId="3" fontId="4" fillId="3" borderId="26" xfId="0" applyNumberFormat="1" applyFont="1" applyFill="1" applyBorder="1" applyAlignment="1">
      <alignment/>
    </xf>
    <xf numFmtId="168" fontId="4" fillId="3" borderId="26" xfId="0" applyNumberFormat="1" applyFont="1" applyFill="1" applyBorder="1" applyAlignment="1">
      <alignment/>
    </xf>
    <xf numFmtId="164" fontId="4" fillId="3" borderId="24" xfId="0" applyNumberFormat="1" applyFont="1" applyFill="1" applyBorder="1" applyAlignment="1">
      <alignment/>
    </xf>
    <xf numFmtId="165" fontId="4" fillId="3" borderId="24" xfId="0" applyNumberFormat="1" applyFont="1" applyFill="1" applyBorder="1" applyAlignment="1">
      <alignment/>
    </xf>
    <xf numFmtId="3" fontId="5" fillId="3" borderId="24" xfId="0" applyNumberFormat="1" applyFont="1" applyFill="1" applyBorder="1" applyAlignment="1">
      <alignment/>
    </xf>
    <xf numFmtId="165" fontId="4" fillId="3" borderId="24" xfId="0" applyNumberFormat="1" applyFont="1" applyFill="1" applyBorder="1" applyAlignment="1">
      <alignment horizontal="right"/>
    </xf>
    <xf numFmtId="164" fontId="4" fillId="3" borderId="34" xfId="0" applyNumberFormat="1" applyFont="1" applyFill="1" applyBorder="1" applyAlignment="1" quotePrefix="1">
      <alignment horizontal="right"/>
    </xf>
    <xf numFmtId="3" fontId="4" fillId="3" borderId="29" xfId="0" applyNumberFormat="1" applyFont="1" applyFill="1" applyBorder="1" applyAlignment="1">
      <alignment/>
    </xf>
    <xf numFmtId="168" fontId="4" fillId="3" borderId="29" xfId="0" applyNumberFormat="1" applyFont="1" applyFill="1" applyBorder="1" applyAlignment="1">
      <alignment/>
    </xf>
    <xf numFmtId="164" fontId="4" fillId="3" borderId="22" xfId="0" applyNumberFormat="1" applyFont="1" applyFill="1" applyBorder="1" applyAlignment="1">
      <alignment/>
    </xf>
    <xf numFmtId="3" fontId="5" fillId="3" borderId="22" xfId="0" applyNumberFormat="1" applyFont="1" applyFill="1" applyBorder="1" applyAlignment="1">
      <alignment/>
    </xf>
    <xf numFmtId="168" fontId="4" fillId="3" borderId="22" xfId="0" applyNumberFormat="1" applyFont="1" applyFill="1" applyBorder="1" applyAlignment="1">
      <alignment horizontal="right"/>
    </xf>
    <xf numFmtId="164" fontId="4" fillId="3" borderId="35" xfId="0" applyNumberFormat="1" applyFont="1" applyFill="1" applyBorder="1" applyAlignment="1" quotePrefix="1">
      <alignment horizontal="right"/>
    </xf>
    <xf numFmtId="0" fontId="4" fillId="3" borderId="11" xfId="0" applyFont="1" applyFill="1" applyBorder="1" applyAlignment="1">
      <alignment horizontal="left"/>
    </xf>
    <xf numFmtId="164" fontId="4" fillId="3" borderId="8" xfId="0" applyNumberFormat="1" applyFont="1" applyFill="1" applyBorder="1" applyAlignment="1">
      <alignment/>
    </xf>
    <xf numFmtId="164" fontId="4" fillId="3" borderId="10" xfId="0" applyNumberFormat="1" applyFont="1" applyFill="1" applyBorder="1" applyAlignment="1" quotePrefix="1">
      <alignment horizontal="right"/>
    </xf>
    <xf numFmtId="3" fontId="4" fillId="3" borderId="0" xfId="0" applyNumberFormat="1" applyFont="1" applyFill="1" applyBorder="1" applyAlignment="1">
      <alignment/>
    </xf>
    <xf numFmtId="168" fontId="4" fillId="3" borderId="0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168" fontId="4" fillId="3" borderId="0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 quotePrefix="1">
      <alignment horizontal="right"/>
    </xf>
    <xf numFmtId="0" fontId="4" fillId="3" borderId="6" xfId="0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/>
    </xf>
    <xf numFmtId="168" fontId="4" fillId="3" borderId="4" xfId="0" applyNumberFormat="1" applyFont="1" applyFill="1" applyBorder="1" applyAlignment="1">
      <alignment/>
    </xf>
    <xf numFmtId="164" fontId="4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168" fontId="4" fillId="3" borderId="4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 quotePrefix="1">
      <alignment horizontal="right"/>
    </xf>
    <xf numFmtId="3" fontId="4" fillId="3" borderId="9" xfId="0" applyNumberFormat="1" applyFont="1" applyFill="1" applyBorder="1" applyAlignment="1">
      <alignment/>
    </xf>
    <xf numFmtId="168" fontId="4" fillId="3" borderId="9" xfId="0" applyNumberFormat="1" applyFont="1" applyFill="1" applyBorder="1" applyAlignment="1">
      <alignment/>
    </xf>
    <xf numFmtId="164" fontId="4" fillId="3" borderId="9" xfId="0" applyNumberFormat="1" applyFont="1" applyFill="1" applyBorder="1" applyAlignment="1">
      <alignment/>
    </xf>
    <xf numFmtId="165" fontId="4" fillId="3" borderId="9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 quotePrefix="1">
      <alignment horizontal="right"/>
    </xf>
    <xf numFmtId="0" fontId="2" fillId="2" borderId="10" xfId="0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165" fontId="5" fillId="3" borderId="25" xfId="0" applyNumberFormat="1" applyFont="1" applyFill="1" applyBorder="1" applyAlignment="1">
      <alignment horizontal="left"/>
    </xf>
    <xf numFmtId="165" fontId="4" fillId="3" borderId="25" xfId="0" applyNumberFormat="1" applyFont="1" applyFill="1" applyBorder="1" applyAlignment="1">
      <alignment/>
    </xf>
    <xf numFmtId="165" fontId="4" fillId="3" borderId="12" xfId="0" applyNumberFormat="1" applyFont="1" applyFill="1" applyBorder="1" applyAlignment="1">
      <alignment/>
    </xf>
    <xf numFmtId="165" fontId="5" fillId="3" borderId="33" xfId="0" applyNumberFormat="1" applyFont="1" applyFill="1" applyBorder="1" applyAlignment="1">
      <alignment/>
    </xf>
    <xf numFmtId="165" fontId="4" fillId="3" borderId="25" xfId="0" applyNumberFormat="1" applyFont="1" applyFill="1" applyBorder="1" applyAlignment="1">
      <alignment horizontal="left"/>
    </xf>
    <xf numFmtId="165" fontId="4" fillId="3" borderId="33" xfId="0" applyNumberFormat="1" applyFont="1" applyFill="1" applyBorder="1" applyAlignment="1" quotePrefix="1">
      <alignment horizontal="center"/>
    </xf>
    <xf numFmtId="168" fontId="4" fillId="3" borderId="25" xfId="0" applyNumberFormat="1" applyFont="1" applyFill="1" applyBorder="1" applyAlignment="1">
      <alignment horizontal="left"/>
    </xf>
    <xf numFmtId="168" fontId="4" fillId="3" borderId="29" xfId="0" applyNumberFormat="1" applyFont="1" applyFill="1" applyBorder="1" applyAlignment="1">
      <alignment horizontal="left"/>
    </xf>
    <xf numFmtId="165" fontId="4" fillId="3" borderId="29" xfId="0" applyNumberFormat="1" applyFont="1" applyFill="1" applyBorder="1" applyAlignment="1">
      <alignment/>
    </xf>
    <xf numFmtId="165" fontId="4" fillId="3" borderId="22" xfId="0" applyNumberFormat="1" applyFont="1" applyFill="1" applyBorder="1" applyAlignment="1">
      <alignment/>
    </xf>
    <xf numFmtId="165" fontId="4" fillId="3" borderId="22" xfId="0" applyNumberFormat="1" applyFont="1" applyFill="1" applyBorder="1" applyAlignment="1" quotePrefix="1">
      <alignment/>
    </xf>
    <xf numFmtId="171" fontId="5" fillId="3" borderId="2" xfId="0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171" fontId="4" fillId="3" borderId="2" xfId="0" applyNumberFormat="1" applyFont="1" applyFill="1" applyBorder="1" applyAlignment="1">
      <alignment horizontal="right"/>
    </xf>
    <xf numFmtId="171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9" xfId="0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180" fontId="5" fillId="3" borderId="25" xfId="0" applyNumberFormat="1" applyFont="1" applyFill="1" applyBorder="1" applyAlignment="1">
      <alignment/>
    </xf>
    <xf numFmtId="180" fontId="5" fillId="3" borderId="33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/>
    </xf>
    <xf numFmtId="3" fontId="14" fillId="3" borderId="2" xfId="0" applyNumberFormat="1" applyFont="1" applyFill="1" applyBorder="1" applyAlignment="1">
      <alignment/>
    </xf>
    <xf numFmtId="164" fontId="14" fillId="3" borderId="14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80" fontId="14" fillId="3" borderId="2" xfId="0" applyNumberFormat="1" applyFont="1" applyFill="1" applyBorder="1" applyAlignment="1">
      <alignment horizontal="center"/>
    </xf>
    <xf numFmtId="168" fontId="14" fillId="3" borderId="2" xfId="0" applyNumberFormat="1" applyFont="1" applyFill="1" applyBorder="1" applyAlignment="1">
      <alignment/>
    </xf>
    <xf numFmtId="168" fontId="14" fillId="3" borderId="14" xfId="0" applyNumberFormat="1" applyFont="1" applyFill="1" applyBorder="1" applyAlignment="1">
      <alignment/>
    </xf>
    <xf numFmtId="3" fontId="14" fillId="3" borderId="2" xfId="0" applyNumberFormat="1" applyFont="1" applyFill="1" applyBorder="1" applyAlignment="1">
      <alignment horizontal="center"/>
    </xf>
    <xf numFmtId="164" fontId="14" fillId="3" borderId="14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168" fontId="14" fillId="3" borderId="2" xfId="0" applyNumberFormat="1" applyFont="1" applyFill="1" applyBorder="1" applyAlignment="1">
      <alignment horizontal="center"/>
    </xf>
    <xf numFmtId="168" fontId="14" fillId="3" borderId="14" xfId="0" applyNumberFormat="1" applyFont="1" applyFill="1" applyBorder="1" applyAlignment="1">
      <alignment horizontal="center"/>
    </xf>
    <xf numFmtId="180" fontId="14" fillId="3" borderId="2" xfId="0" applyNumberFormat="1" applyFont="1" applyFill="1" applyBorder="1" applyAlignment="1">
      <alignment horizontal="right"/>
    </xf>
    <xf numFmtId="180" fontId="14" fillId="3" borderId="14" xfId="0" applyNumberFormat="1" applyFont="1" applyFill="1" applyBorder="1" applyAlignment="1" quotePrefix="1">
      <alignment horizontal="center"/>
    </xf>
    <xf numFmtId="0" fontId="14" fillId="3" borderId="7" xfId="0" applyFont="1" applyFill="1" applyBorder="1" applyAlignment="1">
      <alignment/>
    </xf>
    <xf numFmtId="3" fontId="14" fillId="3" borderId="7" xfId="0" applyNumberFormat="1" applyFont="1" applyFill="1" applyBorder="1" applyAlignment="1">
      <alignment/>
    </xf>
    <xf numFmtId="164" fontId="14" fillId="3" borderId="19" xfId="0" applyNumberFormat="1" applyFont="1" applyFill="1" applyBorder="1" applyAlignment="1">
      <alignment/>
    </xf>
    <xf numFmtId="164" fontId="14" fillId="3" borderId="3" xfId="0" applyNumberFormat="1" applyFont="1" applyFill="1" applyBorder="1" applyAlignment="1">
      <alignment/>
    </xf>
    <xf numFmtId="180" fontId="14" fillId="3" borderId="7" xfId="0" applyNumberFormat="1" applyFont="1" applyFill="1" applyBorder="1" applyAlignment="1">
      <alignment horizontal="right"/>
    </xf>
    <xf numFmtId="168" fontId="14" fillId="3" borderId="7" xfId="0" applyNumberFormat="1" applyFont="1" applyFill="1" applyBorder="1" applyAlignment="1">
      <alignment/>
    </xf>
    <xf numFmtId="168" fontId="14" fillId="3" borderId="19" xfId="0" applyNumberFormat="1" applyFont="1" applyFill="1" applyBorder="1" applyAlignment="1">
      <alignment/>
    </xf>
    <xf numFmtId="3" fontId="0" fillId="3" borderId="2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3" fontId="2" fillId="3" borderId="2" xfId="0" applyNumberFormat="1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3" fontId="0" fillId="3" borderId="7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0" fontId="0" fillId="3" borderId="9" xfId="0" applyFill="1" applyBorder="1" applyAlignment="1">
      <alignment/>
    </xf>
    <xf numFmtId="3" fontId="0" fillId="3" borderId="11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1" fontId="1" fillId="3" borderId="9" xfId="0" applyNumberFormat="1" applyFont="1" applyFill="1" applyBorder="1" applyAlignment="1">
      <alignment/>
    </xf>
    <xf numFmtId="180" fontId="5" fillId="3" borderId="25" xfId="0" applyNumberFormat="1" applyFont="1" applyFill="1" applyBorder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80" fontId="5" fillId="0" borderId="0" xfId="0" applyNumberFormat="1" applyFont="1" applyFill="1" applyBorder="1" applyAlignment="1" quotePrefix="1">
      <alignment/>
    </xf>
    <xf numFmtId="0" fontId="2" fillId="3" borderId="12" xfId="0" applyFont="1" applyFill="1" applyBorder="1" applyAlignment="1">
      <alignment horizontal="center"/>
    </xf>
    <xf numFmtId="3" fontId="7" fillId="3" borderId="31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3" fontId="7" fillId="3" borderId="2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164" fontId="4" fillId="3" borderId="33" xfId="0" applyNumberFormat="1" applyFont="1" applyFill="1" applyBorder="1" applyAlignment="1">
      <alignment/>
    </xf>
    <xf numFmtId="0" fontId="7" fillId="3" borderId="21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185" fontId="0" fillId="0" borderId="0" xfId="0" applyNumberFormat="1" applyAlignment="1">
      <alignment/>
    </xf>
    <xf numFmtId="3" fontId="7" fillId="3" borderId="27" xfId="0" applyNumberFormat="1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/>
    </xf>
    <xf numFmtId="164" fontId="4" fillId="3" borderId="3" xfId="0" applyNumberFormat="1" applyFont="1" applyFill="1" applyBorder="1" applyAlignment="1" quotePrefix="1">
      <alignment/>
    </xf>
    <xf numFmtId="0" fontId="5" fillId="3" borderId="26" xfId="0" applyFont="1" applyFill="1" applyBorder="1" applyAlignment="1">
      <alignment horizontal="center"/>
    </xf>
    <xf numFmtId="167" fontId="4" fillId="3" borderId="1" xfId="15" applyNumberFormat="1" applyFont="1" applyFill="1" applyBorder="1" applyAlignment="1">
      <alignment/>
    </xf>
    <xf numFmtId="167" fontId="4" fillId="3" borderId="40" xfId="15" applyNumberFormat="1" applyFont="1" applyFill="1" applyBorder="1" applyAlignment="1">
      <alignment/>
    </xf>
    <xf numFmtId="167" fontId="4" fillId="3" borderId="34" xfId="15" applyNumberFormat="1" applyFont="1" applyFill="1" applyBorder="1" applyAlignment="1">
      <alignment/>
    </xf>
    <xf numFmtId="165" fontId="4" fillId="3" borderId="12" xfId="0" applyNumberFormat="1" applyFont="1" applyFill="1" applyBorder="1" applyAlignment="1">
      <alignment/>
    </xf>
    <xf numFmtId="3" fontId="4" fillId="3" borderId="24" xfId="0" applyNumberFormat="1" applyFont="1" applyFill="1" applyBorder="1" applyAlignment="1">
      <alignment/>
    </xf>
    <xf numFmtId="164" fontId="4" fillId="3" borderId="34" xfId="0" applyNumberFormat="1" applyFont="1" applyFill="1" applyBorder="1" applyAlignment="1" quotePrefix="1">
      <alignment/>
    </xf>
    <xf numFmtId="165" fontId="4" fillId="3" borderId="0" xfId="0" applyNumberFormat="1" applyFont="1" applyFill="1" applyBorder="1" applyAlignment="1">
      <alignment/>
    </xf>
    <xf numFmtId="164" fontId="4" fillId="3" borderId="1" xfId="0" applyNumberFormat="1" applyFont="1" applyFill="1" applyBorder="1" applyAlignment="1" quotePrefix="1">
      <alignment/>
    </xf>
    <xf numFmtId="5" fontId="5" fillId="3" borderId="0" xfId="0" applyNumberFormat="1" applyFont="1" applyFill="1" applyBorder="1" applyAlignment="1">
      <alignment/>
    </xf>
    <xf numFmtId="0" fontId="0" fillId="0" borderId="39" xfId="0" applyBorder="1" applyAlignment="1">
      <alignment/>
    </xf>
    <xf numFmtId="43" fontId="15" fillId="3" borderId="25" xfId="15" applyNumberFormat="1" applyFont="1" applyFill="1" applyBorder="1" applyAlignment="1">
      <alignment/>
    </xf>
    <xf numFmtId="43" fontId="15" fillId="3" borderId="33" xfId="15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3" fontId="4" fillId="3" borderId="8" xfId="0" applyNumberFormat="1" applyFont="1" applyFill="1" applyBorder="1" applyAlignment="1" quotePrefix="1">
      <alignment/>
    </xf>
    <xf numFmtId="3" fontId="4" fillId="3" borderId="10" xfId="0" applyNumberFormat="1" applyFont="1" applyFill="1" applyBorder="1" applyAlignment="1" quotePrefix="1">
      <alignment/>
    </xf>
    <xf numFmtId="0" fontId="0" fillId="0" borderId="40" xfId="0" applyBorder="1" applyAlignment="1">
      <alignment/>
    </xf>
    <xf numFmtId="0" fontId="7" fillId="3" borderId="31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165" fontId="16" fillId="3" borderId="1" xfId="0" applyNumberFormat="1" applyFont="1" applyFill="1" applyBorder="1" applyAlignment="1">
      <alignment/>
    </xf>
    <xf numFmtId="4" fontId="16" fillId="3" borderId="1" xfId="0" applyNumberFormat="1" applyFont="1" applyFill="1" applyBorder="1" applyAlignment="1">
      <alignment/>
    </xf>
    <xf numFmtId="168" fontId="16" fillId="3" borderId="1" xfId="0" applyNumberFormat="1" applyFont="1" applyFill="1" applyBorder="1" applyAlignment="1">
      <alignment/>
    </xf>
    <xf numFmtId="3" fontId="5" fillId="3" borderId="33" xfId="0" applyNumberFormat="1" applyFont="1" applyFill="1" applyBorder="1" applyAlignment="1">
      <alignment/>
    </xf>
    <xf numFmtId="178" fontId="17" fillId="3" borderId="1" xfId="0" applyNumberFormat="1" applyFont="1" applyFill="1" applyBorder="1" applyAlignment="1">
      <alignment/>
    </xf>
    <xf numFmtId="165" fontId="17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79" fontId="16" fillId="3" borderId="14" xfId="0" applyNumberFormat="1" applyFont="1" applyFill="1" applyBorder="1" applyAlignment="1">
      <alignment/>
    </xf>
    <xf numFmtId="177" fontId="16" fillId="3" borderId="14" xfId="0" applyNumberFormat="1" applyFont="1" applyFill="1" applyBorder="1" applyAlignment="1">
      <alignment/>
    </xf>
    <xf numFmtId="3" fontId="15" fillId="3" borderId="12" xfId="0" applyNumberFormat="1" applyFont="1" applyFill="1" applyBorder="1" applyAlignment="1">
      <alignment/>
    </xf>
    <xf numFmtId="3" fontId="19" fillId="3" borderId="12" xfId="0" applyNumberFormat="1" applyFont="1" applyFill="1" applyBorder="1" applyAlignment="1">
      <alignment/>
    </xf>
    <xf numFmtId="3" fontId="15" fillId="3" borderId="25" xfId="0" applyNumberFormat="1" applyFont="1" applyFill="1" applyBorder="1" applyAlignment="1">
      <alignment/>
    </xf>
    <xf numFmtId="0" fontId="15" fillId="3" borderId="12" xfId="0" applyFont="1" applyFill="1" applyBorder="1" applyAlignment="1">
      <alignment/>
    </xf>
    <xf numFmtId="164" fontId="15" fillId="3" borderId="1" xfId="0" applyNumberFormat="1" applyFont="1" applyFill="1" applyBorder="1" applyAlignment="1">
      <alignment/>
    </xf>
    <xf numFmtId="168" fontId="15" fillId="3" borderId="12" xfId="0" applyNumberFormat="1" applyFont="1" applyFill="1" applyBorder="1" applyAlignment="1">
      <alignment/>
    </xf>
    <xf numFmtId="167" fontId="15" fillId="3" borderId="25" xfId="15" applyNumberFormat="1" applyFont="1" applyFill="1" applyBorder="1" applyAlignment="1">
      <alignment/>
    </xf>
    <xf numFmtId="167" fontId="15" fillId="3" borderId="33" xfId="15" applyNumberFormat="1" applyFont="1" applyFill="1" applyBorder="1" applyAlignment="1">
      <alignment/>
    </xf>
    <xf numFmtId="0" fontId="4" fillId="3" borderId="16" xfId="0" applyFont="1" applyFill="1" applyBorder="1" applyAlignment="1">
      <alignment horizontal="left"/>
    </xf>
    <xf numFmtId="165" fontId="4" fillId="3" borderId="26" xfId="0" applyNumberFormat="1" applyFont="1" applyFill="1" applyBorder="1" applyAlignment="1">
      <alignment/>
    </xf>
    <xf numFmtId="165" fontId="4" fillId="3" borderId="24" xfId="0" applyNumberFormat="1" applyFont="1" applyFill="1" applyBorder="1" applyAlignment="1" quotePrefix="1">
      <alignment horizontal="center"/>
    </xf>
    <xf numFmtId="165" fontId="4" fillId="3" borderId="34" xfId="0" applyNumberFormat="1" applyFont="1" applyFill="1" applyBorder="1" applyAlignment="1" quotePrefix="1">
      <alignment horizontal="center"/>
    </xf>
    <xf numFmtId="168" fontId="4" fillId="3" borderId="0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168" fontId="5" fillId="3" borderId="25" xfId="0" applyNumberFormat="1" applyFont="1" applyFill="1" applyBorder="1" applyAlignment="1" quotePrefix="1">
      <alignment horizontal="left"/>
    </xf>
    <xf numFmtId="168" fontId="5" fillId="3" borderId="25" xfId="0" applyNumberFormat="1" applyFont="1" applyFill="1" applyBorder="1" applyAlignment="1" quotePrefix="1">
      <alignment/>
    </xf>
    <xf numFmtId="168" fontId="5" fillId="3" borderId="33" xfId="0" applyNumberFormat="1" applyFont="1" applyFill="1" applyBorder="1" applyAlignment="1" quotePrefix="1">
      <alignment/>
    </xf>
    <xf numFmtId="3" fontId="5" fillId="3" borderId="35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/>
    </xf>
    <xf numFmtId="0" fontId="7" fillId="3" borderId="2" xfId="0" applyFont="1" applyFill="1" applyBorder="1" applyAlignment="1">
      <alignment horizontal="left"/>
    </xf>
    <xf numFmtId="171" fontId="4" fillId="3" borderId="15" xfId="0" applyNumberFormat="1" applyFont="1" applyFill="1" applyBorder="1" applyAlignment="1">
      <alignment horizontal="right"/>
    </xf>
    <xf numFmtId="165" fontId="5" fillId="3" borderId="34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5" fontId="5" fillId="3" borderId="0" xfId="0" applyNumberFormat="1" applyFont="1" applyFill="1" applyBorder="1" applyAlignment="1">
      <alignment/>
    </xf>
    <xf numFmtId="165" fontId="4" fillId="3" borderId="0" xfId="0" applyNumberFormat="1" applyFont="1" applyFill="1" applyBorder="1" applyAlignment="1">
      <alignment/>
    </xf>
    <xf numFmtId="165" fontId="4" fillId="3" borderId="0" xfId="0" applyNumberFormat="1" applyFont="1" applyFill="1" applyBorder="1" applyAlignment="1" quotePrefix="1">
      <alignment horizontal="center"/>
    </xf>
    <xf numFmtId="171" fontId="4" fillId="3" borderId="7" xfId="0" applyNumberFormat="1" applyFont="1" applyFill="1" applyBorder="1" applyAlignment="1">
      <alignment horizontal="right"/>
    </xf>
    <xf numFmtId="165" fontId="4" fillId="3" borderId="9" xfId="0" applyNumberFormat="1" applyFont="1" applyFill="1" applyBorder="1" applyAlignment="1">
      <alignment/>
    </xf>
    <xf numFmtId="165" fontId="4" fillId="3" borderId="9" xfId="0" applyNumberFormat="1" applyFont="1" applyFill="1" applyBorder="1" applyAlignment="1" quotePrefix="1">
      <alignment/>
    </xf>
    <xf numFmtId="3" fontId="2" fillId="3" borderId="12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3" fontId="2" fillId="3" borderId="33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5" fontId="4" fillId="3" borderId="0" xfId="0" applyNumberFormat="1" applyFont="1" applyFill="1" applyBorder="1" applyAlignment="1">
      <alignment/>
    </xf>
    <xf numFmtId="5" fontId="4" fillId="3" borderId="9" xfId="0" applyNumberFormat="1" applyFont="1" applyFill="1" applyBorder="1" applyAlignment="1">
      <alignment/>
    </xf>
    <xf numFmtId="5" fontId="4" fillId="3" borderId="4" xfId="0" applyNumberFormat="1" applyFont="1" applyFill="1" applyBorder="1" applyAlignment="1">
      <alignment/>
    </xf>
    <xf numFmtId="164" fontId="4" fillId="3" borderId="5" xfId="0" applyNumberFormat="1" applyFont="1" applyFill="1" applyBorder="1" applyAlignment="1" quotePrefix="1">
      <alignment/>
    </xf>
    <xf numFmtId="164" fontId="16" fillId="3" borderId="1" xfId="0" applyNumberFormat="1" applyFont="1" applyFill="1" applyBorder="1" applyAlignment="1">
      <alignment/>
    </xf>
    <xf numFmtId="9" fontId="4" fillId="3" borderId="8" xfId="21" applyFont="1" applyFill="1" applyBorder="1" applyAlignment="1">
      <alignment/>
    </xf>
    <xf numFmtId="165" fontId="15" fillId="3" borderId="25" xfId="0" applyNumberFormat="1" applyFont="1" applyFill="1" applyBorder="1" applyAlignment="1">
      <alignment/>
    </xf>
    <xf numFmtId="0" fontId="18" fillId="3" borderId="2" xfId="0" applyFont="1" applyFill="1" applyBorder="1" applyAlignment="1">
      <alignment/>
    </xf>
    <xf numFmtId="5" fontId="19" fillId="3" borderId="1" xfId="15" applyNumberFormat="1" applyFont="1" applyFill="1" applyBorder="1" applyAlignment="1">
      <alignment horizontal="centerContinuous"/>
    </xf>
    <xf numFmtId="164" fontId="18" fillId="3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0" fillId="3" borderId="1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17" fillId="3" borderId="0" xfId="0" applyFont="1" applyFill="1" applyBorder="1" applyAlignment="1">
      <alignment/>
    </xf>
    <xf numFmtId="180" fontId="15" fillId="3" borderId="12" xfId="21" applyNumberFormat="1" applyFont="1" applyFill="1" applyBorder="1" applyAlignment="1">
      <alignment/>
    </xf>
    <xf numFmtId="165" fontId="15" fillId="3" borderId="12" xfId="0" applyNumberFormat="1" applyFont="1" applyFill="1" applyBorder="1" applyAlignment="1">
      <alignment/>
    </xf>
    <xf numFmtId="9" fontId="20" fillId="3" borderId="8" xfId="21" applyFont="1" applyFill="1" applyBorder="1" applyAlignment="1">
      <alignment/>
    </xf>
    <xf numFmtId="9" fontId="20" fillId="3" borderId="0" xfId="21" applyFont="1" applyFill="1" applyBorder="1" applyAlignment="1">
      <alignment/>
    </xf>
    <xf numFmtId="164" fontId="20" fillId="3" borderId="12" xfId="0" applyNumberFormat="1" applyFont="1" applyFill="1" applyBorder="1" applyAlignment="1">
      <alignment/>
    </xf>
    <xf numFmtId="168" fontId="13" fillId="3" borderId="0" xfId="0" applyNumberFormat="1" applyFont="1" applyFill="1" applyBorder="1" applyAlignment="1">
      <alignment/>
    </xf>
    <xf numFmtId="164" fontId="21" fillId="3" borderId="12" xfId="0" applyNumberFormat="1" applyFont="1" applyFill="1" applyBorder="1" applyAlignment="1">
      <alignment/>
    </xf>
    <xf numFmtId="10" fontId="16" fillId="3" borderId="14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22" fillId="3" borderId="24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165" fontId="16" fillId="3" borderId="3" xfId="0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3" borderId="10" xfId="0" applyNumberFormat="1" applyFont="1" applyFill="1" applyBorder="1" applyAlignment="1">
      <alignment/>
    </xf>
    <xf numFmtId="0" fontId="1" fillId="3" borderId="7" xfId="0" applyFont="1" applyFill="1" applyBorder="1" applyAlignment="1">
      <alignment/>
    </xf>
    <xf numFmtId="3" fontId="15" fillId="3" borderId="0" xfId="0" applyNumberFormat="1" applyFont="1" applyFill="1" applyBorder="1" applyAlignment="1">
      <alignment/>
    </xf>
    <xf numFmtId="3" fontId="4" fillId="3" borderId="0" xfId="21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15" fillId="3" borderId="8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164" fontId="15" fillId="3" borderId="10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3" fontId="4" fillId="3" borderId="9" xfId="21" applyNumberFormat="1" applyFont="1" applyFill="1" applyBorder="1" applyAlignment="1">
      <alignment/>
    </xf>
    <xf numFmtId="168" fontId="4" fillId="3" borderId="8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179" fontId="19" fillId="3" borderId="1" xfId="0" applyNumberFormat="1" applyFont="1" applyFill="1" applyBorder="1" applyAlignment="1">
      <alignment/>
    </xf>
    <xf numFmtId="164" fontId="19" fillId="3" borderId="0" xfId="0" applyNumberFormat="1" applyFont="1" applyFill="1" applyBorder="1" applyAlignment="1">
      <alignment/>
    </xf>
    <xf numFmtId="180" fontId="16" fillId="0" borderId="1" xfId="0" applyNumberFormat="1" applyFont="1" applyFill="1" applyBorder="1" applyAlignment="1">
      <alignment/>
    </xf>
    <xf numFmtId="10" fontId="16" fillId="0" borderId="1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/>
    </xf>
    <xf numFmtId="5" fontId="7" fillId="0" borderId="0" xfId="0" applyNumberFormat="1" applyFont="1" applyFill="1" applyBorder="1" applyAlignment="1">
      <alignment/>
    </xf>
    <xf numFmtId="0" fontId="5" fillId="3" borderId="2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3" borderId="7" xfId="0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/>
    </xf>
    <xf numFmtId="165" fontId="4" fillId="3" borderId="8" xfId="0" applyNumberFormat="1" applyFont="1" applyFill="1" applyBorder="1" applyAlignment="1">
      <alignment/>
    </xf>
    <xf numFmtId="165" fontId="4" fillId="3" borderId="8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 quotePrefix="1">
      <alignment/>
    </xf>
    <xf numFmtId="0" fontId="7" fillId="3" borderId="8" xfId="0" applyFont="1" applyFill="1" applyBorder="1" applyAlignment="1">
      <alignment horizontal="center"/>
    </xf>
    <xf numFmtId="3" fontId="15" fillId="3" borderId="29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3" fontId="15" fillId="3" borderId="35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3" fontId="7" fillId="3" borderId="9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3" fontId="15" fillId="3" borderId="25" xfId="0" applyNumberFormat="1" applyFont="1" applyFill="1" applyBorder="1" applyAlignment="1">
      <alignment horizontal="right"/>
    </xf>
    <xf numFmtId="3" fontId="15" fillId="3" borderId="33" xfId="0" applyNumberFormat="1" applyFont="1" applyFill="1" applyBorder="1" applyAlignment="1">
      <alignment horizontal="right"/>
    </xf>
    <xf numFmtId="3" fontId="15" fillId="3" borderId="12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68" fontId="4" fillId="3" borderId="25" xfId="0" applyNumberFormat="1" applyFont="1" applyFill="1" applyBorder="1" applyAlignment="1">
      <alignment/>
    </xf>
    <xf numFmtId="168" fontId="4" fillId="3" borderId="33" xfId="0" applyNumberFormat="1" applyFont="1" applyFill="1" applyBorder="1" applyAlignment="1">
      <alignment/>
    </xf>
    <xf numFmtId="0" fontId="25" fillId="3" borderId="1" xfId="0" applyFont="1" applyFill="1" applyBorder="1" applyAlignment="1">
      <alignment/>
    </xf>
    <xf numFmtId="0" fontId="25" fillId="3" borderId="2" xfId="0" applyFont="1" applyFill="1" applyBorder="1" applyAlignment="1">
      <alignment horizontal="center"/>
    </xf>
    <xf numFmtId="180" fontId="14" fillId="3" borderId="1" xfId="21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164" fontId="15" fillId="3" borderId="12" xfId="0" applyNumberFormat="1" applyFont="1" applyFill="1" applyBorder="1" applyAlignment="1" quotePrefix="1">
      <alignment/>
    </xf>
    <xf numFmtId="0" fontId="1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165" fontId="4" fillId="3" borderId="22" xfId="0" applyNumberFormat="1" applyFont="1" applyFill="1" applyBorder="1" applyAlignment="1">
      <alignment/>
    </xf>
    <xf numFmtId="165" fontId="4" fillId="3" borderId="22" xfId="0" applyNumberFormat="1" applyFont="1" applyFill="1" applyBorder="1" applyAlignment="1">
      <alignment horizontal="right"/>
    </xf>
    <xf numFmtId="164" fontId="4" fillId="3" borderId="35" xfId="0" applyNumberFormat="1" applyFont="1" applyFill="1" applyBorder="1" applyAlignment="1" quotePrefix="1">
      <alignment/>
    </xf>
    <xf numFmtId="5" fontId="5" fillId="3" borderId="9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171" fontId="5" fillId="3" borderId="42" xfId="0" applyNumberFormat="1" applyFont="1" applyFill="1" applyBorder="1" applyAlignment="1">
      <alignment horizontal="right"/>
    </xf>
    <xf numFmtId="171" fontId="5" fillId="3" borderId="28" xfId="0" applyNumberFormat="1" applyFont="1" applyFill="1" applyBorder="1" applyAlignment="1">
      <alignment horizontal="right"/>
    </xf>
    <xf numFmtId="165" fontId="5" fillId="3" borderId="36" xfId="0" applyNumberFormat="1" applyFont="1" applyFill="1" applyBorder="1" applyAlignment="1">
      <alignment/>
    </xf>
    <xf numFmtId="165" fontId="5" fillId="3" borderId="40" xfId="0" applyNumberFormat="1" applyFont="1" applyFill="1" applyBorder="1" applyAlignment="1">
      <alignment/>
    </xf>
    <xf numFmtId="171" fontId="4" fillId="3" borderId="16" xfId="0" applyNumberFormat="1" applyFont="1" applyFill="1" applyBorder="1" applyAlignment="1">
      <alignment horizontal="right"/>
    </xf>
    <xf numFmtId="165" fontId="5" fillId="3" borderId="26" xfId="0" applyNumberFormat="1" applyFont="1" applyFill="1" applyBorder="1" applyAlignment="1">
      <alignment/>
    </xf>
    <xf numFmtId="165" fontId="5" fillId="3" borderId="24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6" fillId="2" borderId="8" xfId="0" applyFont="1" applyFill="1" applyBorder="1" applyAlignment="1">
      <alignment horizontal="center"/>
    </xf>
    <xf numFmtId="180" fontId="0" fillId="0" borderId="0" xfId="21" applyNumberFormat="1" applyAlignment="1">
      <alignment/>
    </xf>
    <xf numFmtId="188" fontId="0" fillId="0" borderId="0" xfId="21" applyNumberFormat="1" applyAlignment="1">
      <alignment/>
    </xf>
    <xf numFmtId="165" fontId="16" fillId="3" borderId="0" xfId="0" applyNumberFormat="1" applyFont="1" applyFill="1" applyBorder="1" applyAlignment="1">
      <alignment/>
    </xf>
    <xf numFmtId="165" fontId="16" fillId="4" borderId="1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3" fontId="7" fillId="3" borderId="31" xfId="0" applyNumberFormat="1" applyFont="1" applyFill="1" applyBorder="1" applyAlignment="1">
      <alignment horizontal="center"/>
    </xf>
    <xf numFmtId="180" fontId="15" fillId="4" borderId="12" xfId="21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7" fillId="3" borderId="24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3" fontId="19" fillId="3" borderId="3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5" fontId="19" fillId="3" borderId="0" xfId="17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3" fontId="19" fillId="3" borderId="12" xfId="0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3.28125" style="0" customWidth="1"/>
    <col min="3" max="3" width="12.8515625" style="0" customWidth="1"/>
    <col min="4" max="4" width="3.421875" style="0" customWidth="1"/>
    <col min="5" max="5" width="25.00390625" style="0" customWidth="1"/>
  </cols>
  <sheetData>
    <row r="1" spans="3:5" ht="15.75">
      <c r="C1" s="654"/>
      <c r="E1" s="654" t="s">
        <v>482</v>
      </c>
    </row>
    <row r="2" spans="3:5" ht="15.75">
      <c r="C2" s="654"/>
      <c r="E2" s="654" t="s">
        <v>271</v>
      </c>
    </row>
    <row r="3" spans="3:5" ht="15.75">
      <c r="C3" s="654"/>
      <c r="E3" s="654"/>
    </row>
    <row r="4" spans="2:5" ht="18">
      <c r="B4" s="471"/>
      <c r="E4" s="471" t="s">
        <v>428</v>
      </c>
    </row>
    <row r="7" spans="1:8" ht="15.75">
      <c r="A7" s="472" t="s">
        <v>429</v>
      </c>
      <c r="B7" s="472"/>
      <c r="C7" s="472" t="s">
        <v>430</v>
      </c>
      <c r="D7" s="472"/>
      <c r="E7" s="472" t="s">
        <v>431</v>
      </c>
      <c r="F7" s="473"/>
      <c r="G7" s="473"/>
      <c r="H7" s="473"/>
    </row>
    <row r="8" spans="1:8" ht="12.75">
      <c r="A8" s="473"/>
      <c r="B8" s="473"/>
      <c r="C8" s="473"/>
      <c r="D8" s="473"/>
      <c r="E8" s="473"/>
      <c r="F8" s="473"/>
      <c r="G8" s="473"/>
      <c r="H8" s="473"/>
    </row>
    <row r="9" spans="1:8" ht="12.75">
      <c r="A9" s="473" t="s">
        <v>432</v>
      </c>
      <c r="B9" s="473"/>
      <c r="C9" s="473" t="s">
        <v>640</v>
      </c>
      <c r="D9" s="473"/>
      <c r="E9" s="474" t="s">
        <v>435</v>
      </c>
      <c r="F9" s="475"/>
      <c r="G9" s="475"/>
      <c r="H9" s="475"/>
    </row>
    <row r="10" spans="1:8" ht="12.75">
      <c r="A10" s="473"/>
      <c r="B10" s="473"/>
      <c r="C10" s="473"/>
      <c r="D10" s="473"/>
      <c r="E10" s="475"/>
      <c r="F10" s="475"/>
      <c r="G10" s="475"/>
      <c r="H10" s="475"/>
    </row>
    <row r="11" spans="1:8" ht="12.75">
      <c r="A11" s="473" t="s">
        <v>378</v>
      </c>
      <c r="B11" s="473"/>
      <c r="C11" s="473" t="s">
        <v>641</v>
      </c>
      <c r="D11" s="473"/>
      <c r="E11" s="474" t="s">
        <v>130</v>
      </c>
      <c r="F11" s="473"/>
      <c r="G11" s="473"/>
      <c r="H11" s="473"/>
    </row>
    <row r="12" spans="1:8" ht="12.75">
      <c r="A12" s="473"/>
      <c r="B12" s="473"/>
      <c r="C12" s="473"/>
      <c r="D12" s="473"/>
      <c r="E12" s="475"/>
      <c r="F12" s="473"/>
      <c r="G12" s="473"/>
      <c r="H12" s="473"/>
    </row>
    <row r="13" spans="1:8" ht="12.75">
      <c r="A13" s="473" t="s">
        <v>483</v>
      </c>
      <c r="B13" s="473"/>
      <c r="C13" s="473" t="s">
        <v>642</v>
      </c>
      <c r="D13" s="473"/>
      <c r="E13" s="473" t="s">
        <v>484</v>
      </c>
      <c r="F13" s="473"/>
      <c r="G13" s="473"/>
      <c r="H13" s="473"/>
    </row>
    <row r="14" spans="1:8" ht="12.75">
      <c r="A14" s="473"/>
      <c r="B14" s="473"/>
      <c r="C14" s="473"/>
      <c r="D14" s="473"/>
      <c r="F14" s="473"/>
      <c r="G14" s="473"/>
      <c r="H14" s="473"/>
    </row>
    <row r="15" spans="1:8" ht="12.75">
      <c r="A15" s="473" t="s">
        <v>485</v>
      </c>
      <c r="B15" s="473"/>
      <c r="C15" s="473" t="s">
        <v>643</v>
      </c>
      <c r="D15" s="473"/>
      <c r="E15" s="473" t="s">
        <v>486</v>
      </c>
      <c r="F15" s="473"/>
      <c r="G15" s="473"/>
      <c r="H15" s="473"/>
    </row>
    <row r="16" spans="1:8" ht="12.75">
      <c r="A16" s="473"/>
      <c r="B16" s="473"/>
      <c r="C16" s="473"/>
      <c r="D16" s="473"/>
      <c r="F16" s="473"/>
      <c r="G16" s="473"/>
      <c r="H16" s="473"/>
    </row>
    <row r="17" spans="1:8" ht="12.75">
      <c r="A17" s="473" t="s">
        <v>487</v>
      </c>
      <c r="B17" s="473"/>
      <c r="C17" s="473" t="s">
        <v>644</v>
      </c>
      <c r="D17" s="473"/>
      <c r="E17" s="473" t="s">
        <v>488</v>
      </c>
      <c r="F17" s="473"/>
      <c r="G17" s="473"/>
      <c r="H17" s="473"/>
    </row>
    <row r="18" spans="1:8" ht="12.75">
      <c r="A18" s="473"/>
      <c r="B18" s="473"/>
      <c r="C18" s="473"/>
      <c r="D18" s="473"/>
      <c r="E18" s="473"/>
      <c r="F18" s="473"/>
      <c r="G18" s="473"/>
      <c r="H18" s="473"/>
    </row>
    <row r="19" spans="1:8" ht="12.75">
      <c r="A19" s="473" t="s">
        <v>437</v>
      </c>
      <c r="B19" s="473"/>
      <c r="C19" s="473" t="s">
        <v>645</v>
      </c>
      <c r="D19" s="473"/>
      <c r="E19" s="473" t="s">
        <v>281</v>
      </c>
      <c r="F19" s="473"/>
      <c r="G19" s="473"/>
      <c r="H19" s="473"/>
    </row>
    <row r="20" spans="1:8" ht="12.75">
      <c r="A20" s="473"/>
      <c r="B20" s="473"/>
      <c r="C20" s="473"/>
      <c r="D20" s="473"/>
      <c r="E20" s="473"/>
      <c r="F20" s="473"/>
      <c r="G20" s="473"/>
      <c r="H20" s="473"/>
    </row>
    <row r="21" spans="1:8" ht="12.75">
      <c r="A21" s="473"/>
      <c r="B21" s="473"/>
      <c r="C21" s="473" t="s">
        <v>646</v>
      </c>
      <c r="D21" s="473"/>
      <c r="E21" s="473" t="s">
        <v>878</v>
      </c>
      <c r="F21" s="473"/>
      <c r="G21" s="473"/>
      <c r="H21" s="473"/>
    </row>
    <row r="22" spans="1:8" ht="12.75">
      <c r="A22" s="473"/>
      <c r="B22" s="473"/>
      <c r="C22" s="473"/>
      <c r="D22" s="473"/>
      <c r="E22" s="473"/>
      <c r="F22" s="473"/>
      <c r="G22" s="473"/>
      <c r="H22" s="473"/>
    </row>
    <row r="23" spans="1:8" ht="12.75">
      <c r="A23" s="473" t="s">
        <v>438</v>
      </c>
      <c r="B23" s="473"/>
      <c r="C23" s="473" t="s">
        <v>408</v>
      </c>
      <c r="D23" s="473"/>
      <c r="E23" s="473" t="s">
        <v>425</v>
      </c>
      <c r="F23" s="473"/>
      <c r="G23" s="473"/>
      <c r="H23" s="473"/>
    </row>
    <row r="24" spans="1:8" ht="12.75">
      <c r="A24" s="473"/>
      <c r="B24" s="473"/>
      <c r="C24" s="473"/>
      <c r="D24" s="473"/>
      <c r="E24" s="473"/>
      <c r="F24" s="473"/>
      <c r="G24" s="473"/>
      <c r="H24" s="473"/>
    </row>
    <row r="25" spans="1:8" ht="12.75">
      <c r="A25" s="473" t="s">
        <v>439</v>
      </c>
      <c r="B25" s="473"/>
      <c r="C25" s="473" t="s">
        <v>739</v>
      </c>
      <c r="D25" s="473"/>
      <c r="E25" s="473" t="s">
        <v>457</v>
      </c>
      <c r="F25" s="473"/>
      <c r="G25" s="473"/>
      <c r="H25" s="473"/>
    </row>
    <row r="26" spans="1:8" ht="12.75">
      <c r="A26" s="473"/>
      <c r="B26" s="473"/>
      <c r="C26" s="473"/>
      <c r="D26" s="473"/>
      <c r="E26" s="473"/>
      <c r="F26" s="473"/>
      <c r="G26" s="473"/>
      <c r="H26" s="473"/>
    </row>
    <row r="27" spans="1:8" ht="12.75">
      <c r="A27" s="473"/>
      <c r="B27" s="473"/>
      <c r="C27" s="473" t="s">
        <v>740</v>
      </c>
      <c r="D27" s="473"/>
      <c r="E27" s="473" t="s">
        <v>634</v>
      </c>
      <c r="F27" s="473"/>
      <c r="G27" s="473"/>
      <c r="H27" s="473"/>
    </row>
    <row r="28" spans="1:8" ht="12.75">
      <c r="A28" s="473"/>
      <c r="B28" s="473"/>
      <c r="C28" s="473"/>
      <c r="D28" s="473"/>
      <c r="E28" s="473"/>
      <c r="F28" s="473"/>
      <c r="G28" s="473"/>
      <c r="H28" s="473"/>
    </row>
    <row r="29" spans="1:8" ht="12.75">
      <c r="A29" s="473" t="s">
        <v>441</v>
      </c>
      <c r="B29" s="473"/>
      <c r="C29" s="473" t="s">
        <v>741</v>
      </c>
      <c r="D29" s="473"/>
      <c r="E29" s="473" t="s">
        <v>287</v>
      </c>
      <c r="F29" s="473"/>
      <c r="G29" s="473"/>
      <c r="H29" s="473"/>
    </row>
    <row r="30" spans="1:8" ht="15">
      <c r="A30" s="473"/>
      <c r="B30" s="473"/>
      <c r="C30" s="1"/>
      <c r="D30" s="1"/>
      <c r="E30" s="1"/>
      <c r="F30" s="1"/>
      <c r="G30" s="1"/>
      <c r="H30" s="1"/>
    </row>
    <row r="31" spans="1:5" ht="12.75">
      <c r="A31" s="473" t="s">
        <v>440</v>
      </c>
      <c r="B31" s="473"/>
      <c r="C31" t="s">
        <v>742</v>
      </c>
      <c r="E31" t="s">
        <v>440</v>
      </c>
    </row>
    <row r="32" spans="1:2" ht="15">
      <c r="A32" s="473"/>
      <c r="B32" s="1"/>
    </row>
    <row r="33" spans="1:5" ht="12.75">
      <c r="A33" s="473" t="s">
        <v>442</v>
      </c>
      <c r="C33" t="s">
        <v>743</v>
      </c>
      <c r="E33" t="s">
        <v>965</v>
      </c>
    </row>
    <row r="34" ht="12.75">
      <c r="A34" s="473"/>
    </row>
    <row r="35" spans="1:5" ht="12.75">
      <c r="A35" s="473" t="s">
        <v>436</v>
      </c>
      <c r="C35" t="s">
        <v>744</v>
      </c>
      <c r="E35" t="s">
        <v>122</v>
      </c>
    </row>
    <row r="36" ht="12.75">
      <c r="A36" s="473"/>
    </row>
    <row r="37" spans="1:5" ht="12.75">
      <c r="A37" s="473" t="s">
        <v>468</v>
      </c>
      <c r="C37" t="s">
        <v>745</v>
      </c>
      <c r="E37" s="473" t="s">
        <v>468</v>
      </c>
    </row>
    <row r="38" ht="12.75">
      <c r="A38" s="473"/>
    </row>
    <row r="39" spans="1:5" ht="12.75">
      <c r="A39" s="473" t="s">
        <v>443</v>
      </c>
      <c r="C39" t="s">
        <v>798</v>
      </c>
      <c r="E39" t="s">
        <v>447</v>
      </c>
    </row>
    <row r="40" ht="12.75">
      <c r="A40" s="473"/>
    </row>
    <row r="41" spans="1:5" ht="12.75">
      <c r="A41" s="473"/>
      <c r="C41" t="s">
        <v>801</v>
      </c>
      <c r="E41" t="s">
        <v>448</v>
      </c>
    </row>
    <row r="42" ht="12.75">
      <c r="A42" s="473"/>
    </row>
    <row r="43" spans="1:5" ht="12.75">
      <c r="A43" s="473"/>
      <c r="C43" t="s">
        <v>803</v>
      </c>
      <c r="E43" t="s">
        <v>449</v>
      </c>
    </row>
    <row r="44" ht="12.75">
      <c r="A44" s="473"/>
    </row>
    <row r="45" spans="1:5" ht="12.75">
      <c r="A45" s="473"/>
      <c r="C45" t="s">
        <v>806</v>
      </c>
      <c r="E45" t="s">
        <v>450</v>
      </c>
    </row>
    <row r="46" ht="12.75">
      <c r="A46" s="473"/>
    </row>
    <row r="47" spans="1:5" ht="12.75">
      <c r="A47" s="473"/>
      <c r="C47" t="s">
        <v>807</v>
      </c>
      <c r="E47" t="s">
        <v>451</v>
      </c>
    </row>
    <row r="48" ht="12.75">
      <c r="A48" s="473"/>
    </row>
    <row r="49" spans="1:5" ht="12.75">
      <c r="A49" s="473" t="s">
        <v>444</v>
      </c>
      <c r="C49" t="s">
        <v>749</v>
      </c>
      <c r="E49" t="s">
        <v>452</v>
      </c>
    </row>
    <row r="50" ht="12.75">
      <c r="A50" s="473"/>
    </row>
    <row r="51" spans="1:5" ht="12.75">
      <c r="A51" s="473"/>
      <c r="C51" t="s">
        <v>750</v>
      </c>
      <c r="E51" t="s">
        <v>453</v>
      </c>
    </row>
    <row r="52" ht="12.75">
      <c r="A52" s="473"/>
    </row>
    <row r="53" spans="1:5" ht="12.75">
      <c r="A53" s="473"/>
      <c r="C53" t="s">
        <v>752</v>
      </c>
      <c r="E53" t="s">
        <v>454</v>
      </c>
    </row>
    <row r="54" ht="12.75">
      <c r="A54" s="473"/>
    </row>
    <row r="55" spans="1:5" ht="12.75">
      <c r="A55" s="473"/>
      <c r="C55" t="s">
        <v>795</v>
      </c>
      <c r="E55" t="s">
        <v>455</v>
      </c>
    </row>
    <row r="56" ht="12.75">
      <c r="A56" s="473"/>
    </row>
    <row r="57" spans="1:5" ht="12.75">
      <c r="A57" s="473"/>
      <c r="C57" t="s">
        <v>914</v>
      </c>
      <c r="E57" t="s">
        <v>456</v>
      </c>
    </row>
    <row r="58" ht="12.75">
      <c r="A58" s="473"/>
    </row>
    <row r="59" spans="1:5" ht="12.75">
      <c r="A59" s="473" t="s">
        <v>379</v>
      </c>
      <c r="C59" t="s">
        <v>915</v>
      </c>
      <c r="E59" s="473" t="s">
        <v>796</v>
      </c>
    </row>
    <row r="60" ht="12.75">
      <c r="A60" s="473"/>
    </row>
    <row r="61" spans="1:5" ht="12.75">
      <c r="A61" s="473" t="s">
        <v>445</v>
      </c>
      <c r="C61" t="s">
        <v>916</v>
      </c>
      <c r="E61" s="473" t="s">
        <v>797</v>
      </c>
    </row>
    <row r="62" ht="12.75">
      <c r="A62" s="473"/>
    </row>
    <row r="63" spans="1:5" ht="12.75">
      <c r="A63" t="s">
        <v>446</v>
      </c>
      <c r="C63" t="s">
        <v>917</v>
      </c>
      <c r="E63" t="s">
        <v>793</v>
      </c>
    </row>
    <row r="64" ht="12.75">
      <c r="A64" s="473"/>
    </row>
    <row r="65" ht="12.75">
      <c r="A65" s="473"/>
    </row>
    <row r="66" ht="12.75">
      <c r="A66" s="473"/>
    </row>
    <row r="67" ht="12.75">
      <c r="A67" s="473"/>
    </row>
    <row r="68" ht="12.75">
      <c r="A68" s="473"/>
    </row>
    <row r="69" ht="12.75">
      <c r="A69" s="473"/>
    </row>
    <row r="70" ht="15">
      <c r="A70" s="1"/>
    </row>
  </sheetData>
  <printOptions/>
  <pageMargins left="0.75" right="0.75" top="1" bottom="1" header="0.5" footer="0.5"/>
  <pageSetup fitToHeight="0" fitToWidth="1" horizontalDpi="600" verticalDpi="600" orientation="landscape" r:id="rId1"/>
  <headerFooter alignWithMargins="0">
    <oddHeader>&amp;RUSPS-LR-L-41
Bound Printed Matter Spreadsheets
&amp;A</oddHeader>
    <oddFooter xml:space="preserve">&amp;CPage &amp;P of &amp;N&amp;R&amp;D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21.7109375" style="0" customWidth="1"/>
    <col min="4" max="4" width="14.57421875" style="0" customWidth="1"/>
    <col min="5" max="5" width="26.00390625" style="0" customWidth="1"/>
    <col min="6" max="6" width="21.140625" style="0" customWidth="1"/>
    <col min="7" max="7" width="16.140625" style="0" customWidth="1"/>
    <col min="8" max="8" width="16.00390625" style="0" customWidth="1"/>
    <col min="9" max="9" width="15.57421875" style="0" customWidth="1"/>
    <col min="10" max="10" width="15.421875" style="0" customWidth="1"/>
    <col min="11" max="11" width="10.00390625" style="0" bestFit="1" customWidth="1"/>
  </cols>
  <sheetData>
    <row r="1" spans="1:10" ht="15">
      <c r="A1" s="173"/>
      <c r="B1" s="174"/>
      <c r="C1" s="175"/>
      <c r="D1" s="175"/>
      <c r="E1" s="175"/>
      <c r="F1" s="175"/>
      <c r="G1" s="175"/>
      <c r="H1" s="175"/>
      <c r="I1" s="175"/>
      <c r="J1" s="176"/>
    </row>
    <row r="2" spans="1:10" ht="15">
      <c r="A2" s="4"/>
      <c r="B2" s="5"/>
      <c r="C2" s="23"/>
      <c r="D2" s="23"/>
      <c r="E2" s="23"/>
      <c r="F2" s="23"/>
      <c r="G2" s="23"/>
      <c r="H2" s="23"/>
      <c r="I2" s="23"/>
      <c r="J2" s="657" t="s">
        <v>591</v>
      </c>
    </row>
    <row r="3" spans="1:10" ht="15">
      <c r="A3" s="4"/>
      <c r="B3" s="5"/>
      <c r="C3" s="23"/>
      <c r="D3" s="23"/>
      <c r="E3" s="23"/>
      <c r="F3" s="23"/>
      <c r="G3" s="23"/>
      <c r="H3" s="23"/>
      <c r="I3" s="23"/>
      <c r="J3" s="657" t="s">
        <v>741</v>
      </c>
    </row>
    <row r="4" spans="1:10" ht="18">
      <c r="A4" s="692" t="s">
        <v>287</v>
      </c>
      <c r="B4" s="693"/>
      <c r="C4" s="693"/>
      <c r="D4" s="693"/>
      <c r="E4" s="693"/>
      <c r="F4" s="693"/>
      <c r="G4" s="693"/>
      <c r="H4" s="693"/>
      <c r="I4" s="693"/>
      <c r="J4" s="694"/>
    </row>
    <row r="5" spans="1:10" ht="15.75" thickBot="1">
      <c r="A5" s="15"/>
      <c r="B5" s="11"/>
      <c r="C5" s="11"/>
      <c r="D5" s="11"/>
      <c r="E5" s="11"/>
      <c r="F5" s="11"/>
      <c r="G5" s="11"/>
      <c r="H5" s="11"/>
      <c r="I5" s="11"/>
      <c r="J5" s="13"/>
    </row>
    <row r="6" spans="1:10" ht="16.5" thickTop="1">
      <c r="A6" s="4"/>
      <c r="B6" s="14"/>
      <c r="C6" s="118"/>
      <c r="D6" s="204"/>
      <c r="E6" s="115"/>
      <c r="F6" s="115"/>
      <c r="G6" s="145"/>
      <c r="H6" s="145"/>
      <c r="I6" s="145"/>
      <c r="J6" s="152"/>
    </row>
    <row r="7" spans="1:10" ht="18.75">
      <c r="A7" s="4"/>
      <c r="B7" s="14"/>
      <c r="C7" s="118" t="s">
        <v>320</v>
      </c>
      <c r="D7" s="204"/>
      <c r="E7" s="115"/>
      <c r="F7" s="115"/>
      <c r="G7" s="145"/>
      <c r="H7" s="145"/>
      <c r="I7" s="145"/>
      <c r="J7" s="146"/>
    </row>
    <row r="8" spans="1:10" ht="16.5" thickBot="1">
      <c r="A8" s="4"/>
      <c r="B8" s="14"/>
      <c r="C8" s="120"/>
      <c r="D8" s="216"/>
      <c r="E8" s="121"/>
      <c r="F8" s="121"/>
      <c r="G8" s="147"/>
      <c r="H8" s="147"/>
      <c r="I8" s="147"/>
      <c r="J8" s="148"/>
    </row>
    <row r="9" spans="1:10" ht="16.5" thickTop="1">
      <c r="A9" s="4"/>
      <c r="B9" s="14"/>
      <c r="C9" s="156" t="s">
        <v>853</v>
      </c>
      <c r="D9" s="157" t="s">
        <v>855</v>
      </c>
      <c r="E9" s="157" t="s">
        <v>856</v>
      </c>
      <c r="F9" s="157" t="s">
        <v>857</v>
      </c>
      <c r="G9" s="157" t="s">
        <v>858</v>
      </c>
      <c r="H9" s="157" t="s">
        <v>859</v>
      </c>
      <c r="I9" s="157" t="s">
        <v>860</v>
      </c>
      <c r="J9" s="193" t="s">
        <v>861</v>
      </c>
    </row>
    <row r="10" spans="1:10" ht="15.75">
      <c r="A10" s="4"/>
      <c r="B10" s="14"/>
      <c r="C10" s="81" t="s">
        <v>854</v>
      </c>
      <c r="D10" s="158" t="s">
        <v>163</v>
      </c>
      <c r="E10" s="158" t="s">
        <v>164</v>
      </c>
      <c r="F10" s="158" t="s">
        <v>165</v>
      </c>
      <c r="G10" s="158" t="s">
        <v>166</v>
      </c>
      <c r="H10" s="158" t="s">
        <v>167</v>
      </c>
      <c r="I10" s="158" t="s">
        <v>168</v>
      </c>
      <c r="J10" s="194" t="s">
        <v>169</v>
      </c>
    </row>
    <row r="11" spans="1:10" ht="15.75">
      <c r="A11" s="4"/>
      <c r="B11" s="178"/>
      <c r="C11" s="129"/>
      <c r="D11" s="482"/>
      <c r="E11" s="482"/>
      <c r="F11" s="482"/>
      <c r="G11" s="482"/>
      <c r="H11" s="482"/>
      <c r="I11" s="482"/>
      <c r="J11" s="499"/>
    </row>
    <row r="12" spans="1:10" ht="15.75">
      <c r="A12" s="4"/>
      <c r="B12" s="74" t="s">
        <v>151</v>
      </c>
      <c r="C12" s="83" t="s">
        <v>131</v>
      </c>
      <c r="D12" s="275">
        <f>+'TYBR Pieces &amp; Pounds'!$E$17*('FY2005 SP Billing Det.'!E23)/'FY2005 SP Billing Det.'!$L$42*'Current SP Rates'!D9</f>
        <v>11630788.070302954</v>
      </c>
      <c r="E12" s="275">
        <f>+'TYBR Pieces &amp; Pounds'!$E$17*('FY2005 SP Billing Det.'!F23)/'FY2005 SP Billing Det.'!$L$42*'Current SP Rates'!E9</f>
        <v>3315299.7900226987</v>
      </c>
      <c r="F12" s="275">
        <f>+'TYBR Pieces &amp; Pounds'!$E$17*('FY2005 SP Billing Det.'!G23)/'FY2005 SP Billing Det.'!$L$42*'Current SP Rates'!F9</f>
        <v>4268928.473398131</v>
      </c>
      <c r="G12" s="275">
        <f>+'TYBR Pieces &amp; Pounds'!$E$17*('FY2005 SP Billing Det.'!H23)/'FY2005 SP Billing Det.'!$L$42*'Current SP Rates'!G9</f>
        <v>4355510.633855552</v>
      </c>
      <c r="H12" s="275">
        <f>+'TYBR Pieces &amp; Pounds'!$E$17*('FY2005 SP Billing Det.'!I23)/'FY2005 SP Billing Det.'!$L$42*'Current SP Rates'!H9</f>
        <v>2776854.6702181</v>
      </c>
      <c r="I12" s="275">
        <f>+'TYBR Pieces &amp; Pounds'!$E$17*('FY2005 SP Billing Det.'!J23)/'FY2005 SP Billing Det.'!$L$42*'Current SP Rates'!I9</f>
        <v>1700091.0491825517</v>
      </c>
      <c r="J12" s="498">
        <f>+'TYBR Pieces &amp; Pounds'!$E$17*('FY2005 SP Billing Det.'!K23)/'FY2005 SP Billing Det.'!$L$42*'Current SP Rates'!J9</f>
        <v>4168715.7080670353</v>
      </c>
    </row>
    <row r="13" spans="1:10" ht="15.75">
      <c r="A13" s="4"/>
      <c r="B13" s="74" t="s">
        <v>152</v>
      </c>
      <c r="C13" s="83" t="s">
        <v>862</v>
      </c>
      <c r="D13" s="275">
        <f>+'TYBR Pieces &amp; Pounds'!$E$17*('FY2005 SP Billing Det.'!E24)/'FY2005 SP Billing Det.'!$L$42*'Current SP Rates'!D10</f>
        <v>2558111.4625250166</v>
      </c>
      <c r="E13" s="275">
        <f>+'TYBR Pieces &amp; Pounds'!$E$17*('FY2005 SP Billing Det.'!F24)/'FY2005 SP Billing Det.'!$L$42*'Current SP Rates'!E10</f>
        <v>711954.6029765792</v>
      </c>
      <c r="F13" s="275">
        <f>+'TYBR Pieces &amp; Pounds'!$E$17*('FY2005 SP Billing Det.'!G24)/'FY2005 SP Billing Det.'!$L$42*'Current SP Rates'!F10</f>
        <v>1239207.022684824</v>
      </c>
      <c r="G13" s="275">
        <f>+'TYBR Pieces &amp; Pounds'!$E$17*('FY2005 SP Billing Det.'!H24)/'FY2005 SP Billing Det.'!$L$42*'Current SP Rates'!G10</f>
        <v>1434432.3129084867</v>
      </c>
      <c r="H13" s="275">
        <f>+'TYBR Pieces &amp; Pounds'!$E$17*('FY2005 SP Billing Det.'!I24)/'FY2005 SP Billing Det.'!$L$42*'Current SP Rates'!H10</f>
        <v>814070.7102454284</v>
      </c>
      <c r="I13" s="275">
        <f>+'TYBR Pieces &amp; Pounds'!$E$17*('FY2005 SP Billing Det.'!J24)/'FY2005 SP Billing Det.'!$L$42*'Current SP Rates'!I10</f>
        <v>623409.4314991</v>
      </c>
      <c r="J13" s="498">
        <f>+'TYBR Pieces &amp; Pounds'!$E$17*('FY2005 SP Billing Det.'!K24)/'FY2005 SP Billing Det.'!$L$42*'Current SP Rates'!J10</f>
        <v>848989.8403471303</v>
      </c>
    </row>
    <row r="14" spans="1:10" ht="15.75">
      <c r="A14" s="4"/>
      <c r="B14" s="74" t="s">
        <v>153</v>
      </c>
      <c r="C14" s="83" t="s">
        <v>863</v>
      </c>
      <c r="D14" s="275">
        <f>+'TYBR Pieces &amp; Pounds'!$E$17*('FY2005 SP Billing Det.'!E25)/'FY2005 SP Billing Det.'!$L$42*'Current SP Rates'!D11</f>
        <v>1989531.7505706593</v>
      </c>
      <c r="E14" s="275">
        <f>+'TYBR Pieces &amp; Pounds'!$E$17*('FY2005 SP Billing Det.'!F25)/'FY2005 SP Billing Det.'!$L$42*'Current SP Rates'!E11</f>
        <v>632363.8517635099</v>
      </c>
      <c r="F14" s="275">
        <f>+'TYBR Pieces &amp; Pounds'!$E$17*('FY2005 SP Billing Det.'!G25)/'FY2005 SP Billing Det.'!$L$42*'Current SP Rates'!F11</f>
        <v>1337714.4450905493</v>
      </c>
      <c r="G14" s="275">
        <f>+'TYBR Pieces &amp; Pounds'!$E$17*('FY2005 SP Billing Det.'!H25)/'FY2005 SP Billing Det.'!$L$42*'Current SP Rates'!G11</f>
        <v>1618436.309075602</v>
      </c>
      <c r="H14" s="275">
        <f>+'TYBR Pieces &amp; Pounds'!$E$17*('FY2005 SP Billing Det.'!I25)/'FY2005 SP Billing Det.'!$L$42*'Current SP Rates'!H11</f>
        <v>813159.8545870151</v>
      </c>
      <c r="I14" s="275">
        <f>+'TYBR Pieces &amp; Pounds'!$E$17*('FY2005 SP Billing Det.'!J25)/'FY2005 SP Billing Det.'!$L$42*'Current SP Rates'!I11</f>
        <v>593162.466590071</v>
      </c>
      <c r="J14" s="498">
        <f>+'TYBR Pieces &amp; Pounds'!$E$17*('FY2005 SP Billing Det.'!K25)/'FY2005 SP Billing Det.'!$L$42*'Current SP Rates'!J11</f>
        <v>928331.4392723112</v>
      </c>
    </row>
    <row r="15" spans="1:10" ht="15.75">
      <c r="A15" s="4"/>
      <c r="B15" s="74" t="s">
        <v>154</v>
      </c>
      <c r="C15" s="83" t="s">
        <v>864</v>
      </c>
      <c r="D15" s="275">
        <f>+'TYBR Pieces &amp; Pounds'!$E$17*('FY2005 SP Billing Det.'!E26)/'FY2005 SP Billing Det.'!$L$42*'Current SP Rates'!D12</f>
        <v>2092433.5728870886</v>
      </c>
      <c r="E15" s="275">
        <f>+'TYBR Pieces &amp; Pounds'!$E$17*('FY2005 SP Billing Det.'!F26)/'FY2005 SP Billing Det.'!$L$42*'Current SP Rates'!E12</f>
        <v>496146.3716545718</v>
      </c>
      <c r="F15" s="275">
        <f>+'TYBR Pieces &amp; Pounds'!$E$17*('FY2005 SP Billing Det.'!G26)/'FY2005 SP Billing Det.'!$L$42*'Current SP Rates'!F12</f>
        <v>1175341.4877170457</v>
      </c>
      <c r="G15" s="275">
        <f>+'TYBR Pieces &amp; Pounds'!$E$17*('FY2005 SP Billing Det.'!H26)/'FY2005 SP Billing Det.'!$L$42*'Current SP Rates'!G12</f>
        <v>1088051.9933855438</v>
      </c>
      <c r="H15" s="275">
        <f>+'TYBR Pieces &amp; Pounds'!$E$17*('FY2005 SP Billing Det.'!I26)/'FY2005 SP Billing Det.'!$L$42*'Current SP Rates'!H12</f>
        <v>476104.9290404476</v>
      </c>
      <c r="I15" s="275">
        <f>+'TYBR Pieces &amp; Pounds'!$E$17*('FY2005 SP Billing Det.'!J26)/'FY2005 SP Billing Det.'!$L$42*'Current SP Rates'!I12</f>
        <v>438651.47862274334</v>
      </c>
      <c r="J15" s="498">
        <f>+'TYBR Pieces &amp; Pounds'!$E$17*('FY2005 SP Billing Det.'!K26)/'FY2005 SP Billing Det.'!$L$42*'Current SP Rates'!J12</f>
        <v>586392.1686094749</v>
      </c>
    </row>
    <row r="16" spans="1:10" ht="15.75">
      <c r="A16" s="4"/>
      <c r="B16" s="74" t="s">
        <v>155</v>
      </c>
      <c r="C16" s="83" t="s">
        <v>865</v>
      </c>
      <c r="D16" s="275">
        <f>+'TYBR Pieces &amp; Pounds'!$E$17*('FY2005 SP Billing Det.'!E27)/'FY2005 SP Billing Det.'!$L$42*'Current SP Rates'!D13</f>
        <v>1439003.4682087537</v>
      </c>
      <c r="E16" s="275">
        <f>+'TYBR Pieces &amp; Pounds'!$E$17*('FY2005 SP Billing Det.'!F27)/'FY2005 SP Billing Det.'!$L$42*'Current SP Rates'!E13</f>
        <v>694099.0970540832</v>
      </c>
      <c r="F16" s="275">
        <f>+'TYBR Pieces &amp; Pounds'!$E$17*('FY2005 SP Billing Det.'!G27)/'FY2005 SP Billing Det.'!$L$42*'Current SP Rates'!F13</f>
        <v>818981.4823677265</v>
      </c>
      <c r="G16" s="275">
        <f>+'TYBR Pieces &amp; Pounds'!$E$17*('FY2005 SP Billing Det.'!H27)/'FY2005 SP Billing Det.'!$L$42*'Current SP Rates'!G13</f>
        <v>884747.8866033647</v>
      </c>
      <c r="H16" s="275">
        <f>+'TYBR Pieces &amp; Pounds'!$E$17*('FY2005 SP Billing Det.'!I27)/'FY2005 SP Billing Det.'!$L$42*'Current SP Rates'!H13</f>
        <v>442288.37522826105</v>
      </c>
      <c r="I16" s="275">
        <f>+'TYBR Pieces &amp; Pounds'!$E$17*('FY2005 SP Billing Det.'!J27)/'FY2005 SP Billing Det.'!$L$42*'Current SP Rates'!I13</f>
        <v>174426.4223400977</v>
      </c>
      <c r="J16" s="498">
        <f>+'TYBR Pieces &amp; Pounds'!$E$17*('FY2005 SP Billing Det.'!K27)/'FY2005 SP Billing Det.'!$L$42*'Current SP Rates'!J13</f>
        <v>475018.7528239493</v>
      </c>
    </row>
    <row r="17" spans="1:10" ht="15.75">
      <c r="A17" s="4"/>
      <c r="B17" s="74" t="s">
        <v>156</v>
      </c>
      <c r="C17" s="83" t="s">
        <v>866</v>
      </c>
      <c r="D17" s="275">
        <f>+'TYBR Pieces &amp; Pounds'!$E$17*('FY2005 SP Billing Det.'!E28)/'FY2005 SP Billing Det.'!$L$42*'Current SP Rates'!D14</f>
        <v>721573.2821505987</v>
      </c>
      <c r="E17" s="275">
        <f>+'TYBR Pieces &amp; Pounds'!$E$17*('FY2005 SP Billing Det.'!F28)/'FY2005 SP Billing Det.'!$L$42*'Current SP Rates'!E14</f>
        <v>407897.7532008528</v>
      </c>
      <c r="F17" s="275">
        <f>+'TYBR Pieces &amp; Pounds'!$E$17*('FY2005 SP Billing Det.'!G28)/'FY2005 SP Billing Det.'!$L$42*'Current SP Rates'!F14</f>
        <v>392941.8098106828</v>
      </c>
      <c r="G17" s="275">
        <f>+'TYBR Pieces &amp; Pounds'!$E$17*('FY2005 SP Billing Det.'!H28)/'FY2005 SP Billing Det.'!$L$42*'Current SP Rates'!G14</f>
        <v>429525.27136166836</v>
      </c>
      <c r="H17" s="275">
        <f>+'TYBR Pieces &amp; Pounds'!$E$17*('FY2005 SP Billing Det.'!I28)/'FY2005 SP Billing Det.'!$L$42*'Current SP Rates'!H14</f>
        <v>266331.32351978286</v>
      </c>
      <c r="I17" s="275">
        <f>+'TYBR Pieces &amp; Pounds'!$E$17*('FY2005 SP Billing Det.'!J28)/'FY2005 SP Billing Det.'!$L$42*'Current SP Rates'!I14</f>
        <v>116184.20621713504</v>
      </c>
      <c r="J17" s="498">
        <f>+'TYBR Pieces &amp; Pounds'!$E$17*('FY2005 SP Billing Det.'!K28)/'FY2005 SP Billing Det.'!$L$42*'Current SP Rates'!J14</f>
        <v>272982.3339672435</v>
      </c>
    </row>
    <row r="18" spans="1:10" ht="15.75">
      <c r="A18" s="4"/>
      <c r="B18" s="74" t="s">
        <v>157</v>
      </c>
      <c r="C18" s="83" t="s">
        <v>867</v>
      </c>
      <c r="D18" s="275">
        <f>+'TYBR Pieces &amp; Pounds'!$E$17*('FY2005 SP Billing Det.'!E29)/'FY2005 SP Billing Det.'!$L$42*'Current SP Rates'!D15</f>
        <v>538832.1333602061</v>
      </c>
      <c r="E18" s="275">
        <f>+'TYBR Pieces &amp; Pounds'!$E$17*('FY2005 SP Billing Det.'!F29)/'FY2005 SP Billing Det.'!$L$42*'Current SP Rates'!E15</f>
        <v>190265.11406657269</v>
      </c>
      <c r="F18" s="275">
        <f>+'TYBR Pieces &amp; Pounds'!$E$17*('FY2005 SP Billing Det.'!G29)/'FY2005 SP Billing Det.'!$L$42*'Current SP Rates'!F15</f>
        <v>241306.86653649638</v>
      </c>
      <c r="G18" s="275">
        <f>+'TYBR Pieces &amp; Pounds'!$E$17*('FY2005 SP Billing Det.'!H29)/'FY2005 SP Billing Det.'!$L$42*'Current SP Rates'!G15</f>
        <v>369040.8323445837</v>
      </c>
      <c r="H18" s="275">
        <f>+'TYBR Pieces &amp; Pounds'!$E$17*('FY2005 SP Billing Det.'!I29)/'FY2005 SP Billing Det.'!$L$42*'Current SP Rates'!H15</f>
        <v>205117.83702090336</v>
      </c>
      <c r="I18" s="275">
        <f>+'TYBR Pieces &amp; Pounds'!$E$17*('FY2005 SP Billing Det.'!J29)/'FY2005 SP Billing Det.'!$L$42*'Current SP Rates'!I15</f>
        <v>137155.68746621624</v>
      </c>
      <c r="J18" s="498">
        <f>+'TYBR Pieces &amp; Pounds'!$E$17*('FY2005 SP Billing Det.'!K29)/'FY2005 SP Billing Det.'!$L$42*'Current SP Rates'!J15</f>
        <v>273601.810632598</v>
      </c>
    </row>
    <row r="19" spans="1:10" ht="15.75">
      <c r="A19" s="4"/>
      <c r="B19" s="74" t="s">
        <v>158</v>
      </c>
      <c r="C19" s="83" t="s">
        <v>868</v>
      </c>
      <c r="D19" s="275">
        <f>+'TYBR Pieces &amp; Pounds'!$E$17*('FY2005 SP Billing Det.'!E30)/'FY2005 SP Billing Det.'!$L$42*'Current SP Rates'!D16</f>
        <v>489396.8191312738</v>
      </c>
      <c r="E19" s="275">
        <f>+'TYBR Pieces &amp; Pounds'!$E$17*('FY2005 SP Billing Det.'!F30)/'FY2005 SP Billing Det.'!$L$42*'Current SP Rates'!E16</f>
        <v>153665.73250664235</v>
      </c>
      <c r="F19" s="275">
        <f>+'TYBR Pieces &amp; Pounds'!$E$17*('FY2005 SP Billing Det.'!G30)/'FY2005 SP Billing Det.'!$L$42*'Current SP Rates'!F16</f>
        <v>301889.3493177959</v>
      </c>
      <c r="G19" s="275">
        <f>+'TYBR Pieces &amp; Pounds'!$E$17*('FY2005 SP Billing Det.'!H30)/'FY2005 SP Billing Det.'!$L$42*'Current SP Rates'!G16</f>
        <v>307489.1833863583</v>
      </c>
      <c r="H19" s="275">
        <f>+'TYBR Pieces &amp; Pounds'!$E$17*('FY2005 SP Billing Det.'!I30)/'FY2005 SP Billing Det.'!$L$42*'Current SP Rates'!H16</f>
        <v>108733.3201008563</v>
      </c>
      <c r="I19" s="275">
        <f>+'TYBR Pieces &amp; Pounds'!$E$17*('FY2005 SP Billing Det.'!J30)/'FY2005 SP Billing Det.'!$L$42*'Current SP Rates'!I16</f>
        <v>94175.35324371325</v>
      </c>
      <c r="J19" s="498">
        <f>+'TYBR Pieces &amp; Pounds'!$E$17*('FY2005 SP Billing Det.'!K30)/'FY2005 SP Billing Det.'!$L$42*'Current SP Rates'!J16</f>
        <v>173736.65493643825</v>
      </c>
    </row>
    <row r="20" spans="1:10" ht="15.75">
      <c r="A20" s="4"/>
      <c r="B20" s="74" t="s">
        <v>159</v>
      </c>
      <c r="C20" s="83" t="s">
        <v>869</v>
      </c>
      <c r="D20" s="275">
        <f>+'TYBR Pieces &amp; Pounds'!$E$17*('FY2005 SP Billing Det.'!E31)/'FY2005 SP Billing Det.'!$L$42*'Current SP Rates'!D17</f>
        <v>539774.2079186514</v>
      </c>
      <c r="E20" s="275">
        <f>+'TYBR Pieces &amp; Pounds'!$E$17*('FY2005 SP Billing Det.'!F31)/'FY2005 SP Billing Det.'!$L$42*'Current SP Rates'!E17</f>
        <v>283596.09963381075</v>
      </c>
      <c r="F20" s="275">
        <f>+'TYBR Pieces &amp; Pounds'!$E$17*('FY2005 SP Billing Det.'!G31)/'FY2005 SP Billing Det.'!$L$42*'Current SP Rates'!F17</f>
        <v>255542.58082636597</v>
      </c>
      <c r="G20" s="275">
        <f>+'TYBR Pieces &amp; Pounds'!$E$17*('FY2005 SP Billing Det.'!H31)/'FY2005 SP Billing Det.'!$L$42*'Current SP Rates'!G17</f>
        <v>401328.62104100327</v>
      </c>
      <c r="H20" s="275">
        <f>+'TYBR Pieces &amp; Pounds'!$E$17*('FY2005 SP Billing Det.'!I31)/'FY2005 SP Billing Det.'!$L$42*'Current SP Rates'!H17</f>
        <v>209991.09130832553</v>
      </c>
      <c r="I20" s="275">
        <f>+'TYBR Pieces &amp; Pounds'!$E$17*('FY2005 SP Billing Det.'!J31)/'FY2005 SP Billing Det.'!$L$42*'Current SP Rates'!I17</f>
        <v>112003.99431536075</v>
      </c>
      <c r="J20" s="498">
        <f>+'TYBR Pieces &amp; Pounds'!$E$17*('FY2005 SP Billing Det.'!K31)/'FY2005 SP Billing Det.'!$L$42*'Current SP Rates'!J17</f>
        <v>215487.1694907918</v>
      </c>
    </row>
    <row r="21" spans="1:10" ht="15.75">
      <c r="A21" s="4"/>
      <c r="B21" s="74" t="s">
        <v>160</v>
      </c>
      <c r="C21" s="83" t="s">
        <v>870</v>
      </c>
      <c r="D21" s="275">
        <f>+'TYBR Pieces &amp; Pounds'!$E$17*('FY2005 SP Billing Det.'!E32)/'FY2005 SP Billing Det.'!$L$42*'Current SP Rates'!D18</f>
        <v>362967.4338187362</v>
      </c>
      <c r="E21" s="275">
        <f>+'TYBR Pieces &amp; Pounds'!$E$17*('FY2005 SP Billing Det.'!F32)/'FY2005 SP Billing Det.'!$L$42*'Current SP Rates'!E18</f>
        <v>157136.95606599643</v>
      </c>
      <c r="F21" s="275">
        <f>+'TYBR Pieces &amp; Pounds'!$E$17*('FY2005 SP Billing Det.'!G32)/'FY2005 SP Billing Det.'!$L$42*'Current SP Rates'!F18</f>
        <v>302396.59164230357</v>
      </c>
      <c r="G21" s="275">
        <f>+'TYBR Pieces &amp; Pounds'!$E$17*('FY2005 SP Billing Det.'!H32)/'FY2005 SP Billing Det.'!$L$42*'Current SP Rates'!G18</f>
        <v>309044.92393244535</v>
      </c>
      <c r="H21" s="275">
        <f>+'TYBR Pieces &amp; Pounds'!$E$17*('FY2005 SP Billing Det.'!I32)/'FY2005 SP Billing Det.'!$L$42*'Current SP Rates'!H18</f>
        <v>220554.74265649437</v>
      </c>
      <c r="I21" s="275">
        <f>+'TYBR Pieces &amp; Pounds'!$E$17*('FY2005 SP Billing Det.'!J32)/'FY2005 SP Billing Det.'!$L$42*'Current SP Rates'!I18</f>
        <v>66573.7962038809</v>
      </c>
      <c r="J21" s="498">
        <f>+'TYBR Pieces &amp; Pounds'!$E$17*('FY2005 SP Billing Det.'!K32)/'FY2005 SP Billing Det.'!$L$42*'Current SP Rates'!J18</f>
        <v>174366.02916796587</v>
      </c>
    </row>
    <row r="22" spans="1:10" ht="15.75">
      <c r="A22" s="4"/>
      <c r="B22" s="74" t="s">
        <v>161</v>
      </c>
      <c r="C22" s="83" t="s">
        <v>871</v>
      </c>
      <c r="D22" s="275">
        <f>+'TYBR Pieces &amp; Pounds'!$E$17*('FY2005 SP Billing Det.'!E33)/'FY2005 SP Billing Det.'!$L$42*'Current SP Rates'!D19</f>
        <v>233514.08155093587</v>
      </c>
      <c r="E22" s="275">
        <f>+'TYBR Pieces &amp; Pounds'!$E$17*('FY2005 SP Billing Det.'!F33)/'FY2005 SP Billing Det.'!$L$42*'Current SP Rates'!E19</f>
        <v>102557.6235501519</v>
      </c>
      <c r="F22" s="275">
        <f>+'TYBR Pieces &amp; Pounds'!$E$17*('FY2005 SP Billing Det.'!G33)/'FY2005 SP Billing Det.'!$L$42*'Current SP Rates'!F19</f>
        <v>103416.28097288766</v>
      </c>
      <c r="G22" s="275">
        <f>+'TYBR Pieces &amp; Pounds'!$E$17*('FY2005 SP Billing Det.'!H33)/'FY2005 SP Billing Det.'!$L$42*'Current SP Rates'!G19</f>
        <v>163933.99512250858</v>
      </c>
      <c r="H22" s="275">
        <f>+'TYBR Pieces &amp; Pounds'!$E$17*('FY2005 SP Billing Det.'!I33)/'FY2005 SP Billing Det.'!$L$42*'Current SP Rates'!H19</f>
        <v>57152.492653575406</v>
      </c>
      <c r="I22" s="275">
        <f>+'TYBR Pieces &amp; Pounds'!$E$17*('FY2005 SP Billing Det.'!J33)/'FY2005 SP Billing Det.'!$L$42*'Current SP Rates'!I19</f>
        <v>75008.00850505276</v>
      </c>
      <c r="J22" s="498">
        <f>+'TYBR Pieces &amp; Pounds'!$E$17*('FY2005 SP Billing Det.'!K33)/'FY2005 SP Billing Det.'!$L$42*'Current SP Rates'!J19</f>
        <v>37820.560909357104</v>
      </c>
    </row>
    <row r="23" spans="1:10" ht="15.75">
      <c r="A23" s="4"/>
      <c r="B23" s="74" t="s">
        <v>162</v>
      </c>
      <c r="C23" s="83" t="s">
        <v>872</v>
      </c>
      <c r="D23" s="275">
        <f>+'TYBR Pieces &amp; Pounds'!$E$17*('FY2005 SP Billing Det.'!E34)/'FY2005 SP Billing Det.'!$L$42*'Current SP Rates'!D20</f>
        <v>129154.32011836107</v>
      </c>
      <c r="E23" s="275">
        <f>+'TYBR Pieces &amp; Pounds'!$E$17*('FY2005 SP Billing Det.'!F34)/'FY2005 SP Billing Det.'!$L$42*'Current SP Rates'!E20</f>
        <v>77691.45384825197</v>
      </c>
      <c r="F23" s="275">
        <f>+'TYBR Pieces &amp; Pounds'!$E$17*('FY2005 SP Billing Det.'!G34)/'FY2005 SP Billing Det.'!$L$42*'Current SP Rates'!F20</f>
        <v>89272.77107649458</v>
      </c>
      <c r="G23" s="275">
        <f>+'TYBR Pieces &amp; Pounds'!$E$17*('FY2005 SP Billing Det.'!H34)/'FY2005 SP Billing Det.'!$L$42*'Current SP Rates'!G20</f>
        <v>116406.1328506856</v>
      </c>
      <c r="H23" s="275">
        <f>+'TYBR Pieces &amp; Pounds'!$E$17*('FY2005 SP Billing Det.'!I34)/'FY2005 SP Billing Det.'!$L$42*'Current SP Rates'!H20</f>
        <v>100014.1105816196</v>
      </c>
      <c r="I23" s="275">
        <f>+'TYBR Pieces &amp; Pounds'!$E$17*('FY2005 SP Billing Det.'!J34)/'FY2005 SP Billing Det.'!$L$42*'Current SP Rates'!I20</f>
        <v>33621.45977688245</v>
      </c>
      <c r="J23" s="498">
        <f>+'TYBR Pieces &amp; Pounds'!$E$17*('FY2005 SP Billing Det.'!K34)/'FY2005 SP Billing Det.'!$L$42*'Current SP Rates'!J20</f>
        <v>122969.88291916213</v>
      </c>
    </row>
    <row r="24" spans="1:10" ht="15.75">
      <c r="A24" s="4"/>
      <c r="B24" s="74" t="s">
        <v>173</v>
      </c>
      <c r="C24" s="83" t="s">
        <v>873</v>
      </c>
      <c r="D24" s="275">
        <f>+'TYBR Pieces &amp; Pounds'!$E$17*('FY2005 SP Billing Det.'!E35)/'FY2005 SP Billing Det.'!$L$42*'Current SP Rates'!D21</f>
        <v>168109.12576322685</v>
      </c>
      <c r="E24" s="275">
        <f>+'TYBR Pieces &amp; Pounds'!$E$17*('FY2005 SP Billing Det.'!F35)/'FY2005 SP Billing Det.'!$L$42*'Current SP Rates'!E21</f>
        <v>38296.57125604214</v>
      </c>
      <c r="F24" s="275">
        <f>+'TYBR Pieces &amp; Pounds'!$E$17*('FY2005 SP Billing Det.'!G35)/'FY2005 SP Billing Det.'!$L$42*'Current SP Rates'!F21</f>
        <v>28164.692041450722</v>
      </c>
      <c r="G24" s="275">
        <f>+'TYBR Pieces &amp; Pounds'!$E$17*('FY2005 SP Billing Det.'!H35)/'FY2005 SP Billing Det.'!$L$42*'Current SP Rates'!G21</f>
        <v>38222.301504765295</v>
      </c>
      <c r="H24" s="275">
        <f>+'TYBR Pieces &amp; Pounds'!$E$17*('FY2005 SP Billing Det.'!I35)/'FY2005 SP Billing Det.'!$L$42*'Current SP Rates'!H21</f>
        <v>20546.97439148244</v>
      </c>
      <c r="I24" s="275">
        <f>+'TYBR Pieces &amp; Pounds'!$E$17*('FY2005 SP Billing Det.'!J35)/'FY2005 SP Billing Det.'!$L$42*'Current SP Rates'!I21</f>
        <v>32934.48810784011</v>
      </c>
      <c r="J24" s="498">
        <f>+'TYBR Pieces &amp; Pounds'!$E$17*('FY2005 SP Billing Det.'!K35)/'FY2005 SP Billing Det.'!$L$42*'Current SP Rates'!J21</f>
        <v>72429.02111471814</v>
      </c>
    </row>
    <row r="25" spans="1:11" ht="15.75">
      <c r="A25" s="4"/>
      <c r="B25" s="74" t="s">
        <v>174</v>
      </c>
      <c r="C25" s="83" t="s">
        <v>134</v>
      </c>
      <c r="D25" s="275">
        <f>+'TYBR Pieces &amp; Pounds'!$E$17*('FY2005 SP Billing Det.'!E36)/'FY2005 SP Billing Det.'!$L$42*'Current SP Rates'!D22</f>
        <v>134213.54489385546</v>
      </c>
      <c r="E25" s="275">
        <f>+'TYBR Pieces &amp; Pounds'!$E$17*('FY2005 SP Billing Det.'!F36)/'FY2005 SP Billing Det.'!$L$42*'Current SP Rates'!E22</f>
        <v>30158.047859877886</v>
      </c>
      <c r="F25" s="275">
        <f>+'TYBR Pieces &amp; Pounds'!$E$17*('FY2005 SP Billing Det.'!G36)/'FY2005 SP Billing Det.'!$L$42*'Current SP Rates'!F22</f>
        <v>87506.21544088711</v>
      </c>
      <c r="G25" s="275">
        <f>+'TYBR Pieces &amp; Pounds'!$E$17*('FY2005 SP Billing Det.'!H36)/'FY2005 SP Billing Det.'!$L$42*'Current SP Rates'!G22</f>
        <v>79051.0436966389</v>
      </c>
      <c r="H25" s="275">
        <f>+'TYBR Pieces &amp; Pounds'!$E$17*('FY2005 SP Billing Det.'!I36)/'FY2005 SP Billing Det.'!$L$42*'Current SP Rates'!H22</f>
        <v>133130.15003901444</v>
      </c>
      <c r="I25" s="275">
        <f>+'TYBR Pieces &amp; Pounds'!$E$17*('FY2005 SP Billing Det.'!J36)/'FY2005 SP Billing Det.'!$L$42*'Current SP Rates'!I22</f>
        <v>10835.77192265364</v>
      </c>
      <c r="J25" s="498">
        <f>+'TYBR Pieces &amp; Pounds'!$E$17*('FY2005 SP Billing Det.'!K36)/'FY2005 SP Billing Det.'!$L$42*'Current SP Rates'!J22</f>
        <v>69947.14581386613</v>
      </c>
      <c r="K25" s="47"/>
    </row>
    <row r="26" spans="1:11" ht="15.75">
      <c r="A26" s="4"/>
      <c r="B26" s="74" t="s">
        <v>176</v>
      </c>
      <c r="C26" s="83" t="s">
        <v>135</v>
      </c>
      <c r="D26" s="275">
        <f>+'TYBR Pieces &amp; Pounds'!$E$17*('FY2005 SP Billing Det.'!E37)/'FY2005 SP Billing Det.'!$L$42*'Current SP Rates'!D23</f>
        <v>86117.56032257262</v>
      </c>
      <c r="E26" s="275">
        <f>+'TYBR Pieces &amp; Pounds'!$E$17*('FY2005 SP Billing Det.'!F37)/'FY2005 SP Billing Det.'!$L$42*'Current SP Rates'!E23</f>
        <v>55398.655857972946</v>
      </c>
      <c r="F26" s="275">
        <f>+'TYBR Pieces &amp; Pounds'!$E$17*('FY2005 SP Billing Det.'!G37)/'FY2005 SP Billing Det.'!$L$42*'Current SP Rates'!F23</f>
        <v>66897.55981539437</v>
      </c>
      <c r="G26" s="275">
        <f>+'TYBR Pieces &amp; Pounds'!$E$17*('FY2005 SP Billing Det.'!H37)/'FY2005 SP Billing Det.'!$L$42*'Current SP Rates'!G23</f>
        <v>32564.18631894575</v>
      </c>
      <c r="H26" s="275">
        <f>+'TYBR Pieces &amp; Pounds'!$E$17*('FY2005 SP Billing Det.'!I37)/'FY2005 SP Billing Det.'!$L$42*'Current SP Rates'!H23</f>
        <v>13567.409227580754</v>
      </c>
      <c r="I26" s="275">
        <f>+'TYBR Pieces &amp; Pounds'!$E$17*('FY2005 SP Billing Det.'!J37)/'FY2005 SP Billing Det.'!$L$42*'Current SP Rates'!I23</f>
        <v>7780.923043108274</v>
      </c>
      <c r="J26" s="498">
        <f>+'TYBR Pieces &amp; Pounds'!$E$17*('FY2005 SP Billing Det.'!K37)/'FY2005 SP Billing Det.'!$L$42*'Current SP Rates'!J23</f>
        <v>130861.20534481789</v>
      </c>
      <c r="K26" s="47"/>
    </row>
    <row r="27" spans="1:11" ht="15.75">
      <c r="A27" s="4"/>
      <c r="B27" s="74" t="s">
        <v>177</v>
      </c>
      <c r="C27" s="83" t="s">
        <v>136</v>
      </c>
      <c r="D27" s="275">
        <f>+'TYBR Pieces &amp; Pounds'!$E$17*('FY2005 SP Billing Det.'!E38)/'FY2005 SP Billing Det.'!$L$42*'Current SP Rates'!D24</f>
        <v>51935.49494941556</v>
      </c>
      <c r="E27" s="275">
        <f>+'TYBR Pieces &amp; Pounds'!$E$17*('FY2005 SP Billing Det.'!F38)/'FY2005 SP Billing Det.'!$L$42*'Current SP Rates'!E24</f>
        <v>18068.52163198404</v>
      </c>
      <c r="F27" s="275">
        <f>+'TYBR Pieces &amp; Pounds'!$E$17*('FY2005 SP Billing Det.'!G38)/'FY2005 SP Billing Det.'!$L$42*'Current SP Rates'!F24</f>
        <v>14252.738352735341</v>
      </c>
      <c r="G27" s="275">
        <f>+'TYBR Pieces &amp; Pounds'!$E$17*('FY2005 SP Billing Det.'!H38)/'FY2005 SP Billing Det.'!$L$42*'Current SP Rates'!G24</f>
        <v>33955.80445962405</v>
      </c>
      <c r="H27" s="275">
        <f>+'TYBR Pieces &amp; Pounds'!$E$17*('FY2005 SP Billing Det.'!I38)/'FY2005 SP Billing Det.'!$L$42*'Current SP Rates'!H24</f>
        <v>40344.672627606924</v>
      </c>
      <c r="I27" s="275">
        <f>+'TYBR Pieces &amp; Pounds'!$E$17*('FY2005 SP Billing Det.'!J38)/'FY2005 SP Billing Det.'!$L$42*'Current SP Rates'!I24</f>
        <v>21999.51704370884</v>
      </c>
      <c r="J27" s="498">
        <f>+'TYBR Pieces &amp; Pounds'!$E$17*('FY2005 SP Billing Det.'!K38)/'FY2005 SP Billing Det.'!$L$42*'Current SP Rates'!J24</f>
        <v>23899.628760276708</v>
      </c>
      <c r="K27" s="47"/>
    </row>
    <row r="28" spans="1:11" ht="15.75">
      <c r="A28" s="4"/>
      <c r="B28" s="74" t="s">
        <v>183</v>
      </c>
      <c r="C28" s="83" t="s">
        <v>137</v>
      </c>
      <c r="D28" s="275">
        <f>+'TYBR Pieces &amp; Pounds'!$E$17*('FY2005 SP Billing Det.'!E39)/'FY2005 SP Billing Det.'!$L$42*'Current SP Rates'!D25</f>
        <v>15779.249701078787</v>
      </c>
      <c r="E28" s="275">
        <f>+'TYBR Pieces &amp; Pounds'!$E$17*('FY2005 SP Billing Det.'!F39)/'FY2005 SP Billing Det.'!$L$42*'Current SP Rates'!E25</f>
        <v>48801.56685410021</v>
      </c>
      <c r="F28" s="275">
        <f>+'TYBR Pieces &amp; Pounds'!$E$17*('FY2005 SP Billing Det.'!G39)/'FY2005 SP Billing Det.'!$L$42*'Current SP Rates'!F25</f>
        <v>25202.193143583914</v>
      </c>
      <c r="G28" s="275">
        <f>+'TYBR Pieces &amp; Pounds'!$E$17*('FY2005 SP Billing Det.'!H39)/'FY2005 SP Billing Det.'!$L$42*'Current SP Rates'!G25</f>
        <v>10762.038079743974</v>
      </c>
      <c r="H28" s="275">
        <f>+'TYBR Pieces &amp; Pounds'!$E$17*('FY2005 SP Billing Det.'!I39)/'FY2005 SP Billing Det.'!$L$42*'Current SP Rates'!H25</f>
        <v>51211.04303371611</v>
      </c>
      <c r="I28" s="275">
        <f>+'TYBR Pieces &amp; Pounds'!$E$17*('FY2005 SP Billing Det.'!J39)/'FY2005 SP Billing Det.'!$L$42*'Current SP Rates'!I25</f>
        <v>29820.900380203122</v>
      </c>
      <c r="J28" s="498">
        <f>+'TYBR Pieces &amp; Pounds'!$E$17*('FY2005 SP Billing Det.'!K39)/'FY2005 SP Billing Det.'!$L$42*'Current SP Rates'!J25</f>
        <v>11960.752565173734</v>
      </c>
      <c r="K28" s="47"/>
    </row>
    <row r="29" spans="1:11" ht="15.75">
      <c r="A29" s="4"/>
      <c r="B29" s="74" t="s">
        <v>285</v>
      </c>
      <c r="C29" s="83" t="s">
        <v>138</v>
      </c>
      <c r="D29" s="275">
        <f>+'TYBR Pieces &amp; Pounds'!$E$17*('FY2005 SP Billing Det.'!E40)/'FY2005 SP Billing Det.'!$L$42*'Current SP Rates'!D26</f>
        <v>41342.46021914752</v>
      </c>
      <c r="E29" s="275">
        <f>+'TYBR Pieces &amp; Pounds'!$E$17*('FY2005 SP Billing Det.'!F40)/'FY2005 SP Billing Det.'!$L$42*'Current SP Rates'!E26</f>
        <v>21412.707998747206</v>
      </c>
      <c r="F29" s="275">
        <f>+'TYBR Pieces &amp; Pounds'!$E$17*('FY2005 SP Billing Det.'!G40)/'FY2005 SP Billing Det.'!$L$42*'Current SP Rates'!F26</f>
        <v>28510.752506082845</v>
      </c>
      <c r="G29" s="275">
        <f>+'TYBR Pieces &amp; Pounds'!$E$17*('FY2005 SP Billing Det.'!H40)/'FY2005 SP Billing Det.'!$L$42*'Current SP Rates'!G26</f>
        <v>74895.62194742837</v>
      </c>
      <c r="H29" s="275">
        <f>+'TYBR Pieces &amp; Pounds'!$E$17*('FY2005 SP Billing Det.'!I40)/'FY2005 SP Billing Det.'!$L$42*'Current SP Rates'!H26</f>
        <v>6767.456978525352</v>
      </c>
      <c r="I29" s="275">
        <f>+'TYBR Pieces &amp; Pounds'!$E$17*('FY2005 SP Billing Det.'!J40)/'FY2005 SP Billing Det.'!$L$42*'Current SP Rates'!I26</f>
        <v>0</v>
      </c>
      <c r="J29" s="498">
        <f>+'TYBR Pieces &amp; Pounds'!$E$17*('FY2005 SP Billing Det.'!K40)/'FY2005 SP Billing Det.'!$L$42*'Current SP Rates'!J26</f>
        <v>30590.555352939184</v>
      </c>
      <c r="K29" s="47"/>
    </row>
    <row r="30" spans="1:11" ht="16.5" thickBot="1">
      <c r="A30" s="4"/>
      <c r="B30" s="74"/>
      <c r="C30" s="83"/>
      <c r="D30" s="618"/>
      <c r="E30" s="618"/>
      <c r="F30" s="618"/>
      <c r="G30" s="618"/>
      <c r="H30" s="618"/>
      <c r="I30" s="618"/>
      <c r="J30" s="197"/>
      <c r="K30" s="47"/>
    </row>
    <row r="31" spans="1:10" ht="15.75">
      <c r="A31" s="4"/>
      <c r="B31" s="10"/>
      <c r="C31" s="329"/>
      <c r="D31" s="619"/>
      <c r="E31" s="619"/>
      <c r="F31" s="619"/>
      <c r="G31" s="619"/>
      <c r="H31" s="619"/>
      <c r="I31" s="619"/>
      <c r="J31" s="226"/>
    </row>
    <row r="32" spans="1:10" ht="18.75">
      <c r="A32" s="4"/>
      <c r="B32" s="10" t="s">
        <v>286</v>
      </c>
      <c r="C32" s="284" t="s">
        <v>716</v>
      </c>
      <c r="D32" s="490"/>
      <c r="E32" s="490"/>
      <c r="F32" s="506">
        <f>SUM(D12:J29)</f>
        <v>72824137.73882574</v>
      </c>
      <c r="G32" s="490"/>
      <c r="H32" s="490"/>
      <c r="I32" s="490"/>
      <c r="J32" s="228"/>
    </row>
    <row r="33" spans="1:10" ht="15.75">
      <c r="A33" s="4"/>
      <c r="B33" s="10"/>
      <c r="C33" s="284"/>
      <c r="D33" s="490"/>
      <c r="E33" s="37"/>
      <c r="F33" s="506"/>
      <c r="G33" s="490"/>
      <c r="H33" s="490"/>
      <c r="I33" s="490"/>
      <c r="J33" s="228"/>
    </row>
    <row r="34" spans="1:10" ht="15.75">
      <c r="A34" s="4"/>
      <c r="B34" s="10"/>
      <c r="C34" s="284" t="s">
        <v>714</v>
      </c>
      <c r="D34" s="490"/>
      <c r="E34" s="490"/>
      <c r="F34" s="506"/>
      <c r="G34" s="490"/>
      <c r="H34" s="490"/>
      <c r="I34" s="490"/>
      <c r="J34" s="228"/>
    </row>
    <row r="35" spans="1:10" ht="18.75">
      <c r="A35" s="4"/>
      <c r="B35" s="10" t="s">
        <v>966</v>
      </c>
      <c r="C35" s="284" t="s">
        <v>201</v>
      </c>
      <c r="D35" s="490"/>
      <c r="E35" s="490"/>
      <c r="F35" s="506">
        <f>-'TYBR Pieces &amp; Pounds'!E17*Inputs!D25*Inputs!D118</f>
        <v>-135359.84389861417</v>
      </c>
      <c r="G35" s="490"/>
      <c r="H35" s="490"/>
      <c r="I35" s="490"/>
      <c r="J35" s="228"/>
    </row>
    <row r="36" spans="1:10" ht="15.75">
      <c r="A36" s="4"/>
      <c r="B36" s="10" t="s">
        <v>967</v>
      </c>
      <c r="C36" s="284" t="s">
        <v>718</v>
      </c>
      <c r="D36" s="490"/>
      <c r="E36" s="490"/>
      <c r="F36" s="506">
        <f>-'TYBR Pieces &amp; Pounds'!F17*Inputs!D28*Inputs!D119</f>
        <v>-42976.63682804374</v>
      </c>
      <c r="G36" s="490"/>
      <c r="H36" s="490"/>
      <c r="I36" s="490"/>
      <c r="J36" s="228"/>
    </row>
    <row r="37" spans="1:10" ht="18.75">
      <c r="A37" s="4"/>
      <c r="B37" s="10" t="s">
        <v>669</v>
      </c>
      <c r="C37" s="284" t="s">
        <v>202</v>
      </c>
      <c r="D37" s="490"/>
      <c r="E37" s="490"/>
      <c r="F37" s="506">
        <f>-'TYBR Pieces &amp; Pounds'!F17*Inputs!D121</f>
        <v>-1088480.0288956028</v>
      </c>
      <c r="G37" s="490"/>
      <c r="H37" s="490"/>
      <c r="I37" s="490"/>
      <c r="J37" s="228"/>
    </row>
    <row r="38" spans="1:10" ht="15.75">
      <c r="A38" s="4"/>
      <c r="B38" s="10"/>
      <c r="C38" s="284"/>
      <c r="D38" s="490"/>
      <c r="E38" s="490"/>
      <c r="F38" s="506"/>
      <c r="G38" s="490"/>
      <c r="H38" s="490"/>
      <c r="I38" s="490"/>
      <c r="J38" s="228"/>
    </row>
    <row r="39" spans="1:10" ht="15.75">
      <c r="A39" s="4"/>
      <c r="B39" s="10" t="s">
        <v>71</v>
      </c>
      <c r="C39" s="284" t="s">
        <v>717</v>
      </c>
      <c r="D39" s="490"/>
      <c r="E39" s="490"/>
      <c r="F39" s="506">
        <f>SUM(F32,F35,F37,F36)</f>
        <v>71557321.22920348</v>
      </c>
      <c r="G39" s="490"/>
      <c r="H39" s="490"/>
      <c r="I39" s="490"/>
      <c r="J39" s="228"/>
    </row>
    <row r="40" spans="1:10" ht="15.75">
      <c r="A40" s="4"/>
      <c r="B40" s="10"/>
      <c r="C40" s="284"/>
      <c r="D40" s="490"/>
      <c r="E40" s="490"/>
      <c r="F40" s="506"/>
      <c r="G40" s="490"/>
      <c r="H40" s="490"/>
      <c r="I40" s="490"/>
      <c r="J40" s="228"/>
    </row>
    <row r="41" spans="1:10" ht="18.75">
      <c r="A41" s="4"/>
      <c r="B41" s="10" t="s">
        <v>203</v>
      </c>
      <c r="C41" s="284" t="s">
        <v>322</v>
      </c>
      <c r="D41" s="490"/>
      <c r="E41" s="490"/>
      <c r="F41" s="617">
        <f>+F39*Inputs!D17</f>
        <v>72365183.36961068</v>
      </c>
      <c r="G41" s="490"/>
      <c r="H41" s="490"/>
      <c r="I41" s="490"/>
      <c r="J41" s="228"/>
    </row>
    <row r="42" spans="1:10" ht="15.75">
      <c r="A42" s="4"/>
      <c r="B42" s="10"/>
      <c r="C42" s="284"/>
      <c r="D42" s="490"/>
      <c r="E42" s="490"/>
      <c r="F42" s="506"/>
      <c r="G42" s="490"/>
      <c r="H42" s="490"/>
      <c r="I42" s="490"/>
      <c r="J42" s="228"/>
    </row>
    <row r="43" spans="1:10" ht="15.75">
      <c r="A43" s="4"/>
      <c r="B43" s="10"/>
      <c r="C43" s="620"/>
      <c r="D43" s="490"/>
      <c r="E43" s="490"/>
      <c r="F43" s="617"/>
      <c r="G43" s="490"/>
      <c r="H43" s="490"/>
      <c r="I43" s="490"/>
      <c r="J43" s="228"/>
    </row>
    <row r="44" spans="1:10" ht="16.5" thickBot="1">
      <c r="A44" s="179"/>
      <c r="B44" s="295"/>
      <c r="C44" s="621"/>
      <c r="D44" s="593"/>
      <c r="E44" s="593"/>
      <c r="F44" s="593"/>
      <c r="G44" s="593"/>
      <c r="H44" s="593"/>
      <c r="I44" s="593"/>
      <c r="J44" s="234"/>
    </row>
    <row r="45" spans="1:10" ht="15.75">
      <c r="A45" s="173"/>
      <c r="B45" s="658"/>
      <c r="C45" s="329"/>
      <c r="D45" s="330"/>
      <c r="E45" s="142"/>
      <c r="F45" s="142"/>
      <c r="G45" s="331"/>
      <c r="H45" s="332"/>
      <c r="I45" s="333"/>
      <c r="J45" s="659"/>
    </row>
    <row r="46" spans="1:10" ht="15.75">
      <c r="A46" s="4"/>
      <c r="B46" s="10"/>
      <c r="C46" s="118" t="s">
        <v>923</v>
      </c>
      <c r="D46" s="204"/>
      <c r="E46" s="115"/>
      <c r="F46" s="115"/>
      <c r="G46" s="145"/>
      <c r="H46" s="145"/>
      <c r="I46" s="145"/>
      <c r="J46" s="146"/>
    </row>
    <row r="47" spans="1:10" ht="16.5" thickBot="1">
      <c r="A47" s="4"/>
      <c r="B47" s="9"/>
      <c r="C47" s="120"/>
      <c r="D47" s="216"/>
      <c r="E47" s="121"/>
      <c r="F47" s="121"/>
      <c r="G47" s="147"/>
      <c r="H47" s="147"/>
      <c r="I47" s="147"/>
      <c r="J47" s="148"/>
    </row>
    <row r="48" spans="1:10" ht="16.5" thickTop="1">
      <c r="A48" s="4"/>
      <c r="B48" s="9"/>
      <c r="C48" s="118"/>
      <c r="D48" s="319"/>
      <c r="E48" s="115"/>
      <c r="F48" s="115"/>
      <c r="G48" s="134"/>
      <c r="H48" s="145"/>
      <c r="I48" s="145"/>
      <c r="J48" s="320"/>
    </row>
    <row r="49" spans="1:10" ht="18.75">
      <c r="A49" s="4"/>
      <c r="B49" s="9"/>
      <c r="C49" s="118"/>
      <c r="D49" s="699" t="s">
        <v>333</v>
      </c>
      <c r="E49" s="700"/>
      <c r="F49" s="703"/>
      <c r="G49" s="681" t="s">
        <v>334</v>
      </c>
      <c r="H49" s="682"/>
      <c r="I49" s="687"/>
      <c r="J49" s="254"/>
    </row>
    <row r="50" spans="1:10" ht="15.75">
      <c r="A50" s="4"/>
      <c r="B50" s="336"/>
      <c r="C50" s="153"/>
      <c r="D50" s="159"/>
      <c r="E50" s="82"/>
      <c r="F50" s="155"/>
      <c r="G50" s="154"/>
      <c r="H50" s="82"/>
      <c r="I50" s="82"/>
      <c r="J50" s="193" t="s">
        <v>844</v>
      </c>
    </row>
    <row r="51" spans="1:10" ht="18.75">
      <c r="A51" s="63"/>
      <c r="B51" s="10"/>
      <c r="C51" s="156"/>
      <c r="D51" s="157" t="s">
        <v>844</v>
      </c>
      <c r="E51" s="157" t="s">
        <v>885</v>
      </c>
      <c r="F51" s="127"/>
      <c r="G51" s="127"/>
      <c r="H51" s="157" t="s">
        <v>886</v>
      </c>
      <c r="I51" s="127"/>
      <c r="J51" s="193" t="s">
        <v>335</v>
      </c>
    </row>
    <row r="52" spans="1:10" ht="15.75">
      <c r="A52" s="63"/>
      <c r="B52" s="10"/>
      <c r="C52" s="156"/>
      <c r="D52" s="157" t="s">
        <v>839</v>
      </c>
      <c r="E52" s="157" t="s">
        <v>884</v>
      </c>
      <c r="F52" s="127" t="s">
        <v>920</v>
      </c>
      <c r="G52" s="127" t="s">
        <v>840</v>
      </c>
      <c r="H52" s="127" t="s">
        <v>884</v>
      </c>
      <c r="I52" s="127" t="s">
        <v>920</v>
      </c>
      <c r="J52" s="193"/>
    </row>
    <row r="53" spans="1:10" ht="15.75">
      <c r="A53" s="63"/>
      <c r="B53" s="10"/>
      <c r="C53" s="81" t="s">
        <v>654</v>
      </c>
      <c r="D53" s="269" t="s">
        <v>163</v>
      </c>
      <c r="E53" s="158" t="s">
        <v>164</v>
      </c>
      <c r="F53" s="159" t="s">
        <v>165</v>
      </c>
      <c r="G53" s="154" t="s">
        <v>166</v>
      </c>
      <c r="H53" s="154" t="s">
        <v>167</v>
      </c>
      <c r="I53" s="154" t="s">
        <v>168</v>
      </c>
      <c r="J53" s="246" t="s">
        <v>169</v>
      </c>
    </row>
    <row r="54" spans="1:10" ht="15.75">
      <c r="A54" s="63"/>
      <c r="B54" s="10"/>
      <c r="C54" s="222"/>
      <c r="D54" s="270"/>
      <c r="E54" s="272"/>
      <c r="F54" s="271"/>
      <c r="G54" s="273"/>
      <c r="H54" s="207"/>
      <c r="I54" s="207"/>
      <c r="J54" s="274"/>
    </row>
    <row r="55" spans="1:10" ht="15.75">
      <c r="A55" s="63"/>
      <c r="B55" s="10"/>
      <c r="C55" s="213" t="s">
        <v>824</v>
      </c>
      <c r="D55" s="276"/>
      <c r="E55" s="325"/>
      <c r="F55" s="322"/>
      <c r="G55" s="277"/>
      <c r="H55" s="323"/>
      <c r="I55" s="322"/>
      <c r="J55" s="288"/>
    </row>
    <row r="56" spans="1:10" ht="15.75">
      <c r="A56" s="63"/>
      <c r="B56" s="10" t="s">
        <v>336</v>
      </c>
      <c r="C56" s="83" t="s">
        <v>849</v>
      </c>
      <c r="D56" s="276">
        <f>+'TYBR Pieces &amp; Pounds'!H19-(D68+D72+D73)</f>
        <v>19693612.45208341</v>
      </c>
      <c r="E56" s="321">
        <f>+Inputs!$D$111</f>
        <v>1.217</v>
      </c>
      <c r="F56" s="322">
        <f>+D56*E56</f>
        <v>23967126.35418551</v>
      </c>
      <c r="G56" s="277">
        <f>+'TY Cost Distribution'!E15</f>
        <v>40423899.20279783</v>
      </c>
      <c r="H56" s="323">
        <f>+Inputs!D95</f>
        <v>0.095</v>
      </c>
      <c r="I56" s="322">
        <f>+G56*H56</f>
        <v>3840270.424265794</v>
      </c>
      <c r="J56" s="288">
        <f aca="true" t="shared" si="0" ref="J56:J62">+F56+I56</f>
        <v>27807396.778451305</v>
      </c>
    </row>
    <row r="57" spans="1:10" ht="15.75">
      <c r="A57" s="63"/>
      <c r="B57" s="10" t="s">
        <v>337</v>
      </c>
      <c r="C57" s="83">
        <v>3</v>
      </c>
      <c r="D57" s="276">
        <f>+'TYBR Pieces &amp; Pounds'!H20-D69</f>
        <v>12291622.909482688</v>
      </c>
      <c r="E57" s="321">
        <f>+Inputs!$D$111</f>
        <v>1.217</v>
      </c>
      <c r="F57" s="322">
        <f aca="true" t="shared" si="1" ref="F57:F62">+D57*E57</f>
        <v>14958905.080840431</v>
      </c>
      <c r="G57" s="277">
        <f>+'TY Cost Distribution'!E16</f>
        <v>25973153.30596388</v>
      </c>
      <c r="H57" s="323">
        <f>+Inputs!D96</f>
        <v>0.118</v>
      </c>
      <c r="I57" s="322">
        <f aca="true" t="shared" si="2" ref="I57:I62">+G57*H57</f>
        <v>3064832.090103738</v>
      </c>
      <c r="J57" s="288">
        <f t="shared" si="0"/>
        <v>18023737.17094417</v>
      </c>
    </row>
    <row r="58" spans="1:10" ht="15.75">
      <c r="A58" s="63"/>
      <c r="B58" s="10" t="s">
        <v>338</v>
      </c>
      <c r="C58" s="83">
        <v>4</v>
      </c>
      <c r="D58" s="276">
        <f>+'TYBR Pieces &amp; Pounds'!H21-D70</f>
        <v>19293245.394072548</v>
      </c>
      <c r="E58" s="321">
        <f>+Inputs!$D$111</f>
        <v>1.217</v>
      </c>
      <c r="F58" s="322">
        <f t="shared" si="1"/>
        <v>23479879.64458629</v>
      </c>
      <c r="G58" s="277">
        <f>+'TY Cost Distribution'!E17</f>
        <v>40710116.96697286</v>
      </c>
      <c r="H58" s="323">
        <f>+Inputs!D97</f>
        <v>0.157</v>
      </c>
      <c r="I58" s="322">
        <f t="shared" si="2"/>
        <v>6391488.363814739</v>
      </c>
      <c r="J58" s="288">
        <f t="shared" si="0"/>
        <v>29871368.00840103</v>
      </c>
    </row>
    <row r="59" spans="1:10" ht="15.75">
      <c r="A59" s="63"/>
      <c r="B59" s="10" t="s">
        <v>339</v>
      </c>
      <c r="C59" s="83">
        <v>5</v>
      </c>
      <c r="D59" s="276">
        <f>+'TYBR Pieces &amp; Pounds'!H22-D71</f>
        <v>19709337.962968428</v>
      </c>
      <c r="E59" s="321">
        <f>+Inputs!$D$111</f>
        <v>1.217</v>
      </c>
      <c r="F59" s="322">
        <f t="shared" si="1"/>
        <v>23986264.30093258</v>
      </c>
      <c r="G59" s="277">
        <f>+'TY Cost Distribution'!E18</f>
        <v>38203703.17428598</v>
      </c>
      <c r="H59" s="323">
        <f>+Inputs!D98</f>
        <v>0.209</v>
      </c>
      <c r="I59" s="322">
        <f t="shared" si="2"/>
        <v>7984573.9634257695</v>
      </c>
      <c r="J59" s="288">
        <f t="shared" si="0"/>
        <v>31970838.26435835</v>
      </c>
    </row>
    <row r="60" spans="1:10" ht="15.75">
      <c r="A60" s="63"/>
      <c r="B60" s="10" t="s">
        <v>340</v>
      </c>
      <c r="C60" s="83">
        <v>6</v>
      </c>
      <c r="D60" s="276">
        <f>+'TYBR Pieces &amp; Pounds'!H23</f>
        <v>10756355.46062657</v>
      </c>
      <c r="E60" s="321">
        <f>+Inputs!$D$111</f>
        <v>1.217</v>
      </c>
      <c r="F60" s="322">
        <f t="shared" si="1"/>
        <v>13090484.595582537</v>
      </c>
      <c r="G60" s="277">
        <f>+'TY Cost Distribution'!E19</f>
        <v>20532601.96631721</v>
      </c>
      <c r="H60" s="323">
        <f>+Inputs!D99</f>
        <v>0.261</v>
      </c>
      <c r="I60" s="322">
        <f t="shared" si="2"/>
        <v>5359009.113208792</v>
      </c>
      <c r="J60" s="288">
        <f t="shared" si="0"/>
        <v>18449493.70879133</v>
      </c>
    </row>
    <row r="61" spans="1:10" ht="15.75">
      <c r="A61" s="63"/>
      <c r="B61" s="10" t="s">
        <v>341</v>
      </c>
      <c r="C61" s="83">
        <v>7</v>
      </c>
      <c r="D61" s="276">
        <f>+'TYBR Pieces &amp; Pounds'!H24</f>
        <v>7208352.464952896</v>
      </c>
      <c r="E61" s="321">
        <f>+Inputs!$D$111</f>
        <v>1.217</v>
      </c>
      <c r="F61" s="322">
        <f t="shared" si="1"/>
        <v>8772564.949847676</v>
      </c>
      <c r="G61" s="277">
        <f>+'TY Cost Distribution'!E20</f>
        <v>13996951.193659572</v>
      </c>
      <c r="H61" s="323">
        <f>+Inputs!D100</f>
        <v>0.325</v>
      </c>
      <c r="I61" s="322">
        <f t="shared" si="2"/>
        <v>4549009.137939361</v>
      </c>
      <c r="J61" s="288">
        <f t="shared" si="0"/>
        <v>13321574.087787036</v>
      </c>
    </row>
    <row r="62" spans="1:10" ht="15.75">
      <c r="A62" s="63"/>
      <c r="B62" s="10" t="s">
        <v>342</v>
      </c>
      <c r="C62" s="83">
        <v>8</v>
      </c>
      <c r="D62" s="276">
        <f>+'TYBR Pieces &amp; Pounds'!H25</f>
        <v>13752940.614915464</v>
      </c>
      <c r="E62" s="321">
        <f>+Inputs!$D$111</f>
        <v>1.217</v>
      </c>
      <c r="F62" s="322">
        <f t="shared" si="1"/>
        <v>16737328.72835212</v>
      </c>
      <c r="G62" s="277">
        <f>+'TY Cost Distribution'!E21</f>
        <v>24315212.359793335</v>
      </c>
      <c r="H62" s="323">
        <f>+Inputs!D101</f>
        <v>0.442</v>
      </c>
      <c r="I62" s="322">
        <f t="shared" si="2"/>
        <v>10747323.863028655</v>
      </c>
      <c r="J62" s="288">
        <f t="shared" si="0"/>
        <v>27484652.591380775</v>
      </c>
    </row>
    <row r="63" spans="1:10" ht="15.75">
      <c r="A63" s="63"/>
      <c r="B63" s="10"/>
      <c r="C63" s="83"/>
      <c r="D63" s="282"/>
      <c r="E63" s="334"/>
      <c r="F63" s="324"/>
      <c r="G63" s="277"/>
      <c r="H63" s="323"/>
      <c r="I63" s="324"/>
      <c r="J63" s="288"/>
    </row>
    <row r="64" spans="1:11" ht="15.75">
      <c r="A64" s="63"/>
      <c r="B64" s="10" t="s">
        <v>343</v>
      </c>
      <c r="C64" s="83" t="s">
        <v>844</v>
      </c>
      <c r="D64" s="282">
        <f>SUM(D56:D62)</f>
        <v>102705467.259102</v>
      </c>
      <c r="E64" s="334"/>
      <c r="F64" s="324">
        <f>SUM(F56:F62)</f>
        <v>124992553.65432714</v>
      </c>
      <c r="G64" s="282">
        <f>SUM(G56:G62)</f>
        <v>204155638.16979066</v>
      </c>
      <c r="H64" s="323"/>
      <c r="I64" s="324">
        <f>SUM(I56:I62)</f>
        <v>41936506.95578685</v>
      </c>
      <c r="J64" s="288">
        <f>SUM(J56:J63)</f>
        <v>166929060.610114</v>
      </c>
      <c r="K64" s="47"/>
    </row>
    <row r="65" spans="1:11" ht="15.75">
      <c r="A65" s="63"/>
      <c r="B65" s="10"/>
      <c r="C65" s="83"/>
      <c r="D65" s="282"/>
      <c r="E65" s="334"/>
      <c r="F65" s="324"/>
      <c r="G65" s="282"/>
      <c r="H65" s="323"/>
      <c r="I65" s="324"/>
      <c r="J65" s="288"/>
      <c r="K65" s="47"/>
    </row>
    <row r="66" spans="1:11" ht="15.75">
      <c r="A66" s="63"/>
      <c r="B66" s="10"/>
      <c r="C66" s="213" t="s">
        <v>794</v>
      </c>
      <c r="D66" s="282"/>
      <c r="E66" s="334"/>
      <c r="F66" s="324"/>
      <c r="G66" s="282"/>
      <c r="H66" s="323"/>
      <c r="I66" s="324"/>
      <c r="J66" s="288"/>
      <c r="K66" s="47"/>
    </row>
    <row r="67" spans="1:11" ht="15.75">
      <c r="A67" s="63"/>
      <c r="B67" s="10"/>
      <c r="C67" s="284" t="s">
        <v>124</v>
      </c>
      <c r="D67" s="282"/>
      <c r="E67" s="334"/>
      <c r="F67" s="324"/>
      <c r="G67" s="282"/>
      <c r="H67" s="323"/>
      <c r="I67" s="324"/>
      <c r="J67" s="288"/>
      <c r="K67" s="47"/>
    </row>
    <row r="68" spans="1:11" ht="15.75">
      <c r="A68" s="63"/>
      <c r="B68" s="10" t="s">
        <v>344</v>
      </c>
      <c r="C68" s="83" t="s">
        <v>849</v>
      </c>
      <c r="D68" s="282">
        <f>+'TYBR Pieces &amp; Pounds'!$H$17*Inputs!D38</f>
        <v>186634043.4318552</v>
      </c>
      <c r="E68" s="501">
        <f>+Inputs!D112</f>
        <v>0.943</v>
      </c>
      <c r="F68" s="322">
        <f aca="true" t="shared" si="3" ref="F68:F73">+D68*E68</f>
        <v>175995902.95623943</v>
      </c>
      <c r="G68" s="282">
        <f>+'TY Cost Distribution'!F15</f>
        <v>541139130.5355133</v>
      </c>
      <c r="H68" s="323">
        <f>+Inputs!D103</f>
        <v>0.077</v>
      </c>
      <c r="I68" s="322">
        <f aca="true" t="shared" si="4" ref="I68:I73">+G68*H68</f>
        <v>41667713.05123452</v>
      </c>
      <c r="J68" s="288">
        <f aca="true" t="shared" si="5" ref="J68:J73">+F68+I68</f>
        <v>217663616.00747395</v>
      </c>
      <c r="K68" s="47"/>
    </row>
    <row r="69" spans="1:11" ht="15.75">
      <c r="A69" s="63"/>
      <c r="B69" s="10" t="s">
        <v>345</v>
      </c>
      <c r="C69" s="83">
        <v>3</v>
      </c>
      <c r="D69" s="282">
        <f>+'TYBR Pieces &amp; Pounds'!$H$17*Inputs!D39</f>
        <v>43375947.232568726</v>
      </c>
      <c r="E69" s="501">
        <f>+Inputs!D112</f>
        <v>0.943</v>
      </c>
      <c r="F69" s="322">
        <f t="shared" si="3"/>
        <v>40903518.24031231</v>
      </c>
      <c r="G69" s="282">
        <f>+'TY Cost Distribution'!F16</f>
        <v>114192704.3050233</v>
      </c>
      <c r="H69" s="323">
        <f>+Inputs!D104</f>
        <v>0.108</v>
      </c>
      <c r="I69" s="322">
        <f t="shared" si="4"/>
        <v>12332812.064942516</v>
      </c>
      <c r="J69" s="288">
        <f t="shared" si="5"/>
        <v>53236330.305254824</v>
      </c>
      <c r="K69" s="47"/>
    </row>
    <row r="70" spans="1:11" ht="15.75">
      <c r="A70" s="63"/>
      <c r="B70" s="10" t="s">
        <v>346</v>
      </c>
      <c r="C70" s="83">
        <v>4</v>
      </c>
      <c r="D70" s="282">
        <f>+'TYBR Pieces &amp; Pounds'!$H$17*Inputs!D40</f>
        <v>9489193.751688225</v>
      </c>
      <c r="E70" s="501">
        <f>+Inputs!D112</f>
        <v>0.943</v>
      </c>
      <c r="F70" s="322">
        <f t="shared" si="3"/>
        <v>8948309.707841996</v>
      </c>
      <c r="G70" s="282">
        <f>+'TY Cost Distribution'!F17</f>
        <v>24757386.951961923</v>
      </c>
      <c r="H70" s="323">
        <f>+Inputs!D105</f>
        <v>0.147</v>
      </c>
      <c r="I70" s="322">
        <f t="shared" si="4"/>
        <v>3639335.8819384025</v>
      </c>
      <c r="J70" s="288">
        <f t="shared" si="5"/>
        <v>12587645.589780398</v>
      </c>
      <c r="K70" s="47"/>
    </row>
    <row r="71" spans="1:11" ht="15.75">
      <c r="A71" s="63"/>
      <c r="B71" s="10" t="s">
        <v>347</v>
      </c>
      <c r="C71" s="83">
        <v>5</v>
      </c>
      <c r="D71" s="282">
        <f>+'TYBR Pieces &amp; Pounds'!$H$17*Inputs!D41</f>
        <v>393913.68210630736</v>
      </c>
      <c r="E71" s="501">
        <f>+Inputs!D112</f>
        <v>0.943</v>
      </c>
      <c r="F71" s="322">
        <f t="shared" si="3"/>
        <v>371460.60222624784</v>
      </c>
      <c r="G71" s="282">
        <f>+'TY Cost Distribution'!F18</f>
        <v>684624.3614090219</v>
      </c>
      <c r="H71" s="323">
        <f>+Inputs!D106</f>
        <v>0.197</v>
      </c>
      <c r="I71" s="322">
        <f t="shared" si="4"/>
        <v>134870.99919757733</v>
      </c>
      <c r="J71" s="288">
        <f t="shared" si="5"/>
        <v>506331.60142382514</v>
      </c>
      <c r="K71" s="47"/>
    </row>
    <row r="72" spans="1:11" ht="15.75">
      <c r="A72" s="63"/>
      <c r="B72" s="10" t="s">
        <v>348</v>
      </c>
      <c r="C72" s="284" t="s">
        <v>127</v>
      </c>
      <c r="D72" s="282">
        <f>+'TYBR Pieces &amp; Pounds'!$H$17*Inputs!D42</f>
        <v>203880332.0357691</v>
      </c>
      <c r="E72" s="501">
        <f>+Inputs!D113</f>
        <v>0.717</v>
      </c>
      <c r="F72" s="322">
        <f t="shared" si="3"/>
        <v>146182198.06964645</v>
      </c>
      <c r="G72" s="282">
        <f>+'TY Cost Distribution'!G15</f>
        <v>381157986.78737587</v>
      </c>
      <c r="H72" s="323">
        <f>+Inputs!D107</f>
        <v>0.063</v>
      </c>
      <c r="I72" s="322">
        <f t="shared" si="4"/>
        <v>24012953.16760468</v>
      </c>
      <c r="J72" s="288">
        <f t="shared" si="5"/>
        <v>170195151.23725113</v>
      </c>
      <c r="K72" s="47"/>
    </row>
    <row r="73" spans="1:11" ht="15.75">
      <c r="A73" s="63"/>
      <c r="B73" s="10" t="s">
        <v>349</v>
      </c>
      <c r="C73" s="284" t="s">
        <v>128</v>
      </c>
      <c r="D73" s="282">
        <f>+'TYBR Pieces &amp; Pounds'!$H$17*Inputs!D43</f>
        <v>71320175.66892938</v>
      </c>
      <c r="E73" s="501">
        <f>+Inputs!D114</f>
        <v>0.642</v>
      </c>
      <c r="F73" s="322">
        <f t="shared" si="3"/>
        <v>45787552.77945267</v>
      </c>
      <c r="G73" s="282">
        <f>+'TY Cost Distribution'!H15</f>
        <v>180114131.78662694</v>
      </c>
      <c r="H73" s="323">
        <f>+Inputs!D108</f>
        <v>0.032</v>
      </c>
      <c r="I73" s="322">
        <f t="shared" si="4"/>
        <v>5763652.217172062</v>
      </c>
      <c r="J73" s="288">
        <f t="shared" si="5"/>
        <v>51551204.99662473</v>
      </c>
      <c r="K73" s="47"/>
    </row>
    <row r="74" spans="1:11" ht="15.75">
      <c r="A74" s="63"/>
      <c r="B74" s="10"/>
      <c r="C74" s="83"/>
      <c r="D74" s="282"/>
      <c r="E74" s="501"/>
      <c r="F74" s="324"/>
      <c r="G74" s="282"/>
      <c r="H74" s="323"/>
      <c r="I74" s="324"/>
      <c r="J74" s="288"/>
      <c r="K74" s="47"/>
    </row>
    <row r="75" spans="1:11" ht="15.75">
      <c r="A75" s="63"/>
      <c r="B75" s="10" t="s">
        <v>350</v>
      </c>
      <c r="C75" s="83" t="s">
        <v>844</v>
      </c>
      <c r="D75" s="282">
        <f>SUM(D68:D73)</f>
        <v>515093605.80291694</v>
      </c>
      <c r="E75" s="501"/>
      <c r="F75" s="322">
        <f>SUM(F68:F73)</f>
        <v>418188942.3557191</v>
      </c>
      <c r="G75" s="282">
        <f>SUM(G68:G73)</f>
        <v>1242045964.7279105</v>
      </c>
      <c r="H75" s="323"/>
      <c r="I75" s="322">
        <f>SUM(I68:I73)</f>
        <v>87551337.38208976</v>
      </c>
      <c r="J75" s="288">
        <f>SUM(J68:J73)</f>
        <v>505740279.7378088</v>
      </c>
      <c r="K75" s="47"/>
    </row>
    <row r="76" spans="1:11" ht="16.5" thickBot="1">
      <c r="A76" s="21"/>
      <c r="B76" s="552"/>
      <c r="C76" s="621"/>
      <c r="D76" s="660"/>
      <c r="E76" s="661"/>
      <c r="F76" s="358"/>
      <c r="G76" s="660"/>
      <c r="H76" s="662"/>
      <c r="I76" s="358"/>
      <c r="J76" s="663"/>
      <c r="K76" s="47"/>
    </row>
    <row r="77" spans="1:11" ht="15.75">
      <c r="A77" s="62"/>
      <c r="B77" s="658"/>
      <c r="C77" s="329"/>
      <c r="D77" s="622"/>
      <c r="E77" s="623"/>
      <c r="F77" s="363"/>
      <c r="G77" s="622"/>
      <c r="H77" s="624"/>
      <c r="I77" s="363"/>
      <c r="J77" s="625"/>
      <c r="K77" s="47"/>
    </row>
    <row r="78" spans="1:11" ht="18.75">
      <c r="A78" s="63"/>
      <c r="B78" s="10" t="s">
        <v>351</v>
      </c>
      <c r="C78" s="284" t="s">
        <v>31</v>
      </c>
      <c r="D78" s="365"/>
      <c r="E78" s="365"/>
      <c r="F78" s="506">
        <f>+J64+J75</f>
        <v>672669340.3479228</v>
      </c>
      <c r="G78" s="365"/>
      <c r="H78" s="365"/>
      <c r="I78" s="365"/>
      <c r="J78" s="505"/>
      <c r="K78" s="47"/>
    </row>
    <row r="79" spans="1:11" ht="15.75">
      <c r="A79" s="63"/>
      <c r="B79" s="10"/>
      <c r="C79" s="83"/>
      <c r="D79" s="365"/>
      <c r="E79" s="365"/>
      <c r="F79" s="506"/>
      <c r="G79" s="365"/>
      <c r="H79" s="651"/>
      <c r="I79" s="365"/>
      <c r="J79" s="505"/>
      <c r="K79" s="47"/>
    </row>
    <row r="80" spans="1:11" ht="15.75">
      <c r="A80" s="63"/>
      <c r="B80" s="10"/>
      <c r="C80" s="284" t="s">
        <v>714</v>
      </c>
      <c r="D80" s="365"/>
      <c r="E80" s="365"/>
      <c r="F80" s="506"/>
      <c r="G80" s="365"/>
      <c r="H80" s="652"/>
      <c r="I80" s="365"/>
      <c r="J80" s="505"/>
      <c r="K80" s="47"/>
    </row>
    <row r="81" spans="1:11" ht="18.75">
      <c r="A81" s="63"/>
      <c r="B81" s="10" t="s">
        <v>352</v>
      </c>
      <c r="C81" s="284" t="s">
        <v>33</v>
      </c>
      <c r="D81" s="365"/>
      <c r="E81" s="365"/>
      <c r="F81" s="506">
        <f>-'TYBR Pieces &amp; Pounds'!L17*Inputs!D117</f>
        <v>-17499619.209991716</v>
      </c>
      <c r="G81" s="365"/>
      <c r="H81" s="652"/>
      <c r="I81" s="365"/>
      <c r="J81" s="505"/>
      <c r="K81" s="47"/>
    </row>
    <row r="82" spans="1:11" ht="18.75">
      <c r="A82" s="63"/>
      <c r="B82" s="10" t="s">
        <v>353</v>
      </c>
      <c r="C82" s="284" t="s">
        <v>721</v>
      </c>
      <c r="D82" s="365"/>
      <c r="E82" s="365"/>
      <c r="F82" s="506">
        <f>-'TYBR Pieces &amp; Pounds'!H17*Inputs!D26*Inputs!D118</f>
        <v>-4851634.650392913</v>
      </c>
      <c r="G82" s="365"/>
      <c r="H82" s="653"/>
      <c r="I82" s="365"/>
      <c r="J82" s="505"/>
      <c r="K82" s="47"/>
    </row>
    <row r="83" spans="1:11" ht="15.75">
      <c r="A83" s="63"/>
      <c r="B83" s="10" t="s">
        <v>355</v>
      </c>
      <c r="C83" s="284" t="s">
        <v>720</v>
      </c>
      <c r="D83" s="365"/>
      <c r="E83" s="365"/>
      <c r="F83" s="506">
        <f>-('TYBR Pieces &amp; Pounds'!J17+'TYBR Pieces &amp; Pounds'!M17)*Inputs!D29*Inputs!D119</f>
        <v>-1874236.1715400808</v>
      </c>
      <c r="G83" s="365"/>
      <c r="H83" s="365"/>
      <c r="I83" s="365"/>
      <c r="J83" s="505"/>
      <c r="K83" s="47"/>
    </row>
    <row r="84" spans="1:11" ht="15.75">
      <c r="A84" s="63"/>
      <c r="B84" s="10" t="s">
        <v>72</v>
      </c>
      <c r="C84" s="284" t="s">
        <v>715</v>
      </c>
      <c r="D84" s="365"/>
      <c r="E84" s="365"/>
      <c r="F84" s="506">
        <f>-('TYBR Pieces &amp; Pounds'!J17+'TYBR Pieces &amp; Pounds'!M17)*Inputs!D122</f>
        <v>-23065264.058155857</v>
      </c>
      <c r="G84" s="365"/>
      <c r="H84" s="365"/>
      <c r="I84" s="365"/>
      <c r="J84" s="505"/>
      <c r="K84" s="47"/>
    </row>
    <row r="85" spans="1:11" ht="15.75">
      <c r="A85" s="63"/>
      <c r="B85" s="10"/>
      <c r="C85" s="284"/>
      <c r="D85" s="365"/>
      <c r="E85" s="365"/>
      <c r="F85" s="506"/>
      <c r="G85" s="365"/>
      <c r="H85" s="365"/>
      <c r="I85" s="365"/>
      <c r="J85" s="505"/>
      <c r="K85" s="47"/>
    </row>
    <row r="86" spans="1:11" ht="15.75">
      <c r="A86" s="63"/>
      <c r="B86" s="10" t="s">
        <v>73</v>
      </c>
      <c r="C86" s="284" t="s">
        <v>717</v>
      </c>
      <c r="D86" s="365"/>
      <c r="E86" s="365"/>
      <c r="F86" s="506">
        <f>SUM(F78,F81,F82,F83,F84)</f>
        <v>625378586.2578423</v>
      </c>
      <c r="G86" s="365"/>
      <c r="H86" s="365"/>
      <c r="I86" s="365"/>
      <c r="J86" s="505"/>
      <c r="K86" s="47"/>
    </row>
    <row r="87" spans="1:11" ht="15.75">
      <c r="A87" s="63"/>
      <c r="B87" s="10"/>
      <c r="C87" s="284"/>
      <c r="D87" s="365"/>
      <c r="E87" s="365"/>
      <c r="F87" s="506"/>
      <c r="G87" s="365"/>
      <c r="H87" s="365"/>
      <c r="I87" s="365"/>
      <c r="J87" s="505"/>
      <c r="K87" s="47"/>
    </row>
    <row r="88" spans="1:11" ht="18.75">
      <c r="A88" s="63"/>
      <c r="B88" s="10" t="s">
        <v>74</v>
      </c>
      <c r="C88" s="284" t="s">
        <v>34</v>
      </c>
      <c r="D88" s="365"/>
      <c r="E88" s="365"/>
      <c r="F88" s="617">
        <f>+F86*Inputs!D18</f>
        <v>626228630.1232324</v>
      </c>
      <c r="G88" s="365"/>
      <c r="H88" s="365"/>
      <c r="I88" s="365"/>
      <c r="J88" s="505"/>
      <c r="K88" s="47"/>
    </row>
    <row r="89" spans="1:11" ht="16.5" thickBot="1">
      <c r="A89" s="21"/>
      <c r="B89" s="552"/>
      <c r="C89" s="291"/>
      <c r="D89" s="378"/>
      <c r="E89" s="378"/>
      <c r="F89" s="664"/>
      <c r="G89" s="378"/>
      <c r="H89" s="378"/>
      <c r="I89" s="378"/>
      <c r="J89" s="496"/>
      <c r="K89" s="47"/>
    </row>
    <row r="90" spans="1:10" ht="12.75">
      <c r="A90" s="62"/>
      <c r="B90" s="39"/>
      <c r="C90" s="578"/>
      <c r="D90" s="225"/>
      <c r="E90" s="225"/>
      <c r="F90" s="225"/>
      <c r="G90" s="225"/>
      <c r="H90" s="225"/>
      <c r="I90" s="225"/>
      <c r="J90" s="226"/>
    </row>
    <row r="91" spans="1:10" ht="15.75">
      <c r="A91" s="63"/>
      <c r="B91" s="41"/>
      <c r="C91" s="579" t="s">
        <v>811</v>
      </c>
      <c r="D91" s="227"/>
      <c r="E91" s="577"/>
      <c r="F91" s="227"/>
      <c r="G91" s="227"/>
      <c r="H91" s="309"/>
      <c r="I91" s="227"/>
      <c r="J91" s="228"/>
    </row>
    <row r="92" spans="1:10" ht="13.5" thickBot="1">
      <c r="A92" s="63"/>
      <c r="B92" s="41"/>
      <c r="C92" s="229"/>
      <c r="D92" s="230"/>
      <c r="E92" s="230"/>
      <c r="F92" s="230"/>
      <c r="G92" s="230"/>
      <c r="H92" s="230"/>
      <c r="I92" s="230"/>
      <c r="J92" s="231"/>
    </row>
    <row r="93" spans="1:10" ht="13.5" thickTop="1">
      <c r="A93" s="63"/>
      <c r="B93" s="41"/>
      <c r="C93" s="580" t="s">
        <v>323</v>
      </c>
      <c r="D93" s="227"/>
      <c r="E93" s="227"/>
      <c r="F93" s="227"/>
      <c r="G93" s="227"/>
      <c r="H93" s="227"/>
      <c r="I93" s="227"/>
      <c r="J93" s="228"/>
    </row>
    <row r="94" spans="1:10" ht="12.75">
      <c r="A94" s="63"/>
      <c r="B94" s="41"/>
      <c r="C94" s="580" t="s">
        <v>324</v>
      </c>
      <c r="D94" s="227"/>
      <c r="E94" s="227"/>
      <c r="F94" s="227"/>
      <c r="G94" s="227"/>
      <c r="H94" s="227"/>
      <c r="I94" s="227"/>
      <c r="J94" s="228"/>
    </row>
    <row r="95" spans="1:10" ht="12.75">
      <c r="A95" s="63"/>
      <c r="B95" s="41"/>
      <c r="C95" s="580" t="s">
        <v>325</v>
      </c>
      <c r="D95" s="227"/>
      <c r="E95" s="227"/>
      <c r="F95" s="227"/>
      <c r="G95" s="227"/>
      <c r="H95" s="227"/>
      <c r="I95" s="227"/>
      <c r="J95" s="228"/>
    </row>
    <row r="96" spans="1:10" ht="12.75">
      <c r="A96" s="63"/>
      <c r="B96" s="41"/>
      <c r="C96" s="580" t="s">
        <v>326</v>
      </c>
      <c r="D96" s="227"/>
      <c r="E96" s="227"/>
      <c r="F96" s="227"/>
      <c r="G96" s="227"/>
      <c r="H96" s="227"/>
      <c r="I96" s="227"/>
      <c r="J96" s="228"/>
    </row>
    <row r="97" spans="1:10" ht="12.75">
      <c r="A97" s="63"/>
      <c r="B97" s="41"/>
      <c r="C97" s="580" t="s">
        <v>327</v>
      </c>
      <c r="D97" s="227"/>
      <c r="E97" s="227"/>
      <c r="F97" s="227"/>
      <c r="G97" s="227"/>
      <c r="H97" s="227"/>
      <c r="I97" s="227"/>
      <c r="J97" s="228"/>
    </row>
    <row r="98" spans="1:10" ht="12.75">
      <c r="A98" s="63"/>
      <c r="B98" s="41"/>
      <c r="C98" s="580" t="s">
        <v>328</v>
      </c>
      <c r="D98" s="227"/>
      <c r="E98" s="227"/>
      <c r="F98" s="227"/>
      <c r="G98" s="227"/>
      <c r="H98" s="227"/>
      <c r="I98" s="227"/>
      <c r="J98" s="228"/>
    </row>
    <row r="99" spans="1:10" ht="12.75">
      <c r="A99" s="63"/>
      <c r="B99" s="41"/>
      <c r="C99" s="580" t="s">
        <v>329</v>
      </c>
      <c r="D99" s="227"/>
      <c r="E99" s="227"/>
      <c r="F99" s="227"/>
      <c r="G99" s="227"/>
      <c r="H99" s="227"/>
      <c r="I99" s="227"/>
      <c r="J99" s="228"/>
    </row>
    <row r="100" spans="1:10" ht="12.75">
      <c r="A100" s="63"/>
      <c r="B100" s="41"/>
      <c r="C100" s="580" t="s">
        <v>330</v>
      </c>
      <c r="D100" s="227"/>
      <c r="E100" s="227"/>
      <c r="F100" s="227"/>
      <c r="G100" s="227"/>
      <c r="H100" s="227"/>
      <c r="I100" s="227"/>
      <c r="J100" s="228"/>
    </row>
    <row r="101" spans="1:10" ht="12.75">
      <c r="A101" s="63"/>
      <c r="B101" s="41"/>
      <c r="C101" s="580" t="s">
        <v>331</v>
      </c>
      <c r="D101" s="227"/>
      <c r="E101" s="227"/>
      <c r="F101" s="227"/>
      <c r="G101" s="227"/>
      <c r="H101" s="227"/>
      <c r="I101" s="227"/>
      <c r="J101" s="228"/>
    </row>
    <row r="102" spans="1:10" ht="12.75">
      <c r="A102" s="63"/>
      <c r="B102" s="41"/>
      <c r="C102" s="580" t="s">
        <v>246</v>
      </c>
      <c r="D102" s="227"/>
      <c r="E102" s="227"/>
      <c r="F102" s="227"/>
      <c r="G102" s="227"/>
      <c r="H102" s="227"/>
      <c r="I102" s="227"/>
      <c r="J102" s="228"/>
    </row>
    <row r="103" spans="1:10" ht="12.75">
      <c r="A103" s="63"/>
      <c r="B103" s="41"/>
      <c r="C103" s="580" t="s">
        <v>247</v>
      </c>
      <c r="D103" s="227"/>
      <c r="E103" s="227"/>
      <c r="F103" s="227"/>
      <c r="G103" s="227"/>
      <c r="H103" s="227"/>
      <c r="I103" s="227"/>
      <c r="J103" s="228"/>
    </row>
    <row r="104" spans="1:10" ht="12.75">
      <c r="A104" s="63"/>
      <c r="B104" s="41"/>
      <c r="C104" s="580" t="s">
        <v>248</v>
      </c>
      <c r="D104" s="227"/>
      <c r="E104" s="227"/>
      <c r="F104" s="227"/>
      <c r="G104" s="227"/>
      <c r="H104" s="227"/>
      <c r="I104" s="227"/>
      <c r="J104" s="228"/>
    </row>
    <row r="105" spans="1:10" ht="12.75">
      <c r="A105" s="63"/>
      <c r="B105" s="41"/>
      <c r="C105" s="580" t="s">
        <v>204</v>
      </c>
      <c r="D105" s="227"/>
      <c r="E105" s="227"/>
      <c r="F105" s="227"/>
      <c r="G105" s="227"/>
      <c r="H105" s="227"/>
      <c r="I105" s="227"/>
      <c r="J105" s="228"/>
    </row>
    <row r="106" spans="1:10" ht="12.75">
      <c r="A106" s="63"/>
      <c r="B106" s="41"/>
      <c r="C106" s="580" t="s">
        <v>205</v>
      </c>
      <c r="D106" s="227"/>
      <c r="E106" s="227"/>
      <c r="F106" s="227"/>
      <c r="G106" s="227"/>
      <c r="H106" s="227"/>
      <c r="I106" s="227"/>
      <c r="J106" s="228"/>
    </row>
    <row r="107" spans="1:10" ht="12.75">
      <c r="A107" s="63"/>
      <c r="B107" s="41"/>
      <c r="C107" s="580" t="s">
        <v>356</v>
      </c>
      <c r="D107" s="227"/>
      <c r="E107" s="227"/>
      <c r="F107" s="227"/>
      <c r="G107" s="227"/>
      <c r="H107" s="227"/>
      <c r="I107" s="227"/>
      <c r="J107" s="228"/>
    </row>
    <row r="108" spans="1:10" ht="12.75">
      <c r="A108" s="63"/>
      <c r="B108" s="41"/>
      <c r="C108" s="580" t="s">
        <v>357</v>
      </c>
      <c r="D108" s="227"/>
      <c r="E108" s="227"/>
      <c r="F108" s="227"/>
      <c r="G108" s="227"/>
      <c r="H108" s="227"/>
      <c r="I108" s="227"/>
      <c r="J108" s="228"/>
    </row>
    <row r="109" spans="1:10" ht="12.75">
      <c r="A109" s="63"/>
      <c r="B109" s="41"/>
      <c r="C109" s="580" t="s">
        <v>358</v>
      </c>
      <c r="D109" s="227"/>
      <c r="E109" s="227"/>
      <c r="F109" s="227"/>
      <c r="G109" s="227"/>
      <c r="H109" s="227"/>
      <c r="I109" s="227"/>
      <c r="J109" s="228"/>
    </row>
    <row r="110" spans="1:10" ht="12.75">
      <c r="A110" s="63"/>
      <c r="B110" s="41"/>
      <c r="C110" s="580" t="s">
        <v>359</v>
      </c>
      <c r="D110" s="227"/>
      <c r="E110" s="227"/>
      <c r="F110" s="227"/>
      <c r="G110" s="227"/>
      <c r="H110" s="227"/>
      <c r="I110" s="227"/>
      <c r="J110" s="228"/>
    </row>
    <row r="111" spans="1:10" ht="12.75">
      <c r="A111" s="63"/>
      <c r="B111" s="41"/>
      <c r="C111" s="580" t="s">
        <v>360</v>
      </c>
      <c r="D111" s="227"/>
      <c r="E111" s="227"/>
      <c r="F111" s="227"/>
      <c r="G111" s="227"/>
      <c r="H111" s="227"/>
      <c r="I111" s="227"/>
      <c r="J111" s="228"/>
    </row>
    <row r="112" spans="1:10" ht="12.75">
      <c r="A112" s="63"/>
      <c r="B112" s="41"/>
      <c r="C112" s="580" t="s">
        <v>361</v>
      </c>
      <c r="D112" s="227"/>
      <c r="E112" s="227"/>
      <c r="F112" s="227"/>
      <c r="G112" s="227"/>
      <c r="H112" s="227"/>
      <c r="I112" s="227"/>
      <c r="J112" s="228"/>
    </row>
    <row r="113" spans="1:10" ht="12.75">
      <c r="A113" s="63"/>
      <c r="B113" s="41"/>
      <c r="C113" s="580" t="s">
        <v>206</v>
      </c>
      <c r="D113" s="227"/>
      <c r="E113" s="227"/>
      <c r="F113" s="227"/>
      <c r="G113" s="227"/>
      <c r="H113" s="227"/>
      <c r="I113" s="227"/>
      <c r="J113" s="228"/>
    </row>
    <row r="114" spans="1:10" ht="12.75">
      <c r="A114" s="63"/>
      <c r="B114" s="41"/>
      <c r="C114" s="580" t="s">
        <v>362</v>
      </c>
      <c r="D114" s="227"/>
      <c r="E114" s="227"/>
      <c r="F114" s="227"/>
      <c r="G114" s="227"/>
      <c r="H114" s="227"/>
      <c r="I114" s="227"/>
      <c r="J114" s="228"/>
    </row>
    <row r="115" spans="1:10" ht="12.75">
      <c r="A115" s="63"/>
      <c r="B115" s="41"/>
      <c r="C115" s="580" t="s">
        <v>207</v>
      </c>
      <c r="D115" s="227"/>
      <c r="E115" s="227"/>
      <c r="F115" s="227"/>
      <c r="G115" s="227"/>
      <c r="H115" s="227"/>
      <c r="I115" s="227"/>
      <c r="J115" s="228"/>
    </row>
    <row r="116" spans="1:10" ht="12.75">
      <c r="A116" s="63"/>
      <c r="B116" s="41"/>
      <c r="C116" s="580" t="s">
        <v>208</v>
      </c>
      <c r="D116" s="227"/>
      <c r="E116" s="227"/>
      <c r="F116" s="227"/>
      <c r="G116" s="227"/>
      <c r="H116" s="227"/>
      <c r="I116" s="227"/>
      <c r="J116" s="228"/>
    </row>
    <row r="117" spans="1:10" ht="12.75">
      <c r="A117" s="63"/>
      <c r="B117" s="41"/>
      <c r="C117" s="580" t="s">
        <v>209</v>
      </c>
      <c r="D117" s="227"/>
      <c r="E117" s="227"/>
      <c r="F117" s="227"/>
      <c r="G117" s="227"/>
      <c r="H117" s="227"/>
      <c r="I117" s="227"/>
      <c r="J117" s="228"/>
    </row>
    <row r="118" spans="1:10" ht="12.75">
      <c r="A118" s="63"/>
      <c r="B118" s="41"/>
      <c r="C118" s="580" t="s">
        <v>210</v>
      </c>
      <c r="D118" s="227"/>
      <c r="E118" s="227"/>
      <c r="F118" s="227"/>
      <c r="G118" s="227"/>
      <c r="H118" s="227"/>
      <c r="I118" s="227"/>
      <c r="J118" s="228"/>
    </row>
    <row r="119" spans="1:10" ht="12.75">
      <c r="A119" s="63"/>
      <c r="B119" s="41"/>
      <c r="C119" s="580" t="s">
        <v>19</v>
      </c>
      <c r="D119" s="227"/>
      <c r="E119" s="227"/>
      <c r="F119" s="227"/>
      <c r="G119" s="227"/>
      <c r="H119" s="227"/>
      <c r="I119" s="227"/>
      <c r="J119" s="228"/>
    </row>
    <row r="120" spans="1:10" ht="12.75">
      <c r="A120" s="63"/>
      <c r="B120" s="41"/>
      <c r="C120" s="580" t="s">
        <v>363</v>
      </c>
      <c r="D120" s="227"/>
      <c r="E120" s="227"/>
      <c r="F120" s="227"/>
      <c r="G120" s="227"/>
      <c r="H120" s="227"/>
      <c r="I120" s="227"/>
      <c r="J120" s="228"/>
    </row>
    <row r="121" spans="1:10" ht="12.75">
      <c r="A121" s="63"/>
      <c r="B121" s="41"/>
      <c r="C121" s="580" t="s">
        <v>364</v>
      </c>
      <c r="D121" s="227"/>
      <c r="E121" s="227"/>
      <c r="F121" s="227"/>
      <c r="G121" s="227"/>
      <c r="H121" s="227"/>
      <c r="I121" s="227"/>
      <c r="J121" s="228"/>
    </row>
    <row r="122" spans="1:10" ht="12.75">
      <c r="A122" s="63"/>
      <c r="B122" s="41"/>
      <c r="C122" s="580" t="s">
        <v>28</v>
      </c>
      <c r="D122" s="227"/>
      <c r="E122" s="227"/>
      <c r="F122" s="227"/>
      <c r="G122" s="227"/>
      <c r="H122" s="227"/>
      <c r="I122" s="227"/>
      <c r="J122" s="228"/>
    </row>
    <row r="123" spans="1:10" ht="12.75">
      <c r="A123" s="63"/>
      <c r="B123" s="41"/>
      <c r="C123" s="580" t="s">
        <v>26</v>
      </c>
      <c r="D123" s="227"/>
      <c r="E123" s="227"/>
      <c r="F123" s="227"/>
      <c r="G123" s="227"/>
      <c r="H123" s="227"/>
      <c r="I123" s="227"/>
      <c r="J123" s="228"/>
    </row>
    <row r="124" spans="1:10" ht="12.75">
      <c r="A124" s="63"/>
      <c r="B124" s="41"/>
      <c r="C124" s="580" t="s">
        <v>27</v>
      </c>
      <c r="D124" s="227"/>
      <c r="E124" s="227"/>
      <c r="F124" s="227"/>
      <c r="G124" s="227"/>
      <c r="H124" s="227"/>
      <c r="I124" s="227"/>
      <c r="J124" s="228"/>
    </row>
    <row r="125" spans="1:10" ht="12.75">
      <c r="A125" s="63"/>
      <c r="B125" s="41"/>
      <c r="C125" s="580" t="s">
        <v>29</v>
      </c>
      <c r="D125" s="227"/>
      <c r="E125" s="227"/>
      <c r="F125" s="227"/>
      <c r="G125" s="227"/>
      <c r="H125" s="227"/>
      <c r="I125" s="227"/>
      <c r="J125" s="228"/>
    </row>
    <row r="126" spans="1:10" ht="12.75">
      <c r="A126" s="63"/>
      <c r="B126" s="41"/>
      <c r="C126" s="580" t="s">
        <v>30</v>
      </c>
      <c r="D126" s="227"/>
      <c r="E126" s="227"/>
      <c r="F126" s="227"/>
      <c r="G126" s="227"/>
      <c r="H126" s="227"/>
      <c r="I126" s="227"/>
      <c r="J126" s="228"/>
    </row>
    <row r="127" spans="1:10" ht="12.75">
      <c r="A127" s="63"/>
      <c r="B127" s="41"/>
      <c r="C127" s="580" t="s">
        <v>25</v>
      </c>
      <c r="D127" s="227"/>
      <c r="E127" s="227"/>
      <c r="F127" s="227"/>
      <c r="G127" s="227"/>
      <c r="H127" s="227"/>
      <c r="I127" s="227"/>
      <c r="J127" s="228"/>
    </row>
    <row r="128" spans="1:10" ht="12.75">
      <c r="A128" s="63"/>
      <c r="B128" s="41"/>
      <c r="C128" s="580" t="s">
        <v>200</v>
      </c>
      <c r="D128" s="227"/>
      <c r="E128" s="227"/>
      <c r="F128" s="227"/>
      <c r="G128" s="227"/>
      <c r="H128" s="227"/>
      <c r="I128" s="227"/>
      <c r="J128" s="228"/>
    </row>
    <row r="129" spans="1:10" ht="12.75">
      <c r="A129" s="63"/>
      <c r="B129" s="41"/>
      <c r="C129" s="580" t="s">
        <v>18</v>
      </c>
      <c r="D129" s="227"/>
      <c r="E129" s="227"/>
      <c r="F129" s="227"/>
      <c r="G129" s="227"/>
      <c r="H129" s="227"/>
      <c r="I129" s="227"/>
      <c r="J129" s="228"/>
    </row>
    <row r="130" spans="1:10" ht="12.75">
      <c r="A130" s="63"/>
      <c r="B130" s="41"/>
      <c r="C130" s="580" t="s">
        <v>20</v>
      </c>
      <c r="D130" s="227"/>
      <c r="E130" s="227"/>
      <c r="F130" s="227"/>
      <c r="G130" s="227"/>
      <c r="H130" s="227"/>
      <c r="I130" s="227"/>
      <c r="J130" s="228"/>
    </row>
    <row r="131" spans="1:10" ht="12.75">
      <c r="A131" s="63"/>
      <c r="B131" s="41"/>
      <c r="C131" s="580" t="s">
        <v>21</v>
      </c>
      <c r="D131" s="227"/>
      <c r="E131" s="227"/>
      <c r="F131" s="227"/>
      <c r="G131" s="227"/>
      <c r="H131" s="227"/>
      <c r="I131" s="227"/>
      <c r="J131" s="228"/>
    </row>
    <row r="132" spans="1:10" ht="12.75">
      <c r="A132" s="63"/>
      <c r="B132" s="41"/>
      <c r="C132" s="580" t="s">
        <v>22</v>
      </c>
      <c r="D132" s="227"/>
      <c r="E132" s="227"/>
      <c r="F132" s="227"/>
      <c r="G132" s="227"/>
      <c r="H132" s="227"/>
      <c r="I132" s="227"/>
      <c r="J132" s="228"/>
    </row>
    <row r="133" spans="1:10" ht="12.75">
      <c r="A133" s="63"/>
      <c r="B133" s="41"/>
      <c r="C133" s="580" t="s">
        <v>23</v>
      </c>
      <c r="D133" s="227"/>
      <c r="E133" s="227"/>
      <c r="F133" s="227"/>
      <c r="G133" s="227"/>
      <c r="H133" s="227"/>
      <c r="I133" s="227"/>
      <c r="J133" s="228"/>
    </row>
    <row r="134" spans="1:10" ht="12.75">
      <c r="A134" s="63"/>
      <c r="B134" s="41"/>
      <c r="C134" s="580" t="s">
        <v>24</v>
      </c>
      <c r="D134" s="227"/>
      <c r="E134" s="227"/>
      <c r="F134" s="227"/>
      <c r="G134" s="227"/>
      <c r="H134" s="227"/>
      <c r="I134" s="227"/>
      <c r="J134" s="228"/>
    </row>
    <row r="135" spans="1:10" ht="12.75">
      <c r="A135" s="63"/>
      <c r="B135" s="41"/>
      <c r="C135" s="580" t="s">
        <v>35</v>
      </c>
      <c r="D135" s="227"/>
      <c r="E135" s="227"/>
      <c r="F135" s="227"/>
      <c r="G135" s="227"/>
      <c r="H135" s="227"/>
      <c r="I135" s="227"/>
      <c r="J135" s="228"/>
    </row>
    <row r="136" spans="1:10" ht="12.75">
      <c r="A136" s="63"/>
      <c r="B136" s="41"/>
      <c r="C136" s="580" t="s">
        <v>36</v>
      </c>
      <c r="D136" s="227"/>
      <c r="E136" s="227"/>
      <c r="F136" s="227"/>
      <c r="G136" s="227"/>
      <c r="H136" s="227"/>
      <c r="I136" s="227"/>
      <c r="J136" s="228"/>
    </row>
    <row r="137" spans="1:10" ht="12.75">
      <c r="A137" s="63"/>
      <c r="B137" s="41"/>
      <c r="C137" s="580" t="s">
        <v>249</v>
      </c>
      <c r="D137" s="227"/>
      <c r="E137" s="227"/>
      <c r="F137" s="227"/>
      <c r="G137" s="227"/>
      <c r="H137" s="227"/>
      <c r="I137" s="227"/>
      <c r="J137" s="228"/>
    </row>
    <row r="138" spans="1:10" ht="12.75">
      <c r="A138" s="63"/>
      <c r="B138" s="41"/>
      <c r="C138" s="580" t="s">
        <v>250</v>
      </c>
      <c r="D138" s="227"/>
      <c r="E138" s="227"/>
      <c r="F138" s="227"/>
      <c r="G138" s="227"/>
      <c r="H138" s="227"/>
      <c r="I138" s="227"/>
      <c r="J138" s="228"/>
    </row>
    <row r="139" spans="1:10" ht="12.75">
      <c r="A139" s="63"/>
      <c r="B139" s="41"/>
      <c r="C139" s="580" t="s">
        <v>251</v>
      </c>
      <c r="D139" s="227"/>
      <c r="E139" s="227"/>
      <c r="F139" s="227"/>
      <c r="G139" s="227"/>
      <c r="H139" s="227"/>
      <c r="I139" s="227"/>
      <c r="J139" s="228"/>
    </row>
    <row r="140" spans="1:10" ht="12.75">
      <c r="A140" s="63"/>
      <c r="B140" s="41"/>
      <c r="C140" s="580" t="s">
        <v>252</v>
      </c>
      <c r="D140" s="227"/>
      <c r="E140" s="227"/>
      <c r="F140" s="227"/>
      <c r="G140" s="227"/>
      <c r="H140" s="227"/>
      <c r="I140" s="227"/>
      <c r="J140" s="228"/>
    </row>
    <row r="141" spans="1:10" ht="12.75">
      <c r="A141" s="63"/>
      <c r="B141" s="41"/>
      <c r="C141" s="580" t="s">
        <v>198</v>
      </c>
      <c r="D141" s="227"/>
      <c r="E141" s="227"/>
      <c r="F141" s="227"/>
      <c r="G141" s="227"/>
      <c r="H141" s="227"/>
      <c r="I141" s="227"/>
      <c r="J141" s="228"/>
    </row>
    <row r="142" spans="1:10" ht="12.75">
      <c r="A142" s="63"/>
      <c r="B142" s="41"/>
      <c r="C142" s="580" t="s">
        <v>199</v>
      </c>
      <c r="D142" s="227"/>
      <c r="E142" s="227"/>
      <c r="F142" s="227"/>
      <c r="G142" s="227"/>
      <c r="H142" s="227"/>
      <c r="I142" s="227"/>
      <c r="J142" s="228"/>
    </row>
    <row r="143" spans="1:10" ht="13.5" thickBot="1">
      <c r="A143" s="21"/>
      <c r="B143" s="43"/>
      <c r="C143" s="335"/>
      <c r="D143" s="233"/>
      <c r="E143" s="233"/>
      <c r="F143" s="233"/>
      <c r="G143" s="233"/>
      <c r="H143" s="233"/>
      <c r="I143" s="233"/>
      <c r="J143" s="234"/>
    </row>
  </sheetData>
  <mergeCells count="3">
    <mergeCell ref="A4:J4"/>
    <mergeCell ref="D49:F49"/>
    <mergeCell ref="G49:I49"/>
  </mergeCells>
  <printOptions/>
  <pageMargins left="0.75" right="0.75" top="1" bottom="1" header="0.5" footer="0.5"/>
  <pageSetup horizontalDpi="600" verticalDpi="600" orientation="landscape" scale="65" r:id="rId1"/>
  <headerFooter alignWithMargins="0">
    <oddHeader>&amp;RUSPS-LR-L-41
Bound Printed Matter Spreadsheets
&amp;A</oddHeader>
    <oddFooter xml:space="preserve">&amp;CPage &amp;P of &amp;N&amp;R&amp;D </oddFooter>
  </headerFooter>
  <rowBreaks count="2" manualBreakCount="2">
    <brk id="44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9.57421875" style="0" customWidth="1"/>
    <col min="4" max="4" width="14.8515625" style="0" customWidth="1"/>
    <col min="5" max="6" width="14.140625" style="0" customWidth="1"/>
    <col min="7" max="7" width="14.28125" style="0" customWidth="1"/>
    <col min="8" max="8" width="16.140625" style="548" customWidth="1"/>
  </cols>
  <sheetData>
    <row r="1" spans="1:8" ht="15">
      <c r="A1" s="173"/>
      <c r="B1" s="174"/>
      <c r="C1" s="175"/>
      <c r="D1" s="175"/>
      <c r="E1" s="175"/>
      <c r="F1" s="175"/>
      <c r="G1" s="175"/>
      <c r="H1" s="176"/>
    </row>
    <row r="2" spans="1:8" ht="15">
      <c r="A2" s="4"/>
      <c r="B2" s="5"/>
      <c r="C2" s="23"/>
      <c r="D2" s="23"/>
      <c r="E2" s="23"/>
      <c r="F2" s="23"/>
      <c r="G2" s="23"/>
      <c r="H2" s="657" t="s">
        <v>591</v>
      </c>
    </row>
    <row r="3" spans="1:8" ht="15">
      <c r="A3" s="4"/>
      <c r="B3" s="5"/>
      <c r="C3" s="23"/>
      <c r="D3" s="23"/>
      <c r="E3" s="23"/>
      <c r="F3" s="23"/>
      <c r="G3" s="23"/>
      <c r="H3" s="657" t="s">
        <v>742</v>
      </c>
    </row>
    <row r="4" spans="1:8" ht="18">
      <c r="A4" s="692" t="s">
        <v>978</v>
      </c>
      <c r="B4" s="693"/>
      <c r="C4" s="693"/>
      <c r="D4" s="693"/>
      <c r="E4" s="693"/>
      <c r="F4" s="693"/>
      <c r="G4" s="693"/>
      <c r="H4" s="694"/>
    </row>
    <row r="5" spans="1:8" ht="15.75" thickBot="1">
      <c r="A5" s="15"/>
      <c r="B5" s="11"/>
      <c r="C5" s="11"/>
      <c r="D5" s="11"/>
      <c r="E5" s="11"/>
      <c r="F5" s="11"/>
      <c r="G5" s="11"/>
      <c r="H5" s="318"/>
    </row>
    <row r="6" spans="1:8" ht="16.5" thickTop="1">
      <c r="A6" s="4"/>
      <c r="B6" s="14"/>
      <c r="C6" s="118"/>
      <c r="D6" s="319"/>
      <c r="E6" s="115"/>
      <c r="F6" s="115"/>
      <c r="G6" s="115"/>
      <c r="H6" s="539"/>
    </row>
    <row r="7" spans="1:8" ht="15.75">
      <c r="A7" s="4"/>
      <c r="B7" s="14"/>
      <c r="C7" s="118"/>
      <c r="D7" s="699" t="s">
        <v>921</v>
      </c>
      <c r="E7" s="700"/>
      <c r="F7" s="700"/>
      <c r="G7" s="700"/>
      <c r="H7" s="701"/>
    </row>
    <row r="8" spans="1:8" ht="15.75">
      <c r="A8" s="4"/>
      <c r="B8" s="178"/>
      <c r="C8" s="153"/>
      <c r="D8" s="159"/>
      <c r="E8" s="82"/>
      <c r="F8" s="82"/>
      <c r="G8" s="82"/>
      <c r="H8" s="493"/>
    </row>
    <row r="9" spans="1:8" ht="15.75">
      <c r="A9" s="4"/>
      <c r="B9" s="178"/>
      <c r="C9" s="156"/>
      <c r="D9" s="157"/>
      <c r="E9" s="157" t="s">
        <v>768</v>
      </c>
      <c r="F9" s="127" t="s">
        <v>922</v>
      </c>
      <c r="G9" s="127" t="s">
        <v>884</v>
      </c>
      <c r="H9" s="193"/>
    </row>
    <row r="10" spans="1:8" ht="15.75" customHeight="1">
      <c r="A10" s="4"/>
      <c r="B10" s="178"/>
      <c r="C10" s="156" t="s">
        <v>927</v>
      </c>
      <c r="D10" s="157"/>
      <c r="E10" s="157" t="s">
        <v>629</v>
      </c>
      <c r="F10" s="127" t="s">
        <v>630</v>
      </c>
      <c r="G10" s="157" t="s">
        <v>629</v>
      </c>
      <c r="H10" s="193" t="s">
        <v>940</v>
      </c>
    </row>
    <row r="11" spans="1:8" ht="18.75">
      <c r="A11" s="4"/>
      <c r="B11" s="178"/>
      <c r="C11" s="156"/>
      <c r="D11" s="157" t="s">
        <v>282</v>
      </c>
      <c r="E11" s="157" t="s">
        <v>37</v>
      </c>
      <c r="F11" s="127" t="s">
        <v>38</v>
      </c>
      <c r="G11" s="157" t="s">
        <v>39</v>
      </c>
      <c r="H11" s="193" t="s">
        <v>40</v>
      </c>
    </row>
    <row r="12" spans="1:8" ht="15.75">
      <c r="A12" s="4"/>
      <c r="B12" s="178"/>
      <c r="C12" s="81"/>
      <c r="D12" s="269" t="s">
        <v>163</v>
      </c>
      <c r="E12" s="158" t="s">
        <v>164</v>
      </c>
      <c r="F12" s="159" t="s">
        <v>165</v>
      </c>
      <c r="G12" s="159" t="s">
        <v>166</v>
      </c>
      <c r="H12" s="194" t="s">
        <v>167</v>
      </c>
    </row>
    <row r="13" spans="1:8" ht="15.75">
      <c r="A13" s="4"/>
      <c r="B13" s="178"/>
      <c r="C13" s="238"/>
      <c r="D13" s="270"/>
      <c r="E13" s="272"/>
      <c r="F13" s="271"/>
      <c r="G13" s="271"/>
      <c r="H13" s="494"/>
    </row>
    <row r="14" spans="1:8" ht="15.75">
      <c r="A14" s="4"/>
      <c r="B14" s="178"/>
      <c r="C14" s="238" t="s">
        <v>396</v>
      </c>
      <c r="D14" s="275"/>
      <c r="E14" s="321"/>
      <c r="F14" s="501"/>
      <c r="G14" s="501"/>
      <c r="H14" s="487"/>
    </row>
    <row r="15" spans="1:8" ht="15.75">
      <c r="A15" s="4"/>
      <c r="B15" s="178" t="s">
        <v>151</v>
      </c>
      <c r="C15" s="284" t="s">
        <v>926</v>
      </c>
      <c r="D15" s="275">
        <f>('TYBR Pieces &amp; Pounds'!F17)</f>
        <v>13606000.361195033</v>
      </c>
      <c r="E15" s="321">
        <f>+Inputs!D71</f>
        <v>0.1269853306882422</v>
      </c>
      <c r="F15" s="582">
        <v>1.23</v>
      </c>
      <c r="G15" s="501">
        <f>+E15*F15</f>
        <v>0.1561919567465379</v>
      </c>
      <c r="H15" s="487">
        <f>+D15*G15</f>
        <v>2125147.819909154</v>
      </c>
    </row>
    <row r="16" spans="1:8" ht="15.75">
      <c r="A16" s="4"/>
      <c r="B16" s="178" t="s">
        <v>152</v>
      </c>
      <c r="C16" s="284" t="s">
        <v>123</v>
      </c>
      <c r="D16" s="275">
        <f>SUM('TYBR Pieces &amp; Pounds'!J17,'TYBR Pieces &amp; Pounds'!M17)</f>
        <v>284756346.3969859</v>
      </c>
      <c r="E16" s="321">
        <f>+Inputs!D71</f>
        <v>0.1269853306882422</v>
      </c>
      <c r="F16" s="582">
        <v>1.23</v>
      </c>
      <c r="G16" s="501">
        <f aca="true" t="shared" si="0" ref="G16:G30">+E16*F16</f>
        <v>0.1561919567465379</v>
      </c>
      <c r="H16" s="487">
        <f>+D16*G16</f>
        <v>44476650.93974019</v>
      </c>
    </row>
    <row r="17" spans="1:8" ht="15.75">
      <c r="A17" s="4"/>
      <c r="B17" s="74" t="s">
        <v>153</v>
      </c>
      <c r="C17" s="284" t="s">
        <v>928</v>
      </c>
      <c r="D17" s="276">
        <f>+'TYBR Pieces &amp; Pounds'!L17</f>
        <v>166663040.0951592</v>
      </c>
      <c r="E17" s="321">
        <f>+Inputs!D78</f>
        <v>0.09605527370916557</v>
      </c>
      <c r="F17" s="582">
        <v>1</v>
      </c>
      <c r="G17" s="501">
        <f t="shared" si="0"/>
        <v>0.09605527370916557</v>
      </c>
      <c r="H17" s="487">
        <f>+D17*G17</f>
        <v>16008863.933542153</v>
      </c>
    </row>
    <row r="18" spans="1:8" ht="15.75">
      <c r="A18" s="4"/>
      <c r="B18" s="74"/>
      <c r="C18" s="284" t="s">
        <v>666</v>
      </c>
      <c r="D18" s="276"/>
      <c r="E18" s="321"/>
      <c r="F18" s="583"/>
      <c r="G18" s="501"/>
      <c r="H18" s="487"/>
    </row>
    <row r="19" spans="1:10" ht="15.75">
      <c r="A19" s="4"/>
      <c r="B19" s="74" t="s">
        <v>154</v>
      </c>
      <c r="C19" s="284" t="s">
        <v>659</v>
      </c>
      <c r="D19" s="276">
        <f>+'TYBR Pieces &amp; Pounds'!E17*Inputs!D25</f>
        <v>4511994.796620472</v>
      </c>
      <c r="E19" s="321">
        <f>Inputs!$D$80</f>
        <v>0.029523960047533562</v>
      </c>
      <c r="F19" s="688">
        <v>1.0917107019368513</v>
      </c>
      <c r="G19" s="501">
        <f t="shared" si="0"/>
        <v>0.032231623147448416</v>
      </c>
      <c r="H19" s="487">
        <f>+D19*G19</f>
        <v>145428.9159279192</v>
      </c>
      <c r="J19" s="677"/>
    </row>
    <row r="20" spans="1:10" ht="15.75">
      <c r="A20" s="4"/>
      <c r="B20" s="74" t="s">
        <v>155</v>
      </c>
      <c r="C20" s="284" t="s">
        <v>660</v>
      </c>
      <c r="D20" s="276">
        <f>+'TYBR Pieces &amp; Pounds'!H17*Inputs!D26</f>
        <v>161721155.0130971</v>
      </c>
      <c r="E20" s="321">
        <f>Inputs!$D$80</f>
        <v>0.029523960047533562</v>
      </c>
      <c r="F20" s="688">
        <v>1.0917107019368513</v>
      </c>
      <c r="G20" s="501">
        <f t="shared" si="0"/>
        <v>0.032231623147448416</v>
      </c>
      <c r="H20" s="487">
        <f>+D20*G20</f>
        <v>5212535.323352234</v>
      </c>
      <c r="J20" s="675"/>
    </row>
    <row r="21" spans="1:8" ht="15.75">
      <c r="A21" s="4"/>
      <c r="B21" s="74" t="s">
        <v>156</v>
      </c>
      <c r="C21" s="284" t="s">
        <v>661</v>
      </c>
      <c r="D21" s="276">
        <f>+'TYBR Pieces &amp; Pounds'!F17*Inputs!D28</f>
        <v>1432554.5609347913</v>
      </c>
      <c r="E21" s="321">
        <f>+Inputs!D81</f>
        <v>0.029523960047533562</v>
      </c>
      <c r="F21" s="688">
        <v>1.0917107019368513</v>
      </c>
      <c r="G21" s="501">
        <f t="shared" si="0"/>
        <v>0.032231623147448416</v>
      </c>
      <c r="H21" s="487">
        <f>+D21*G21</f>
        <v>46173.55874620862</v>
      </c>
    </row>
    <row r="22" spans="1:8" ht="15.75">
      <c r="A22" s="4"/>
      <c r="B22" s="74" t="s">
        <v>157</v>
      </c>
      <c r="C22" s="284" t="s">
        <v>662</v>
      </c>
      <c r="D22" s="276">
        <f>SUM('TYBR Pieces &amp; Pounds'!J17,'TYBR Pieces &amp; Pounds'!M17)*Inputs!D29</f>
        <v>62474539.05133603</v>
      </c>
      <c r="E22" s="321">
        <f>+Inputs!D81</f>
        <v>0.029523960047533562</v>
      </c>
      <c r="F22" s="688">
        <v>1.0917107019368513</v>
      </c>
      <c r="G22" s="501">
        <f t="shared" si="0"/>
        <v>0.032231623147448416</v>
      </c>
      <c r="H22" s="487">
        <f>+D22*G22</f>
        <v>2013655.7990132123</v>
      </c>
    </row>
    <row r="23" spans="1:8" ht="15.75">
      <c r="A23" s="4"/>
      <c r="B23" s="74"/>
      <c r="C23" s="284"/>
      <c r="D23" s="276"/>
      <c r="E23" s="321"/>
      <c r="F23" s="501"/>
      <c r="G23" s="501"/>
      <c r="H23" s="487"/>
    </row>
    <row r="24" spans="1:8" ht="15.75">
      <c r="A24" s="4"/>
      <c r="B24" s="74"/>
      <c r="C24" s="284" t="s">
        <v>933</v>
      </c>
      <c r="D24" s="276"/>
      <c r="E24" s="321"/>
      <c r="F24" s="501"/>
      <c r="G24" s="501"/>
      <c r="H24" s="487"/>
    </row>
    <row r="25" spans="1:10" ht="15.75">
      <c r="A25" s="4"/>
      <c r="B25" s="74" t="s">
        <v>158</v>
      </c>
      <c r="C25" s="284" t="s">
        <v>934</v>
      </c>
      <c r="D25" s="276">
        <f>+('TYBR Pieces &amp; Pounds'!$H$17)*Inputs!D38</f>
        <v>186634043.4318552</v>
      </c>
      <c r="E25" s="321">
        <f>+Inputs!$D$73</f>
        <v>0.3054948777976748</v>
      </c>
      <c r="F25" s="582">
        <v>1</v>
      </c>
      <c r="G25" s="501">
        <f t="shared" si="0"/>
        <v>0.3054948777976748</v>
      </c>
      <c r="H25" s="487">
        <f aca="true" t="shared" si="1" ref="H25:H30">+D25*G25</f>
        <v>57015744.29110054</v>
      </c>
      <c r="J25" s="492"/>
    </row>
    <row r="26" spans="1:10" ht="15.75">
      <c r="A26" s="4"/>
      <c r="B26" s="74" t="s">
        <v>159</v>
      </c>
      <c r="C26" s="284" t="s">
        <v>935</v>
      </c>
      <c r="D26" s="276">
        <f>+('TYBR Pieces &amp; Pounds'!$H$17)*Inputs!D39</f>
        <v>43375947.232568726</v>
      </c>
      <c r="E26" s="321">
        <f>+Inputs!$D$73</f>
        <v>0.3054948777976748</v>
      </c>
      <c r="F26" s="582">
        <v>1</v>
      </c>
      <c r="G26" s="501">
        <f t="shared" si="0"/>
        <v>0.3054948777976748</v>
      </c>
      <c r="H26" s="487">
        <f t="shared" si="1"/>
        <v>13251129.699171973</v>
      </c>
      <c r="J26" s="492"/>
    </row>
    <row r="27" spans="1:10" ht="15.75">
      <c r="A27" s="4"/>
      <c r="B27" s="74" t="s">
        <v>160</v>
      </c>
      <c r="C27" s="284" t="s">
        <v>936</v>
      </c>
      <c r="D27" s="276">
        <f>+('TYBR Pieces &amp; Pounds'!$H$17)*Inputs!D40</f>
        <v>9489193.751688225</v>
      </c>
      <c r="E27" s="321">
        <f>+Inputs!$D$73</f>
        <v>0.3054948777976748</v>
      </c>
      <c r="F27" s="582">
        <v>1</v>
      </c>
      <c r="G27" s="501">
        <f t="shared" si="0"/>
        <v>0.3054948777976748</v>
      </c>
      <c r="H27" s="487">
        <f t="shared" si="1"/>
        <v>2898900.0855704537</v>
      </c>
      <c r="J27" s="492"/>
    </row>
    <row r="28" spans="1:10" ht="15.75">
      <c r="A28" s="4"/>
      <c r="B28" s="74" t="s">
        <v>161</v>
      </c>
      <c r="C28" s="284" t="s">
        <v>937</v>
      </c>
      <c r="D28" s="276">
        <f>+('TYBR Pieces &amp; Pounds'!$H$17)*Inputs!D41</f>
        <v>393913.68210630736</v>
      </c>
      <c r="E28" s="321">
        <f>+Inputs!$D$73</f>
        <v>0.3054948777976748</v>
      </c>
      <c r="F28" s="582">
        <v>1</v>
      </c>
      <c r="G28" s="501">
        <f t="shared" si="0"/>
        <v>0.3054948777976748</v>
      </c>
      <c r="H28" s="487">
        <f t="shared" si="1"/>
        <v>120338.6121778985</v>
      </c>
      <c r="J28" s="492"/>
    </row>
    <row r="29" spans="1:10" ht="15.75">
      <c r="A29" s="4"/>
      <c r="B29" s="74" t="s">
        <v>162</v>
      </c>
      <c r="C29" s="284" t="s">
        <v>938</v>
      </c>
      <c r="D29" s="276">
        <f>+('TYBR Pieces &amp; Pounds'!$H$17)*Inputs!D42</f>
        <v>203880332.0357691</v>
      </c>
      <c r="E29" s="321">
        <f>+E25+Inputs!D74</f>
        <v>0.6872003921501548</v>
      </c>
      <c r="F29" s="688">
        <v>0.9404299865070397</v>
      </c>
      <c r="G29" s="501">
        <f t="shared" si="0"/>
        <v>0.6462638555174025</v>
      </c>
      <c r="H29" s="487">
        <f t="shared" si="1"/>
        <v>131760489.44560434</v>
      </c>
      <c r="J29" s="491"/>
    </row>
    <row r="30" spans="1:10" ht="15.75">
      <c r="A30" s="4"/>
      <c r="B30" s="74" t="s">
        <v>173</v>
      </c>
      <c r="C30" s="284" t="s">
        <v>939</v>
      </c>
      <c r="D30" s="276">
        <f>+('TYBR Pieces &amp; Pounds'!$H$17)*Inputs!D43</f>
        <v>71320175.66892938</v>
      </c>
      <c r="E30" s="321">
        <f>+E29+Inputs!D75</f>
        <v>0.8395706249629042</v>
      </c>
      <c r="F30" s="688">
        <v>0.8547034298598912</v>
      </c>
      <c r="G30" s="501">
        <f t="shared" si="0"/>
        <v>0.7175838927654067</v>
      </c>
      <c r="H30" s="487">
        <f t="shared" si="1"/>
        <v>51178209.28922299</v>
      </c>
      <c r="J30" s="676"/>
    </row>
    <row r="31" spans="1:10" ht="15.75">
      <c r="A31" s="4"/>
      <c r="B31" s="74"/>
      <c r="C31" s="284"/>
      <c r="D31" s="276"/>
      <c r="E31" s="321"/>
      <c r="F31" s="501"/>
      <c r="G31" s="501"/>
      <c r="H31" s="487"/>
      <c r="J31" s="676"/>
    </row>
    <row r="32" spans="1:8" ht="15.75">
      <c r="A32" s="4"/>
      <c r="B32" s="74"/>
      <c r="C32" s="284" t="s">
        <v>663</v>
      </c>
      <c r="D32" s="276"/>
      <c r="E32" s="321"/>
      <c r="F32" s="501"/>
      <c r="G32" s="501"/>
      <c r="H32" s="487"/>
    </row>
    <row r="33" spans="1:8" ht="15.75">
      <c r="A33" s="4"/>
      <c r="B33" s="74" t="s">
        <v>174</v>
      </c>
      <c r="C33" s="284" t="s">
        <v>664</v>
      </c>
      <c r="D33" s="276"/>
      <c r="E33" s="321"/>
      <c r="F33" s="501"/>
      <c r="G33" s="501"/>
      <c r="H33" s="487">
        <f>SUM(H15,H19,H21)</f>
        <v>2316750.2945832815</v>
      </c>
    </row>
    <row r="34" spans="1:8" ht="15.75">
      <c r="A34" s="4"/>
      <c r="B34" s="74" t="s">
        <v>176</v>
      </c>
      <c r="C34" s="284" t="s">
        <v>665</v>
      </c>
      <c r="D34" s="276"/>
      <c r="E34" s="325"/>
      <c r="F34" s="334"/>
      <c r="G34" s="334"/>
      <c r="H34" s="487">
        <f>SUM(H16:H17,H20,H22,H25:H30)</f>
        <v>323936517.418496</v>
      </c>
    </row>
    <row r="35" spans="1:8" ht="15.75" thickBot="1">
      <c r="A35" s="179"/>
      <c r="B35" s="327"/>
      <c r="C35" s="291"/>
      <c r="D35" s="326"/>
      <c r="E35" s="266"/>
      <c r="F35" s="137"/>
      <c r="G35" s="137"/>
      <c r="H35" s="543"/>
    </row>
    <row r="36" spans="1:8" ht="12.75">
      <c r="A36" s="62"/>
      <c r="B36" s="39"/>
      <c r="C36" s="225"/>
      <c r="D36" s="225"/>
      <c r="E36" s="225"/>
      <c r="F36" s="225"/>
      <c r="G36" s="225"/>
      <c r="H36" s="544"/>
    </row>
    <row r="37" spans="1:8" ht="15.75">
      <c r="A37" s="63"/>
      <c r="B37" s="41"/>
      <c r="C37" s="203" t="s">
        <v>811</v>
      </c>
      <c r="D37" s="581"/>
      <c r="E37" s="227"/>
      <c r="F37" s="227"/>
      <c r="G37" s="227"/>
      <c r="H37" s="545"/>
    </row>
    <row r="38" spans="1:8" ht="13.5" thickBot="1">
      <c r="A38" s="63"/>
      <c r="B38" s="41"/>
      <c r="C38" s="229"/>
      <c r="D38" s="230"/>
      <c r="E38" s="230"/>
      <c r="F38" s="230"/>
      <c r="G38" s="230"/>
      <c r="H38" s="546"/>
    </row>
    <row r="39" spans="1:8" ht="13.5" thickTop="1">
      <c r="A39" s="63"/>
      <c r="B39" s="41"/>
      <c r="C39" s="227" t="s">
        <v>41</v>
      </c>
      <c r="D39" s="227"/>
      <c r="E39" s="227"/>
      <c r="F39" s="227"/>
      <c r="G39" s="227"/>
      <c r="H39" s="545"/>
    </row>
    <row r="40" spans="1:8" ht="12.75">
      <c r="A40" s="63"/>
      <c r="B40" s="41"/>
      <c r="C40" s="227" t="s">
        <v>42</v>
      </c>
      <c r="D40" s="227"/>
      <c r="E40" s="227"/>
      <c r="F40" s="227"/>
      <c r="G40" s="227"/>
      <c r="H40" s="545"/>
    </row>
    <row r="41" spans="1:8" ht="12.75">
      <c r="A41" s="63"/>
      <c r="B41" s="41"/>
      <c r="C41" s="227" t="s">
        <v>43</v>
      </c>
      <c r="D41" s="227"/>
      <c r="E41" s="227"/>
      <c r="F41" s="227"/>
      <c r="G41" s="227"/>
      <c r="H41" s="545"/>
    </row>
    <row r="42" spans="1:8" ht="12.75">
      <c r="A42" s="63"/>
      <c r="B42" s="41"/>
      <c r="C42" s="227" t="s">
        <v>211</v>
      </c>
      <c r="D42" s="227"/>
      <c r="E42" s="227"/>
      <c r="F42" s="227"/>
      <c r="G42" s="227"/>
      <c r="H42" s="545"/>
    </row>
    <row r="43" spans="1:8" ht="12.75">
      <c r="A43" s="63"/>
      <c r="B43" s="41"/>
      <c r="C43" s="227" t="s">
        <v>212</v>
      </c>
      <c r="D43" s="227"/>
      <c r="E43" s="227"/>
      <c r="F43" s="227"/>
      <c r="G43" s="227"/>
      <c r="H43" s="545"/>
    </row>
    <row r="44" spans="1:8" ht="12.75">
      <c r="A44" s="63"/>
      <c r="B44" s="41"/>
      <c r="C44" s="227" t="s">
        <v>213</v>
      </c>
      <c r="D44" s="227"/>
      <c r="E44" s="227"/>
      <c r="F44" s="227"/>
      <c r="G44" s="227"/>
      <c r="H44" s="545"/>
    </row>
    <row r="45" spans="1:8" ht="12.75">
      <c r="A45" s="63"/>
      <c r="B45" s="41"/>
      <c r="C45" s="227" t="s">
        <v>214</v>
      </c>
      <c r="D45" s="227"/>
      <c r="E45" s="227"/>
      <c r="F45" s="227"/>
      <c r="G45" s="227"/>
      <c r="H45" s="545"/>
    </row>
    <row r="46" spans="1:8" ht="12.75">
      <c r="A46" s="63"/>
      <c r="B46" s="41"/>
      <c r="C46" s="227" t="s">
        <v>44</v>
      </c>
      <c r="D46" s="227"/>
      <c r="E46" s="227"/>
      <c r="F46" s="227"/>
      <c r="G46" s="227"/>
      <c r="H46" s="545"/>
    </row>
    <row r="47" spans="1:8" ht="12.75">
      <c r="A47" s="63"/>
      <c r="B47" s="41"/>
      <c r="C47" s="227" t="s">
        <v>215</v>
      </c>
      <c r="D47" s="227"/>
      <c r="E47" s="227"/>
      <c r="F47" s="227"/>
      <c r="G47" s="227"/>
      <c r="H47" s="545"/>
    </row>
    <row r="48" spans="1:8" ht="12.75">
      <c r="A48" s="63"/>
      <c r="B48" s="41"/>
      <c r="C48" s="227" t="s">
        <v>216</v>
      </c>
      <c r="D48" s="227"/>
      <c r="E48" s="227"/>
      <c r="F48" s="227"/>
      <c r="G48" s="227"/>
      <c r="H48" s="545"/>
    </row>
    <row r="49" spans="1:8" ht="12.75">
      <c r="A49" s="63"/>
      <c r="B49" s="41"/>
      <c r="C49" s="227" t="s">
        <v>217</v>
      </c>
      <c r="D49" s="227"/>
      <c r="E49" s="227"/>
      <c r="F49" s="227"/>
      <c r="G49" s="227"/>
      <c r="H49" s="545"/>
    </row>
    <row r="50" spans="1:8" ht="12.75">
      <c r="A50" s="63"/>
      <c r="B50" s="41"/>
      <c r="C50" s="227" t="s">
        <v>218</v>
      </c>
      <c r="D50" s="227"/>
      <c r="E50" s="227"/>
      <c r="F50" s="227"/>
      <c r="G50" s="227"/>
      <c r="H50" s="545"/>
    </row>
    <row r="51" spans="1:8" ht="12.75">
      <c r="A51" s="63"/>
      <c r="B51" s="41"/>
      <c r="C51" s="227" t="s">
        <v>219</v>
      </c>
      <c r="D51" s="227"/>
      <c r="E51" s="227"/>
      <c r="F51" s="227"/>
      <c r="G51" s="227"/>
      <c r="H51" s="545"/>
    </row>
    <row r="52" spans="1:8" ht="12.75">
      <c r="A52" s="63"/>
      <c r="B52" s="41"/>
      <c r="C52" s="227" t="s">
        <v>220</v>
      </c>
      <c r="D52" s="227"/>
      <c r="E52" s="227"/>
      <c r="F52" s="227"/>
      <c r="G52" s="227"/>
      <c r="H52" s="545"/>
    </row>
    <row r="53" spans="1:8" ht="12.75">
      <c r="A53" s="63"/>
      <c r="B53" s="41"/>
      <c r="C53" s="227" t="s">
        <v>221</v>
      </c>
      <c r="D53" s="227"/>
      <c r="E53" s="227"/>
      <c r="F53" s="227"/>
      <c r="G53" s="227"/>
      <c r="H53" s="545"/>
    </row>
    <row r="54" spans="1:8" ht="12.75">
      <c r="A54" s="63"/>
      <c r="B54" s="41"/>
      <c r="C54" s="227" t="s">
        <v>222</v>
      </c>
      <c r="D54" s="227"/>
      <c r="E54" s="227"/>
      <c r="F54" s="227"/>
      <c r="G54" s="227"/>
      <c r="H54" s="545"/>
    </row>
    <row r="55" spans="1:8" ht="12.75">
      <c r="A55" s="63"/>
      <c r="B55" s="41"/>
      <c r="C55" s="227" t="s">
        <v>45</v>
      </c>
      <c r="D55" s="227"/>
      <c r="E55" s="227"/>
      <c r="F55" s="227"/>
      <c r="G55" s="227"/>
      <c r="H55" s="545"/>
    </row>
    <row r="56" spans="1:8" ht="12.75">
      <c r="A56" s="63"/>
      <c r="B56" s="41"/>
      <c r="C56" s="227" t="s">
        <v>46</v>
      </c>
      <c r="D56" s="227"/>
      <c r="E56" s="227"/>
      <c r="F56" s="227"/>
      <c r="G56" s="227"/>
      <c r="H56" s="545"/>
    </row>
    <row r="57" spans="1:8" ht="12.75">
      <c r="A57" s="63"/>
      <c r="B57" s="41"/>
      <c r="C57" s="227" t="s">
        <v>47</v>
      </c>
      <c r="D57" s="227"/>
      <c r="E57" s="227"/>
      <c r="F57" s="227"/>
      <c r="G57" s="227"/>
      <c r="H57" s="545"/>
    </row>
    <row r="58" spans="1:8" ht="12.75">
      <c r="A58" s="63"/>
      <c r="B58" s="41"/>
      <c r="C58" s="227" t="s">
        <v>48</v>
      </c>
      <c r="D58" s="227"/>
      <c r="E58" s="227"/>
      <c r="F58" s="227"/>
      <c r="G58" s="227"/>
      <c r="H58" s="545"/>
    </row>
    <row r="59" spans="1:8" ht="12.75">
      <c r="A59" s="63"/>
      <c r="B59" s="41"/>
      <c r="C59" s="227" t="s">
        <v>49</v>
      </c>
      <c r="D59" s="227"/>
      <c r="E59" s="227"/>
      <c r="F59" s="227"/>
      <c r="G59" s="227"/>
      <c r="H59" s="545"/>
    </row>
    <row r="60" spans="1:8" ht="12.75">
      <c r="A60" s="63"/>
      <c r="B60" s="41"/>
      <c r="C60" s="227"/>
      <c r="D60" s="227"/>
      <c r="E60" s="227"/>
      <c r="F60" s="227"/>
      <c r="G60" s="227"/>
      <c r="H60" s="545"/>
    </row>
    <row r="61" spans="1:8" ht="13.5" thickBot="1">
      <c r="A61" s="21"/>
      <c r="B61" s="43"/>
      <c r="C61" s="233"/>
      <c r="D61" s="233"/>
      <c r="E61" s="233"/>
      <c r="F61" s="233"/>
      <c r="G61" s="233"/>
      <c r="H61" s="547"/>
    </row>
  </sheetData>
  <mergeCells count="2">
    <mergeCell ref="D7:H7"/>
    <mergeCell ref="A4:H4"/>
  </mergeCells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Header>&amp;RUSPS-LR-L-41
Bound Printed Matter Spreadsheets
&amp;A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75" zoomScaleNormal="75" workbookViewId="0" topLeftCell="C44">
      <selection activeCell="E53" sqref="E53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8.140625" style="0" customWidth="1"/>
    <col min="4" max="4" width="16.00390625" style="0" customWidth="1"/>
    <col min="5" max="5" width="17.00390625" style="0" customWidth="1"/>
    <col min="6" max="6" width="14.7109375" style="0" customWidth="1"/>
    <col min="7" max="7" width="14.8515625" style="0" customWidth="1"/>
    <col min="8" max="8" width="15.7109375" style="0" customWidth="1"/>
    <col min="9" max="9" width="13.7109375" style="0" customWidth="1"/>
    <col min="10" max="11" width="15.8515625" style="0" customWidth="1"/>
    <col min="12" max="12" width="15.00390625" style="0" customWidth="1"/>
    <col min="13" max="14" width="15.8515625" style="0" customWidth="1"/>
    <col min="15" max="26" width="13.7109375" style="0" customWidth="1"/>
  </cols>
  <sheetData>
    <row r="1" spans="1:10" ht="15">
      <c r="A1" s="173"/>
      <c r="B1" s="174"/>
      <c r="C1" s="175"/>
      <c r="D1" s="175"/>
      <c r="E1" s="175"/>
      <c r="F1" s="175"/>
      <c r="G1" s="175"/>
      <c r="H1" s="175"/>
      <c r="I1" s="175"/>
      <c r="J1" s="176"/>
    </row>
    <row r="2" spans="1:10" ht="15">
      <c r="A2" s="4"/>
      <c r="B2" s="5"/>
      <c r="C2" s="23"/>
      <c r="D2" s="23"/>
      <c r="E2" s="23"/>
      <c r="F2" s="23"/>
      <c r="G2" s="23"/>
      <c r="H2" s="23"/>
      <c r="I2" s="23"/>
      <c r="J2" s="657" t="s">
        <v>591</v>
      </c>
    </row>
    <row r="3" spans="1:10" ht="15">
      <c r="A3" s="4"/>
      <c r="B3" s="5"/>
      <c r="C3" s="23"/>
      <c r="D3" s="23"/>
      <c r="E3" s="23"/>
      <c r="F3" s="23"/>
      <c r="G3" s="23"/>
      <c r="H3" s="23"/>
      <c r="I3" s="23"/>
      <c r="J3" s="657" t="s">
        <v>743</v>
      </c>
    </row>
    <row r="4" spans="1:10" ht="18">
      <c r="A4" s="692" t="s">
        <v>965</v>
      </c>
      <c r="B4" s="693"/>
      <c r="C4" s="693"/>
      <c r="D4" s="693"/>
      <c r="E4" s="693"/>
      <c r="F4" s="693"/>
      <c r="G4" s="693"/>
      <c r="H4" s="693"/>
      <c r="I4" s="693"/>
      <c r="J4" s="694"/>
    </row>
    <row r="5" spans="1:10" ht="15.75" thickBot="1">
      <c r="A5" s="15"/>
      <c r="B5" s="11"/>
      <c r="C5" s="11"/>
      <c r="D5" s="11"/>
      <c r="E5" s="11"/>
      <c r="F5" s="11"/>
      <c r="G5" s="11"/>
      <c r="H5" s="11"/>
      <c r="I5" s="11"/>
      <c r="J5" s="13"/>
    </row>
    <row r="6" spans="1:10" ht="16.5" thickTop="1">
      <c r="A6" s="4"/>
      <c r="B6" s="178"/>
      <c r="C6" s="156"/>
      <c r="D6" s="149"/>
      <c r="E6" s="149"/>
      <c r="F6" s="149"/>
      <c r="G6" s="149"/>
      <c r="H6" s="149"/>
      <c r="I6" s="149"/>
      <c r="J6" s="128"/>
    </row>
    <row r="7" spans="1:10" ht="15.75">
      <c r="A7" s="4"/>
      <c r="B7" s="178"/>
      <c r="C7" s="549" t="s">
        <v>632</v>
      </c>
      <c r="D7" s="149"/>
      <c r="E7" s="149"/>
      <c r="F7" s="149"/>
      <c r="G7" s="149"/>
      <c r="H7" s="149"/>
      <c r="I7" s="149"/>
      <c r="J7" s="128"/>
    </row>
    <row r="8" spans="1:10" ht="15.75">
      <c r="A8" s="4"/>
      <c r="B8" s="178"/>
      <c r="C8" s="81"/>
      <c r="D8" s="82"/>
      <c r="E8" s="82"/>
      <c r="F8" s="82"/>
      <c r="G8" s="82"/>
      <c r="H8" s="82"/>
      <c r="I8" s="82"/>
      <c r="J8" s="160"/>
    </row>
    <row r="9" spans="1:10" ht="15.75">
      <c r="A9" s="4"/>
      <c r="B9" s="178"/>
      <c r="C9" s="156"/>
      <c r="D9" s="127"/>
      <c r="E9" s="149"/>
      <c r="F9" s="149"/>
      <c r="G9" s="337"/>
      <c r="H9" s="337"/>
      <c r="I9" s="337"/>
      <c r="J9" s="338"/>
    </row>
    <row r="10" spans="1:10" ht="18.75">
      <c r="A10" s="4"/>
      <c r="B10" s="178"/>
      <c r="C10" s="156"/>
      <c r="D10" s="699" t="s">
        <v>808</v>
      </c>
      <c r="E10" s="700"/>
      <c r="F10" s="703"/>
      <c r="G10" s="337"/>
      <c r="H10" s="337"/>
      <c r="I10" s="337"/>
      <c r="J10" s="338"/>
    </row>
    <row r="11" spans="1:10" ht="15.75">
      <c r="A11" s="4"/>
      <c r="B11" s="178"/>
      <c r="C11" s="156"/>
      <c r="D11" s="154"/>
      <c r="E11" s="82"/>
      <c r="F11" s="82"/>
      <c r="G11" s="127"/>
      <c r="H11" s="127"/>
      <c r="I11" s="127"/>
      <c r="J11" s="193"/>
    </row>
    <row r="12" spans="1:10" ht="15.75">
      <c r="A12" s="4"/>
      <c r="B12" s="178"/>
      <c r="C12" s="156"/>
      <c r="D12" s="157" t="s">
        <v>961</v>
      </c>
      <c r="E12" s="157" t="s">
        <v>963</v>
      </c>
      <c r="F12" s="157" t="s">
        <v>844</v>
      </c>
      <c r="G12" s="127" t="s">
        <v>960</v>
      </c>
      <c r="H12" s="127" t="s">
        <v>886</v>
      </c>
      <c r="I12" s="127" t="s">
        <v>817</v>
      </c>
      <c r="J12" s="193" t="s">
        <v>886</v>
      </c>
    </row>
    <row r="13" spans="1:10" ht="18.75">
      <c r="A13" s="4"/>
      <c r="B13" s="178"/>
      <c r="C13" s="156"/>
      <c r="D13" s="157" t="s">
        <v>962</v>
      </c>
      <c r="E13" s="157" t="s">
        <v>964</v>
      </c>
      <c r="F13" s="157" t="s">
        <v>817</v>
      </c>
      <c r="G13" s="127" t="s">
        <v>283</v>
      </c>
      <c r="H13" s="127" t="s">
        <v>401</v>
      </c>
      <c r="I13" s="127" t="s">
        <v>50</v>
      </c>
      <c r="J13" s="193" t="s">
        <v>51</v>
      </c>
    </row>
    <row r="14" spans="1:10" ht="15.75">
      <c r="A14" s="4"/>
      <c r="B14" s="178"/>
      <c r="C14" s="81"/>
      <c r="D14" s="269" t="s">
        <v>163</v>
      </c>
      <c r="E14" s="158" t="s">
        <v>164</v>
      </c>
      <c r="F14" s="158" t="s">
        <v>165</v>
      </c>
      <c r="G14" s="159" t="s">
        <v>166</v>
      </c>
      <c r="H14" s="159" t="s">
        <v>167</v>
      </c>
      <c r="I14" s="159" t="s">
        <v>168</v>
      </c>
      <c r="J14" s="194" t="s">
        <v>169</v>
      </c>
    </row>
    <row r="15" spans="1:10" ht="15.75">
      <c r="A15" s="4"/>
      <c r="B15" s="178"/>
      <c r="C15" s="238"/>
      <c r="D15" s="299"/>
      <c r="E15" s="279"/>
      <c r="F15" s="280"/>
      <c r="G15" s="273"/>
      <c r="H15" s="273"/>
      <c r="I15" s="273"/>
      <c r="J15" s="283"/>
    </row>
    <row r="16" spans="1:10" ht="15.75">
      <c r="A16" s="4"/>
      <c r="B16" s="178"/>
      <c r="C16" s="238" t="s">
        <v>879</v>
      </c>
      <c r="D16" s="300"/>
      <c r="E16" s="301"/>
      <c r="F16" s="302"/>
      <c r="G16" s="303"/>
      <c r="H16" s="303"/>
      <c r="I16" s="303"/>
      <c r="J16" s="304"/>
    </row>
    <row r="17" spans="1:10" ht="15.75">
      <c r="A17" s="4"/>
      <c r="B17" s="74" t="s">
        <v>151</v>
      </c>
      <c r="C17" s="284" t="s">
        <v>934</v>
      </c>
      <c r="D17" s="301">
        <f>+'TY Cost Distribution'!I15</f>
        <v>3077512.2741512638</v>
      </c>
      <c r="E17" s="301">
        <f>+'TY Cost Distribution'!F78</f>
        <v>881896.0298546576</v>
      </c>
      <c r="F17" s="302">
        <f>+D17+E17</f>
        <v>3959408.3040059214</v>
      </c>
      <c r="G17" s="286">
        <f>+'TYBR Pieces &amp; Pounds'!P19</f>
        <v>23027309.37083881</v>
      </c>
      <c r="H17" s="339">
        <f aca="true" t="shared" si="0" ref="H17:H23">+F17/G17</f>
        <v>0.1719440269917081</v>
      </c>
      <c r="I17" s="340">
        <f>+Inputs!$D$13-0.15</f>
        <v>1.1</v>
      </c>
      <c r="J17" s="341">
        <f aca="true" t="shared" si="1" ref="J17:J23">+H17*I17</f>
        <v>0.18913842969087893</v>
      </c>
    </row>
    <row r="18" spans="1:10" ht="15.75">
      <c r="A18" s="4"/>
      <c r="B18" s="74" t="s">
        <v>152</v>
      </c>
      <c r="C18" s="284" t="s">
        <v>935</v>
      </c>
      <c r="D18" s="301">
        <f>+'TY Cost Distribution'!I16</f>
        <v>1105443.2787436668</v>
      </c>
      <c r="E18" s="301">
        <f>+'TY Cost Distribution'!F79</f>
        <v>292781.96945192345</v>
      </c>
      <c r="F18" s="302">
        <f aca="true" t="shared" si="2" ref="F18:F23">+D18+E18</f>
        <v>1398225.2481955902</v>
      </c>
      <c r="G18" s="286">
        <f>+'TYBR Pieces &amp; Pounds'!P20</f>
        <v>7644870.552239637</v>
      </c>
      <c r="H18" s="339">
        <f t="shared" si="0"/>
        <v>0.18289717774043499</v>
      </c>
      <c r="I18" s="340">
        <f>+Inputs!$D$13-0.05</f>
        <v>1.2</v>
      </c>
      <c r="J18" s="341">
        <f t="shared" si="1"/>
        <v>0.21947661328852197</v>
      </c>
    </row>
    <row r="19" spans="1:10" ht="15.75">
      <c r="A19" s="4"/>
      <c r="B19" s="74" t="s">
        <v>153</v>
      </c>
      <c r="C19" s="284" t="s">
        <v>936</v>
      </c>
      <c r="D19" s="301">
        <f>+'TY Cost Distribution'!I17</f>
        <v>1656801.2805952067</v>
      </c>
      <c r="E19" s="301">
        <f>+'TY Cost Distribution'!F80</f>
        <v>401402.6987175873</v>
      </c>
      <c r="F19" s="302">
        <f t="shared" si="2"/>
        <v>2058203.9793127938</v>
      </c>
      <c r="G19" s="286">
        <f>+'TYBR Pieces &amp; Pounds'!P21</f>
        <v>10481081.457167724</v>
      </c>
      <c r="H19" s="339">
        <f t="shared" si="0"/>
        <v>0.1963732452346551</v>
      </c>
      <c r="I19" s="340">
        <f>+Inputs!$D$13+0.05</f>
        <v>1.3</v>
      </c>
      <c r="J19" s="341">
        <f t="shared" si="1"/>
        <v>0.2552852188050516</v>
      </c>
    </row>
    <row r="20" spans="1:10" ht="15.75">
      <c r="A20" s="4"/>
      <c r="B20" s="74" t="s">
        <v>154</v>
      </c>
      <c r="C20" s="284" t="s">
        <v>937</v>
      </c>
      <c r="D20" s="301">
        <f>+'TY Cost Distribution'!I18</f>
        <v>1959069.748441435</v>
      </c>
      <c r="E20" s="301">
        <f>+'TY Cost Distribution'!F81</f>
        <v>416865.2612450696</v>
      </c>
      <c r="F20" s="302">
        <f t="shared" si="2"/>
        <v>2375935.0096865045</v>
      </c>
      <c r="G20" s="286">
        <f>+'TYBR Pieces &amp; Pounds'!P22</f>
        <v>10884826.568759797</v>
      </c>
      <c r="H20" s="339">
        <f t="shared" si="0"/>
        <v>0.2182795467321089</v>
      </c>
      <c r="I20" s="340">
        <f>+Inputs!$D$13+0.15</f>
        <v>1.4</v>
      </c>
      <c r="J20" s="341">
        <f t="shared" si="1"/>
        <v>0.3055913654249524</v>
      </c>
    </row>
    <row r="21" spans="1:10" ht="15.75">
      <c r="A21" s="4"/>
      <c r="B21" s="74" t="s">
        <v>155</v>
      </c>
      <c r="C21" s="284" t="s">
        <v>952</v>
      </c>
      <c r="D21" s="301">
        <f>+'TY Cost Distribution'!I19</f>
        <v>1191790.6646931092</v>
      </c>
      <c r="E21" s="301">
        <f>+'TY Cost Distribution'!F82</f>
        <v>225188.50002776444</v>
      </c>
      <c r="F21" s="302">
        <f t="shared" si="2"/>
        <v>1416979.1647208736</v>
      </c>
      <c r="G21" s="286">
        <f>+'TYBR Pieces &amp; Pounds'!P23</f>
        <v>5879928.110969135</v>
      </c>
      <c r="H21" s="339">
        <f t="shared" si="0"/>
        <v>0.2409857974415483</v>
      </c>
      <c r="I21" s="340">
        <f>+Inputs!$D$13+(0.25)</f>
        <v>1.5</v>
      </c>
      <c r="J21" s="341">
        <f t="shared" si="1"/>
        <v>0.3614786961623224</v>
      </c>
    </row>
    <row r="22" spans="1:10" ht="15.75">
      <c r="A22" s="4"/>
      <c r="B22" s="74" t="s">
        <v>156</v>
      </c>
      <c r="C22" s="284" t="s">
        <v>953</v>
      </c>
      <c r="D22" s="301">
        <f>+'TY Cost Distribution'!I20</f>
        <v>764905.4075654923</v>
      </c>
      <c r="E22" s="301">
        <f>+'TY Cost Distribution'!F83</f>
        <v>128253.11812440943</v>
      </c>
      <c r="F22" s="302">
        <f t="shared" si="2"/>
        <v>893158.5256899018</v>
      </c>
      <c r="G22" s="286">
        <f>+'TYBR Pieces &amp; Pounds'!P24</f>
        <v>3348834.9293422243</v>
      </c>
      <c r="H22" s="339">
        <f t="shared" si="0"/>
        <v>0.266707241334626</v>
      </c>
      <c r="I22" s="340">
        <f>+Inputs!$D$13+(0.3)</f>
        <v>1.55</v>
      </c>
      <c r="J22" s="341">
        <f t="shared" si="1"/>
        <v>0.41339622406867027</v>
      </c>
    </row>
    <row r="23" spans="1:10" ht="15.75">
      <c r="A23" s="4"/>
      <c r="B23" s="74" t="s">
        <v>157</v>
      </c>
      <c r="C23" s="284" t="s">
        <v>954</v>
      </c>
      <c r="D23" s="301">
        <f>+'TY Cost Distribution'!I21</f>
        <v>1673965.6717356395</v>
      </c>
      <c r="E23" s="301">
        <f>+'TY Cost Distribution'!F84</f>
        <v>229789.84735359318</v>
      </c>
      <c r="F23" s="302">
        <f t="shared" si="2"/>
        <v>1903755.5190892327</v>
      </c>
      <c r="G23" s="286">
        <f>+'TYBR Pieces &amp; Pounds'!P25</f>
        <v>6000074.528242384</v>
      </c>
      <c r="H23" s="339">
        <f t="shared" si="0"/>
        <v>0.3172886453540277</v>
      </c>
      <c r="I23" s="340">
        <f>+Inputs!$D$13+(0.4)</f>
        <v>1.65</v>
      </c>
      <c r="J23" s="341">
        <f t="shared" si="1"/>
        <v>0.5235262648341457</v>
      </c>
    </row>
    <row r="24" spans="1:10" ht="15.75">
      <c r="A24" s="4"/>
      <c r="B24" s="74"/>
      <c r="C24" s="284"/>
      <c r="D24" s="301"/>
      <c r="E24" s="301"/>
      <c r="F24" s="302"/>
      <c r="G24" s="286"/>
      <c r="H24" s="339"/>
      <c r="I24" s="286"/>
      <c r="J24" s="341"/>
    </row>
    <row r="25" spans="1:10" ht="15.75">
      <c r="A25" s="4"/>
      <c r="B25" s="74"/>
      <c r="C25" s="238" t="s">
        <v>656</v>
      </c>
      <c r="D25" s="301"/>
      <c r="E25" s="301"/>
      <c r="F25" s="302"/>
      <c r="G25" s="286"/>
      <c r="H25" s="339"/>
      <c r="I25" s="286"/>
      <c r="J25" s="341"/>
    </row>
    <row r="26" spans="1:10" ht="15.75">
      <c r="A26" s="4"/>
      <c r="B26" s="74" t="s">
        <v>158</v>
      </c>
      <c r="C26" s="284" t="s">
        <v>934</v>
      </c>
      <c r="D26" s="301">
        <f>+'TY Cost Distribution'!K15</f>
        <v>5402500.307882568</v>
      </c>
      <c r="E26" s="301">
        <f>+'TY Cost Distribution'!I78</f>
        <v>774073.8538766913</v>
      </c>
      <c r="F26" s="302">
        <f>+D26+E26</f>
        <v>6176574.161759259</v>
      </c>
      <c r="G26" s="286">
        <f>+'TY Cost Distribution'!E15</f>
        <v>40423899.20279783</v>
      </c>
      <c r="H26" s="339">
        <f aca="true" t="shared" si="3" ref="H26:H32">+F26/G26</f>
        <v>0.15279511090141853</v>
      </c>
      <c r="I26" s="340">
        <f>+Inputs!$D$13-(0.4)</f>
        <v>0.85</v>
      </c>
      <c r="J26" s="341">
        <f aca="true" t="shared" si="4" ref="J26:J32">+H26*I26</f>
        <v>0.12987584426620574</v>
      </c>
    </row>
    <row r="27" spans="1:10" ht="15.75">
      <c r="A27" s="4"/>
      <c r="B27" s="74" t="s">
        <v>159</v>
      </c>
      <c r="C27" s="284" t="s">
        <v>935</v>
      </c>
      <c r="D27" s="301">
        <f>+'TY Cost Distribution'!K16</f>
        <v>3755700.9701681887</v>
      </c>
      <c r="E27" s="301">
        <f>+'TY Cost Distribution'!I79</f>
        <v>497357.7332561272</v>
      </c>
      <c r="F27" s="302">
        <f aca="true" t="shared" si="5" ref="F27:F32">+D27+E27</f>
        <v>4253058.703424316</v>
      </c>
      <c r="G27" s="286">
        <f>+'TY Cost Distribution'!E16</f>
        <v>25973153.30596388</v>
      </c>
      <c r="H27" s="339">
        <f t="shared" si="3"/>
        <v>0.16374826165014553</v>
      </c>
      <c r="I27" s="340">
        <f>+Inputs!$D$13-(0.3)</f>
        <v>0.95</v>
      </c>
      <c r="J27" s="341">
        <f t="shared" si="4"/>
        <v>0.15556084856763824</v>
      </c>
    </row>
    <row r="28" spans="1:10" ht="15.75">
      <c r="A28" s="4"/>
      <c r="B28" s="74" t="s">
        <v>160</v>
      </c>
      <c r="C28" s="284" t="s">
        <v>936</v>
      </c>
      <c r="D28" s="301">
        <f>+'TY Cost Distribution'!K17</f>
        <v>6435268.555033989</v>
      </c>
      <c r="E28" s="301">
        <f>+'TY Cost Distribution'!I80</f>
        <v>779554.613826433</v>
      </c>
      <c r="F28" s="302">
        <f t="shared" si="5"/>
        <v>7214823.168860422</v>
      </c>
      <c r="G28" s="286">
        <f>+'TY Cost Distribution'!E17</f>
        <v>40710116.96697286</v>
      </c>
      <c r="H28" s="339">
        <f t="shared" si="3"/>
        <v>0.17722432914436564</v>
      </c>
      <c r="I28" s="340">
        <f>+Inputs!$D$13-(0.1)</f>
        <v>1.15</v>
      </c>
      <c r="J28" s="341">
        <f t="shared" si="4"/>
        <v>0.20380797851602048</v>
      </c>
    </row>
    <row r="29" spans="1:10" ht="15.75">
      <c r="A29" s="4"/>
      <c r="B29" s="74" t="s">
        <v>161</v>
      </c>
      <c r="C29" s="284" t="s">
        <v>937</v>
      </c>
      <c r="D29" s="301">
        <f>+'TY Cost Distribution'!K18</f>
        <v>6875967.999525717</v>
      </c>
      <c r="E29" s="301">
        <f>+'TY Cost Distribution'!I81</f>
        <v>731559.5064227278</v>
      </c>
      <c r="F29" s="302">
        <f t="shared" si="5"/>
        <v>7607527.505948445</v>
      </c>
      <c r="G29" s="286">
        <f>+'TY Cost Distribution'!E18</f>
        <v>38203703.17428598</v>
      </c>
      <c r="H29" s="339">
        <f t="shared" si="3"/>
        <v>0.1991306306418194</v>
      </c>
      <c r="I29" s="340">
        <f>+Inputs!$D$13+0.05</f>
        <v>1.3</v>
      </c>
      <c r="J29" s="341">
        <f t="shared" si="4"/>
        <v>0.25886981983436524</v>
      </c>
    </row>
    <row r="30" spans="1:10" ht="15.75">
      <c r="A30" s="4"/>
      <c r="B30" s="74" t="s">
        <v>162</v>
      </c>
      <c r="C30" s="284" t="s">
        <v>952</v>
      </c>
      <c r="D30" s="301">
        <f>+'TY Cost Distribution'!K19</f>
        <v>4161711.3140662145</v>
      </c>
      <c r="E30" s="301">
        <f>+'TY Cost Distribution'!I82</f>
        <v>393177.0721683209</v>
      </c>
      <c r="F30" s="302">
        <f t="shared" si="5"/>
        <v>4554888.386234535</v>
      </c>
      <c r="G30" s="286">
        <f>+'TY Cost Distribution'!E19</f>
        <v>20532601.96631721</v>
      </c>
      <c r="H30" s="339">
        <f t="shared" si="3"/>
        <v>0.22183688135125884</v>
      </c>
      <c r="I30" s="340">
        <f>+Inputs!$D$13+(0.2)</f>
        <v>1.45</v>
      </c>
      <c r="J30" s="341">
        <f t="shared" si="4"/>
        <v>0.3216634779593253</v>
      </c>
    </row>
    <row r="31" spans="1:10" ht="15.75">
      <c r="A31" s="4"/>
      <c r="B31" s="74" t="s">
        <v>173</v>
      </c>
      <c r="C31" s="284" t="s">
        <v>953</v>
      </c>
      <c r="D31" s="301">
        <f>+'TY Cost Distribution'!K20</f>
        <v>3197035.3521018163</v>
      </c>
      <c r="E31" s="301">
        <f>+'TY Cost Distribution'!I83</f>
        <v>268026.4439272642</v>
      </c>
      <c r="F31" s="302">
        <f t="shared" si="5"/>
        <v>3465061.7960290806</v>
      </c>
      <c r="G31" s="286">
        <f>+'TY Cost Distribution'!E20</f>
        <v>13996951.193659572</v>
      </c>
      <c r="H31" s="339">
        <f t="shared" si="3"/>
        <v>0.24755832524433652</v>
      </c>
      <c r="I31" s="340">
        <f>+Inputs!$D$13+(0.25)</f>
        <v>1.5</v>
      </c>
      <c r="J31" s="341">
        <f t="shared" si="4"/>
        <v>0.3713374878665048</v>
      </c>
    </row>
    <row r="32" spans="1:10" ht="15.75">
      <c r="A32" s="4"/>
      <c r="B32" s="74" t="s">
        <v>174</v>
      </c>
      <c r="C32" s="284" t="s">
        <v>954</v>
      </c>
      <c r="D32" s="301">
        <f>+'TY Cost Distribution'!K21</f>
        <v>6783720.868743833</v>
      </c>
      <c r="E32" s="301">
        <f>+'TY Cost Distribution'!I84</f>
        <v>465609.961195252</v>
      </c>
      <c r="F32" s="302">
        <f t="shared" si="5"/>
        <v>7249330.829939085</v>
      </c>
      <c r="G32" s="286">
        <f>+'TY Cost Distribution'!E21</f>
        <v>24315212.359793335</v>
      </c>
      <c r="H32" s="339">
        <f t="shared" si="3"/>
        <v>0.29813972926373816</v>
      </c>
      <c r="I32" s="340">
        <f>+Inputs!$D$13+(0.4)</f>
        <v>1.65</v>
      </c>
      <c r="J32" s="341">
        <f t="shared" si="4"/>
        <v>0.49193055328516794</v>
      </c>
    </row>
    <row r="33" spans="1:10" ht="15.75">
      <c r="A33" s="4"/>
      <c r="B33" s="74"/>
      <c r="C33" s="284"/>
      <c r="D33" s="301"/>
      <c r="E33" s="301"/>
      <c r="F33" s="302"/>
      <c r="G33" s="286"/>
      <c r="H33" s="339"/>
      <c r="I33" s="340"/>
      <c r="J33" s="341"/>
    </row>
    <row r="34" spans="1:10" ht="15.75">
      <c r="A34" s="4"/>
      <c r="B34" s="74"/>
      <c r="C34" s="284" t="s">
        <v>657</v>
      </c>
      <c r="D34" s="301"/>
      <c r="E34" s="301"/>
      <c r="F34" s="302"/>
      <c r="G34" s="286"/>
      <c r="H34" s="339"/>
      <c r="I34" s="340"/>
      <c r="J34" s="341"/>
    </row>
    <row r="35" spans="1:11" ht="15.75">
      <c r="A35" s="4"/>
      <c r="B35" s="74" t="s">
        <v>176</v>
      </c>
      <c r="C35" s="284" t="s">
        <v>934</v>
      </c>
      <c r="D35" s="301">
        <f>+'TY Cost Distribution'!L15</f>
        <v>33816601.41992243</v>
      </c>
      <c r="E35" s="301">
        <f>+'TY Cost Distribution'!F15/SUM('TY Cost Distribution'!$F$23:$H$23)*'TY Cost Distribution'!$H$75</f>
        <v>10362227.803796746</v>
      </c>
      <c r="F35" s="302">
        <f aca="true" t="shared" si="6" ref="F35:F40">+D35+E35</f>
        <v>44178829.22371917</v>
      </c>
      <c r="G35" s="286">
        <f>+'TY Cost Distribution'!F15</f>
        <v>541139130.5355133</v>
      </c>
      <c r="H35" s="339">
        <f aca="true" t="shared" si="7" ref="H35:H40">+F35/G35</f>
        <v>0.08164042615066414</v>
      </c>
      <c r="I35" s="340">
        <f>+Inputs!$D$13-0.15</f>
        <v>1.1</v>
      </c>
      <c r="J35" s="341">
        <f aca="true" t="shared" si="8" ref="J35:J40">+H35*I35</f>
        <v>0.08980446876573056</v>
      </c>
      <c r="K35" s="46"/>
    </row>
    <row r="36" spans="1:11" ht="15.75">
      <c r="A36" s="4"/>
      <c r="B36" s="74" t="s">
        <v>177</v>
      </c>
      <c r="C36" s="284" t="s">
        <v>935</v>
      </c>
      <c r="D36" s="301">
        <f>+'TY Cost Distribution'!L16</f>
        <v>11953624.231154101</v>
      </c>
      <c r="E36" s="301">
        <f>+'TY Cost Distribution'!H79</f>
        <v>2186666.5128601287</v>
      </c>
      <c r="F36" s="302">
        <f t="shared" si="6"/>
        <v>14140290.74401423</v>
      </c>
      <c r="G36" s="286">
        <f>+'TY Cost Distribution'!F16</f>
        <v>114192704.3050233</v>
      </c>
      <c r="H36" s="339">
        <f t="shared" si="7"/>
        <v>0.12382832011967863</v>
      </c>
      <c r="I36" s="340">
        <f>+Inputs!$D$13-0.2</f>
        <v>1.05</v>
      </c>
      <c r="J36" s="341">
        <f t="shared" si="8"/>
        <v>0.13001973612566256</v>
      </c>
      <c r="K36" s="46"/>
    </row>
    <row r="37" spans="1:11" ht="15.75">
      <c r="A37" s="4"/>
      <c r="B37" s="74" t="s">
        <v>183</v>
      </c>
      <c r="C37" s="284" t="s">
        <v>936</v>
      </c>
      <c r="D37" s="301">
        <f>+'TY Cost Distribution'!L17</f>
        <v>3394518.686009759</v>
      </c>
      <c r="E37" s="301">
        <f>+'TY Cost Distribution'!H80</f>
        <v>474077.1253579464</v>
      </c>
      <c r="F37" s="302">
        <f t="shared" si="6"/>
        <v>3868595.8113677055</v>
      </c>
      <c r="G37" s="286">
        <f>+'TY Cost Distribution'!F17</f>
        <v>24757386.951961923</v>
      </c>
      <c r="H37" s="339">
        <f t="shared" si="7"/>
        <v>0.1562602636083585</v>
      </c>
      <c r="I37" s="340">
        <f>+Inputs!$D$13-0.15</f>
        <v>1.1</v>
      </c>
      <c r="J37" s="341">
        <f t="shared" si="8"/>
        <v>0.1718862899691944</v>
      </c>
      <c r="K37" s="46"/>
    </row>
    <row r="38" spans="1:11" ht="15.75">
      <c r="A38" s="4"/>
      <c r="B38" s="74" t="s">
        <v>285</v>
      </c>
      <c r="C38" s="284" t="s">
        <v>937</v>
      </c>
      <c r="D38" s="301">
        <f>+'TY Cost Distribution'!L18</f>
        <v>123217.31065003802</v>
      </c>
      <c r="E38" s="301">
        <f>+'TY Cost Distribution'!H81</f>
        <v>13109.814449989375</v>
      </c>
      <c r="F38" s="302">
        <f t="shared" si="6"/>
        <v>136327.1251000274</v>
      </c>
      <c r="G38" s="286">
        <f>+'TY Cost Distribution'!F18</f>
        <v>684624.3614090219</v>
      </c>
      <c r="H38" s="339">
        <f t="shared" si="7"/>
        <v>0.1991268975872451</v>
      </c>
      <c r="I38" s="340">
        <f>+Inputs!$D$13-0.1</f>
        <v>1.15</v>
      </c>
      <c r="J38" s="341">
        <f t="shared" si="8"/>
        <v>0.22899593222533185</v>
      </c>
      <c r="K38" s="46"/>
    </row>
    <row r="39" spans="1:11" ht="15.75">
      <c r="A39" s="4"/>
      <c r="B39" s="74" t="s">
        <v>286</v>
      </c>
      <c r="C39" s="284" t="s">
        <v>958</v>
      </c>
      <c r="D39" s="301">
        <f>+'TY Cost Distribution'!M15</f>
        <v>17889544.970979813</v>
      </c>
      <c r="E39" s="301">
        <f>+'TY Cost Distribution'!G15/SUM('TY Cost Distribution'!$F$23:$H$23)*'TY Cost Distribution'!$H$75</f>
        <v>7298762.3061351245</v>
      </c>
      <c r="F39" s="302">
        <f t="shared" si="6"/>
        <v>25188307.27711494</v>
      </c>
      <c r="G39" s="286">
        <f>+'TY Cost Distribution'!G15</f>
        <v>381157986.78737587</v>
      </c>
      <c r="H39" s="339">
        <f t="shared" si="7"/>
        <v>0.06608364024959004</v>
      </c>
      <c r="I39" s="340">
        <f>+Inputs!$D$13+0.05</f>
        <v>1.3</v>
      </c>
      <c r="J39" s="341">
        <f t="shared" si="8"/>
        <v>0.08590873232446705</v>
      </c>
      <c r="K39" s="46"/>
    </row>
    <row r="40" spans="1:11" ht="15.75">
      <c r="A40" s="4"/>
      <c r="B40" s="74" t="s">
        <v>966</v>
      </c>
      <c r="C40" s="284" t="s">
        <v>658</v>
      </c>
      <c r="D40" s="301">
        <f>+'TY Cost Distribution'!N15</f>
        <v>1382627.4599158675</v>
      </c>
      <c r="E40" s="301">
        <f>+'TY Cost Distribution'!H15/SUM('TY Cost Distribution'!$F$23:$H$23)*'TY Cost Distribution'!$H$75</f>
        <v>3448990.396257459</v>
      </c>
      <c r="F40" s="302">
        <f t="shared" si="6"/>
        <v>4831617.856173327</v>
      </c>
      <c r="G40" s="286">
        <f>+'TY Cost Distribution'!H15</f>
        <v>180114131.78662694</v>
      </c>
      <c r="H40" s="339">
        <f t="shared" si="7"/>
        <v>0.02682531241855651</v>
      </c>
      <c r="I40" s="340">
        <f>+Inputs!$D$13+0.3</f>
        <v>1.55</v>
      </c>
      <c r="J40" s="341">
        <f t="shared" si="8"/>
        <v>0.041579234248762593</v>
      </c>
      <c r="K40" s="46"/>
    </row>
    <row r="41" spans="1:10" ht="15.75">
      <c r="A41" s="4"/>
      <c r="B41" s="74"/>
      <c r="C41" s="284"/>
      <c r="D41" s="301"/>
      <c r="E41" s="301"/>
      <c r="F41" s="302"/>
      <c r="G41" s="286"/>
      <c r="H41" s="339"/>
      <c r="I41" s="340"/>
      <c r="J41" s="341"/>
    </row>
    <row r="42" spans="1:11" ht="16.5" thickBot="1">
      <c r="A42" s="179"/>
      <c r="B42" s="295"/>
      <c r="C42" s="291"/>
      <c r="D42" s="307"/>
      <c r="E42" s="307"/>
      <c r="F42" s="292"/>
      <c r="G42" s="342"/>
      <c r="H42" s="342"/>
      <c r="I42" s="342"/>
      <c r="J42" s="343"/>
      <c r="K42" s="37"/>
    </row>
    <row r="43" spans="1:11" ht="15.75">
      <c r="A43" s="173"/>
      <c r="B43" s="383"/>
      <c r="C43" s="362"/>
      <c r="D43" s="510"/>
      <c r="E43" s="510"/>
      <c r="F43" s="510"/>
      <c r="G43" s="511"/>
      <c r="H43" s="511"/>
      <c r="I43" s="511"/>
      <c r="J43" s="512"/>
      <c r="K43" s="37"/>
    </row>
    <row r="44" spans="1:10" ht="15.75">
      <c r="A44" s="4"/>
      <c r="B44" s="178"/>
      <c r="C44" s="549" t="s">
        <v>633</v>
      </c>
      <c r="D44" s="149"/>
      <c r="E44" s="149"/>
      <c r="F44" s="149"/>
      <c r="G44" s="149"/>
      <c r="H44" s="149"/>
      <c r="I44" s="149"/>
      <c r="J44" s="128"/>
    </row>
    <row r="45" spans="1:10" ht="15.75">
      <c r="A45" s="4"/>
      <c r="B45" s="178"/>
      <c r="C45" s="81"/>
      <c r="D45" s="82"/>
      <c r="E45" s="82"/>
      <c r="F45" s="82"/>
      <c r="G45" s="82"/>
      <c r="H45" s="82"/>
      <c r="I45" s="82"/>
      <c r="J45" s="160"/>
    </row>
    <row r="46" spans="1:10" ht="15.75">
      <c r="A46" s="4"/>
      <c r="B46" s="178"/>
      <c r="C46" s="156"/>
      <c r="D46" s="127"/>
      <c r="E46" s="507"/>
      <c r="F46" s="507"/>
      <c r="G46" s="507"/>
      <c r="H46" s="507"/>
      <c r="I46" s="507"/>
      <c r="J46" s="513"/>
    </row>
    <row r="47" spans="1:10" ht="15.75">
      <c r="A47" s="4"/>
      <c r="B47" s="178"/>
      <c r="C47" s="156"/>
      <c r="D47" s="127"/>
      <c r="E47" s="127" t="s">
        <v>844</v>
      </c>
      <c r="F47" s="127" t="s">
        <v>960</v>
      </c>
      <c r="G47" s="127" t="s">
        <v>956</v>
      </c>
      <c r="H47" s="127" t="s">
        <v>280</v>
      </c>
      <c r="I47" s="127"/>
      <c r="J47" s="193" t="s">
        <v>842</v>
      </c>
    </row>
    <row r="48" spans="1:10" ht="18.75">
      <c r="A48" s="4"/>
      <c r="B48" s="178"/>
      <c r="C48" s="156"/>
      <c r="D48" s="127" t="s">
        <v>52</v>
      </c>
      <c r="E48" s="127" t="s">
        <v>53</v>
      </c>
      <c r="F48" s="127" t="s">
        <v>54</v>
      </c>
      <c r="G48" s="127" t="s">
        <v>55</v>
      </c>
      <c r="H48" s="127" t="s">
        <v>56</v>
      </c>
      <c r="I48" s="127" t="s">
        <v>50</v>
      </c>
      <c r="J48" s="193" t="s">
        <v>57</v>
      </c>
    </row>
    <row r="49" spans="1:10" ht="15.75">
      <c r="A49" s="4"/>
      <c r="B49" s="178"/>
      <c r="C49" s="81"/>
      <c r="D49" s="269" t="s">
        <v>163</v>
      </c>
      <c r="E49" s="159" t="s">
        <v>164</v>
      </c>
      <c r="F49" s="159" t="s">
        <v>165</v>
      </c>
      <c r="G49" s="159" t="s">
        <v>166</v>
      </c>
      <c r="H49" s="159" t="s">
        <v>167</v>
      </c>
      <c r="I49" s="159" t="s">
        <v>168</v>
      </c>
      <c r="J49" s="194" t="s">
        <v>169</v>
      </c>
    </row>
    <row r="50" spans="1:10" ht="15.75">
      <c r="A50" s="4"/>
      <c r="B50" s="178"/>
      <c r="C50" s="238"/>
      <c r="D50" s="303"/>
      <c r="E50" s="273"/>
      <c r="F50" s="273"/>
      <c r="G50" s="273"/>
      <c r="H50" s="273"/>
      <c r="I50" s="273"/>
      <c r="J50" s="344"/>
    </row>
    <row r="51" spans="1:10" ht="15.75">
      <c r="A51" s="4"/>
      <c r="B51" s="178" t="s">
        <v>967</v>
      </c>
      <c r="C51" s="238" t="s">
        <v>879</v>
      </c>
      <c r="D51" s="303">
        <f>+'TY Cost Distribution'!K75</f>
        <v>43475287.92556631</v>
      </c>
      <c r="E51" s="287">
        <f>+'Revenue Leakages'!H33</f>
        <v>2316750.2945832815</v>
      </c>
      <c r="F51" s="277">
        <f>+'TYBR Pieces &amp; Pounds'!E17</f>
        <v>30985811.575018074</v>
      </c>
      <c r="G51" s="339">
        <f>+D51/F51</f>
        <v>1.4030708158251928</v>
      </c>
      <c r="H51" s="339">
        <f>+E51/F51</f>
        <v>0.07476810116702358</v>
      </c>
      <c r="I51" s="340">
        <f>+Inputs!$D$13</f>
        <v>1.25</v>
      </c>
      <c r="J51" s="341">
        <f>+G51*I51+H51</f>
        <v>1.8286066209485146</v>
      </c>
    </row>
    <row r="52" spans="1:10" ht="15.75">
      <c r="A52" s="4"/>
      <c r="B52" s="74"/>
      <c r="C52" s="284"/>
      <c r="D52" s="287"/>
      <c r="E52" s="286"/>
      <c r="F52" s="286"/>
      <c r="G52" s="286"/>
      <c r="H52" s="286"/>
      <c r="I52" s="286"/>
      <c r="J52" s="341"/>
    </row>
    <row r="53" spans="1:10" ht="15.75">
      <c r="A53" s="4"/>
      <c r="B53" s="74" t="s">
        <v>669</v>
      </c>
      <c r="C53" s="238" t="s">
        <v>846</v>
      </c>
      <c r="D53" s="287">
        <f>+'TY Cost Distribution'!L75</f>
        <v>433407924.7285873</v>
      </c>
      <c r="E53" s="287">
        <f>+'Revenue Leakages'!H34</f>
        <v>323936517.418496</v>
      </c>
      <c r="F53" s="286">
        <f>+'TYBR Pieces &amp; Pounds'!H17</f>
        <v>617799073.0620189</v>
      </c>
      <c r="G53" s="339">
        <f>+D53/F53</f>
        <v>0.7015354079125964</v>
      </c>
      <c r="H53" s="339">
        <f>+E53/F53</f>
        <v>0.524339597683367</v>
      </c>
      <c r="I53" s="340">
        <f>+Inputs!$D$13</f>
        <v>1.25</v>
      </c>
      <c r="J53" s="341">
        <f>+G53*I53+H53</f>
        <v>1.4012588575741125</v>
      </c>
    </row>
    <row r="54" spans="1:10" ht="16.5" thickBot="1">
      <c r="A54" s="179"/>
      <c r="B54" s="295"/>
      <c r="C54" s="291"/>
      <c r="D54" s="292"/>
      <c r="E54" s="292"/>
      <c r="F54" s="292"/>
      <c r="G54" s="292"/>
      <c r="H54" s="292"/>
      <c r="I54" s="292"/>
      <c r="J54" s="345"/>
    </row>
    <row r="55" spans="1:10" ht="12.75">
      <c r="A55" s="62"/>
      <c r="B55" s="39"/>
      <c r="C55" s="225"/>
      <c r="D55" s="225"/>
      <c r="E55" s="308"/>
      <c r="F55" s="225"/>
      <c r="G55" s="225"/>
      <c r="H55" s="225"/>
      <c r="I55" s="225"/>
      <c r="J55" s="226"/>
    </row>
    <row r="56" spans="1:10" ht="15.75">
      <c r="A56" s="63"/>
      <c r="B56" s="41"/>
      <c r="C56" s="203" t="s">
        <v>811</v>
      </c>
      <c r="D56" s="309"/>
      <c r="E56" s="309"/>
      <c r="F56" s="227"/>
      <c r="G56" s="227"/>
      <c r="H56" s="309"/>
      <c r="I56" s="227"/>
      <c r="J56" s="228"/>
    </row>
    <row r="57" spans="1:10" ht="13.5" thickBot="1">
      <c r="A57" s="63"/>
      <c r="B57" s="41"/>
      <c r="C57" s="229"/>
      <c r="D57" s="230"/>
      <c r="E57" s="230"/>
      <c r="F57" s="230"/>
      <c r="G57" s="230"/>
      <c r="H57" s="230"/>
      <c r="I57" s="230"/>
      <c r="J57" s="231"/>
    </row>
    <row r="58" spans="1:10" ht="13.5" thickTop="1">
      <c r="A58" s="63"/>
      <c r="B58" s="41"/>
      <c r="C58" s="227" t="s">
        <v>638</v>
      </c>
      <c r="D58" s="227"/>
      <c r="E58" s="227"/>
      <c r="F58" s="227"/>
      <c r="G58" s="227"/>
      <c r="H58" s="227"/>
      <c r="I58" s="227"/>
      <c r="J58" s="228"/>
    </row>
    <row r="59" spans="1:10" ht="12.75">
      <c r="A59" s="63"/>
      <c r="B59" s="41"/>
      <c r="C59" s="227" t="s">
        <v>58</v>
      </c>
      <c r="D59" s="227"/>
      <c r="E59" s="227"/>
      <c r="F59" s="227"/>
      <c r="G59" s="227"/>
      <c r="H59" s="227"/>
      <c r="I59" s="227"/>
      <c r="J59" s="228"/>
    </row>
    <row r="60" spans="1:10" ht="12.75">
      <c r="A60" s="63"/>
      <c r="B60" s="41"/>
      <c r="C60" s="227" t="s">
        <v>60</v>
      </c>
      <c r="D60" s="227"/>
      <c r="E60" s="227"/>
      <c r="F60" s="227"/>
      <c r="G60" s="227"/>
      <c r="H60" s="227"/>
      <c r="I60" s="227"/>
      <c r="J60" s="228"/>
    </row>
    <row r="61" spans="1:10" ht="12.75">
      <c r="A61" s="63"/>
      <c r="B61" s="41"/>
      <c r="C61" s="227" t="s">
        <v>59</v>
      </c>
      <c r="D61" s="227"/>
      <c r="E61" s="227"/>
      <c r="F61" s="227"/>
      <c r="G61" s="227"/>
      <c r="H61" s="227"/>
      <c r="I61" s="227"/>
      <c r="J61" s="228"/>
    </row>
    <row r="62" spans="1:10" ht="12.75">
      <c r="A62" s="63"/>
      <c r="B62" s="41"/>
      <c r="C62" s="227" t="s">
        <v>61</v>
      </c>
      <c r="D62" s="227"/>
      <c r="E62" s="227"/>
      <c r="F62" s="227"/>
      <c r="G62" s="227"/>
      <c r="H62" s="227"/>
      <c r="I62" s="227"/>
      <c r="J62" s="228"/>
    </row>
    <row r="63" spans="1:10" ht="12.75">
      <c r="A63" s="63"/>
      <c r="B63" s="41"/>
      <c r="C63" s="227" t="s">
        <v>62</v>
      </c>
      <c r="D63" s="227"/>
      <c r="E63" s="227"/>
      <c r="F63" s="227"/>
      <c r="G63" s="227"/>
      <c r="H63" s="227"/>
      <c r="I63" s="227"/>
      <c r="J63" s="228"/>
    </row>
    <row r="64" spans="1:10" ht="12.75">
      <c r="A64" s="63"/>
      <c r="B64" s="41"/>
      <c r="C64" s="227" t="s">
        <v>639</v>
      </c>
      <c r="D64" s="227"/>
      <c r="E64" s="227"/>
      <c r="F64" s="227"/>
      <c r="G64" s="227"/>
      <c r="H64" s="227"/>
      <c r="I64" s="227"/>
      <c r="J64" s="228"/>
    </row>
    <row r="65" spans="1:10" ht="12.75">
      <c r="A65" s="63"/>
      <c r="B65" s="41"/>
      <c r="C65" s="227" t="s">
        <v>63</v>
      </c>
      <c r="D65" s="227"/>
      <c r="E65" s="227"/>
      <c r="F65" s="227"/>
      <c r="G65" s="227"/>
      <c r="H65" s="227"/>
      <c r="I65" s="227"/>
      <c r="J65" s="228"/>
    </row>
    <row r="66" spans="1:10" ht="12.75">
      <c r="A66" s="63"/>
      <c r="B66" s="41"/>
      <c r="C66" s="227" t="s">
        <v>64</v>
      </c>
      <c r="D66" s="227"/>
      <c r="E66" s="227"/>
      <c r="F66" s="227"/>
      <c r="G66" s="227"/>
      <c r="H66" s="227"/>
      <c r="I66" s="227"/>
      <c r="J66" s="228"/>
    </row>
    <row r="67" spans="1:10" ht="12.75">
      <c r="A67" s="63"/>
      <c r="B67" s="41"/>
      <c r="C67" s="227" t="s">
        <v>65</v>
      </c>
      <c r="D67" s="227"/>
      <c r="E67" s="227"/>
      <c r="F67" s="227"/>
      <c r="G67" s="227"/>
      <c r="H67" s="227"/>
      <c r="I67" s="227"/>
      <c r="J67" s="228"/>
    </row>
    <row r="68" spans="1:10" ht="12.75">
      <c r="A68" s="63"/>
      <c r="B68" s="41"/>
      <c r="C68" s="227" t="s">
        <v>66</v>
      </c>
      <c r="D68" s="227"/>
      <c r="E68" s="227"/>
      <c r="F68" s="227"/>
      <c r="G68" s="227"/>
      <c r="H68" s="227"/>
      <c r="I68" s="227"/>
      <c r="J68" s="228"/>
    </row>
    <row r="69" spans="1:10" ht="12.75">
      <c r="A69" s="63"/>
      <c r="B69" s="41"/>
      <c r="C69" s="227" t="s">
        <v>67</v>
      </c>
      <c r="D69" s="227"/>
      <c r="E69" s="227"/>
      <c r="F69" s="227"/>
      <c r="G69" s="227"/>
      <c r="H69" s="227"/>
      <c r="I69" s="227"/>
      <c r="J69" s="228"/>
    </row>
    <row r="70" spans="1:10" ht="12.75">
      <c r="A70" s="63"/>
      <c r="B70" s="41"/>
      <c r="C70" s="227" t="s">
        <v>68</v>
      </c>
      <c r="D70" s="227"/>
      <c r="E70" s="227"/>
      <c r="F70" s="227"/>
      <c r="G70" s="227"/>
      <c r="H70" s="227"/>
      <c r="I70" s="227"/>
      <c r="J70" s="228"/>
    </row>
    <row r="71" spans="1:10" ht="12.75">
      <c r="A71" s="63"/>
      <c r="B71" s="41"/>
      <c r="C71" s="227" t="s">
        <v>69</v>
      </c>
      <c r="D71" s="227"/>
      <c r="E71" s="227"/>
      <c r="F71" s="227"/>
      <c r="G71" s="227"/>
      <c r="H71" s="227"/>
      <c r="I71" s="227"/>
      <c r="J71" s="228"/>
    </row>
    <row r="72" spans="1:10" ht="12.75">
      <c r="A72" s="63"/>
      <c r="B72" s="41"/>
      <c r="C72" s="227" t="s">
        <v>968</v>
      </c>
      <c r="D72" s="227"/>
      <c r="E72" s="227"/>
      <c r="F72" s="227"/>
      <c r="G72" s="227"/>
      <c r="H72" s="227"/>
      <c r="I72" s="227"/>
      <c r="J72" s="228"/>
    </row>
    <row r="73" spans="1:10" ht="12.75">
      <c r="A73" s="63"/>
      <c r="B73" s="41"/>
      <c r="C73" s="227" t="s">
        <v>969</v>
      </c>
      <c r="D73" s="227"/>
      <c r="E73" s="227"/>
      <c r="F73" s="227"/>
      <c r="G73" s="227"/>
      <c r="H73" s="227"/>
      <c r="I73" s="227"/>
      <c r="J73" s="228"/>
    </row>
    <row r="74" spans="1:10" ht="12.75">
      <c r="A74" s="63"/>
      <c r="B74" s="41"/>
      <c r="C74" s="227" t="s">
        <v>970</v>
      </c>
      <c r="D74" s="227"/>
      <c r="E74" s="227"/>
      <c r="F74" s="227"/>
      <c r="G74" s="227"/>
      <c r="H74" s="227"/>
      <c r="I74" s="227"/>
      <c r="J74" s="228"/>
    </row>
    <row r="75" spans="1:10" ht="12.75">
      <c r="A75" s="63"/>
      <c r="B75" s="41"/>
      <c r="C75" s="227" t="s">
        <v>971</v>
      </c>
      <c r="D75" s="227"/>
      <c r="E75" s="227"/>
      <c r="F75" s="227"/>
      <c r="G75" s="227"/>
      <c r="H75" s="227"/>
      <c r="I75" s="227"/>
      <c r="J75" s="228"/>
    </row>
    <row r="76" spans="1:10" ht="12.75">
      <c r="A76" s="63"/>
      <c r="B76" s="41"/>
      <c r="C76" s="227" t="s">
        <v>972</v>
      </c>
      <c r="D76" s="227"/>
      <c r="E76" s="227"/>
      <c r="F76" s="227"/>
      <c r="G76" s="227"/>
      <c r="H76" s="227"/>
      <c r="I76" s="227"/>
      <c r="J76" s="228"/>
    </row>
    <row r="77" spans="1:10" ht="12.75">
      <c r="A77" s="63"/>
      <c r="B77" s="41"/>
      <c r="C77" s="227" t="s">
        <v>973</v>
      </c>
      <c r="D77" s="227"/>
      <c r="E77" s="227"/>
      <c r="F77" s="227"/>
      <c r="G77" s="227"/>
      <c r="H77" s="227"/>
      <c r="I77" s="227"/>
      <c r="J77" s="228"/>
    </row>
    <row r="78" spans="1:10" ht="12.75">
      <c r="A78" s="63"/>
      <c r="B78" s="41"/>
      <c r="C78" s="227" t="s">
        <v>223</v>
      </c>
      <c r="D78" s="227"/>
      <c r="E78" s="227"/>
      <c r="F78" s="227"/>
      <c r="G78" s="227"/>
      <c r="H78" s="227"/>
      <c r="I78" s="227"/>
      <c r="J78" s="228"/>
    </row>
    <row r="79" spans="1:10" ht="12.75">
      <c r="A79" s="63"/>
      <c r="B79" s="41"/>
      <c r="C79" s="227" t="s">
        <v>975</v>
      </c>
      <c r="D79" s="227"/>
      <c r="E79" s="227"/>
      <c r="F79" s="227"/>
      <c r="G79" s="227"/>
      <c r="H79" s="227"/>
      <c r="I79" s="227"/>
      <c r="J79" s="228"/>
    </row>
    <row r="80" spans="1:10" ht="12.75">
      <c r="A80" s="63"/>
      <c r="B80" s="41"/>
      <c r="C80" s="227" t="s">
        <v>976</v>
      </c>
      <c r="D80" s="227"/>
      <c r="E80" s="227"/>
      <c r="F80" s="227"/>
      <c r="G80" s="227"/>
      <c r="H80" s="227"/>
      <c r="I80" s="227"/>
      <c r="J80" s="228"/>
    </row>
    <row r="81" spans="1:10" ht="12.75">
      <c r="A81" s="63"/>
      <c r="B81" s="41"/>
      <c r="C81" s="227" t="s">
        <v>977</v>
      </c>
      <c r="D81" s="227"/>
      <c r="E81" s="227"/>
      <c r="F81" s="227"/>
      <c r="G81" s="227"/>
      <c r="H81" s="227"/>
      <c r="I81" s="227"/>
      <c r="J81" s="228"/>
    </row>
    <row r="82" spans="1:10" ht="12.75">
      <c r="A82" s="63"/>
      <c r="B82" s="41"/>
      <c r="C82" s="227" t="s">
        <v>979</v>
      </c>
      <c r="D82" s="227"/>
      <c r="E82" s="227"/>
      <c r="F82" s="227"/>
      <c r="G82" s="227"/>
      <c r="H82" s="227"/>
      <c r="I82" s="227"/>
      <c r="J82" s="228"/>
    </row>
    <row r="83" spans="1:10" ht="12.75">
      <c r="A83" s="63"/>
      <c r="B83" s="41"/>
      <c r="C83" s="227" t="s">
        <v>980</v>
      </c>
      <c r="D83" s="227"/>
      <c r="E83" s="227"/>
      <c r="F83" s="227"/>
      <c r="G83" s="227"/>
      <c r="H83" s="227"/>
      <c r="I83" s="227"/>
      <c r="J83" s="228"/>
    </row>
    <row r="84" spans="1:10" ht="12.75">
      <c r="A84" s="63"/>
      <c r="B84" s="41"/>
      <c r="C84" s="227" t="s">
        <v>981</v>
      </c>
      <c r="D84" s="227"/>
      <c r="E84" s="227"/>
      <c r="F84" s="227"/>
      <c r="G84" s="227"/>
      <c r="H84" s="227"/>
      <c r="I84" s="227"/>
      <c r="J84" s="228"/>
    </row>
    <row r="85" spans="1:10" ht="12.75">
      <c r="A85" s="63"/>
      <c r="B85" s="41"/>
      <c r="C85" s="227" t="s">
        <v>982</v>
      </c>
      <c r="D85" s="227"/>
      <c r="E85" s="227"/>
      <c r="F85" s="227"/>
      <c r="G85" s="227"/>
      <c r="H85" s="227"/>
      <c r="I85" s="227"/>
      <c r="J85" s="228"/>
    </row>
    <row r="86" spans="1:10" ht="12.75">
      <c r="A86" s="63"/>
      <c r="B86" s="41"/>
      <c r="C86" s="227" t="s">
        <v>983</v>
      </c>
      <c r="D86" s="227"/>
      <c r="E86" s="227"/>
      <c r="F86" s="227"/>
      <c r="G86" s="227"/>
      <c r="H86" s="227"/>
      <c r="I86" s="227"/>
      <c r="J86" s="228"/>
    </row>
    <row r="87" spans="1:10" ht="12.75">
      <c r="A87" s="63"/>
      <c r="B87" s="41"/>
      <c r="C87" s="227" t="s">
        <v>984</v>
      </c>
      <c r="D87" s="227"/>
      <c r="E87" s="227"/>
      <c r="F87" s="227"/>
      <c r="G87" s="227"/>
      <c r="H87" s="227"/>
      <c r="I87" s="227"/>
      <c r="J87" s="228"/>
    </row>
    <row r="88" spans="1:10" ht="12.75">
      <c r="A88" s="63"/>
      <c r="B88" s="41"/>
      <c r="C88" s="227" t="s">
        <v>985</v>
      </c>
      <c r="D88" s="227"/>
      <c r="E88" s="227"/>
      <c r="F88" s="227"/>
      <c r="G88" s="227"/>
      <c r="H88" s="227"/>
      <c r="I88" s="227"/>
      <c r="J88" s="228"/>
    </row>
    <row r="89" spans="1:10" ht="12.75">
      <c r="A89" s="63"/>
      <c r="B89" s="41"/>
      <c r="C89" s="227"/>
      <c r="D89" s="227"/>
      <c r="E89" s="227"/>
      <c r="F89" s="227"/>
      <c r="G89" s="227"/>
      <c r="H89" s="227"/>
      <c r="I89" s="227"/>
      <c r="J89" s="228"/>
    </row>
    <row r="90" spans="1:10" ht="13.5" thickBot="1">
      <c r="A90" s="21"/>
      <c r="B90" s="43"/>
      <c r="C90" s="233"/>
      <c r="D90" s="233"/>
      <c r="E90" s="233"/>
      <c r="F90" s="233"/>
      <c r="G90" s="233"/>
      <c r="H90" s="233"/>
      <c r="I90" s="233"/>
      <c r="J90" s="234"/>
    </row>
  </sheetData>
  <mergeCells count="2">
    <mergeCell ref="D10:F10"/>
    <mergeCell ref="A4:J4"/>
  </mergeCells>
  <printOptions/>
  <pageMargins left="0.75" right="0.75" top="1" bottom="1" header="0.5" footer="0.5"/>
  <pageSetup fitToHeight="1" fitToWidth="1" horizontalDpi="600" verticalDpi="600" orientation="portrait" scale="49" r:id="rId1"/>
  <headerFooter alignWithMargins="0">
    <oddHeader>&amp;RUSPS-LR-L-41
Bound Printed Matter Spreadsheets
&amp;A</oddHeader>
    <oddFooter>&amp;CPage &amp;P of &amp;N&amp;R&amp;D</oddFooter>
  </headerFooter>
  <ignoredErrors>
    <ignoredError sqref="I3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="75" zoomScaleNormal="75" workbookViewId="0" topLeftCell="A39">
      <selection activeCell="E49" sqref="E49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0.57421875" style="0" customWidth="1"/>
    <col min="4" max="4" width="14.28125" style="0" customWidth="1"/>
    <col min="5" max="5" width="12.7109375" style="0" customWidth="1"/>
    <col min="6" max="6" width="16.140625" style="0" customWidth="1"/>
    <col min="7" max="7" width="14.140625" style="0" customWidth="1"/>
    <col min="8" max="8" width="17.57421875" style="0" customWidth="1"/>
    <col min="9" max="9" width="17.140625" style="0" customWidth="1"/>
    <col min="10" max="10" width="12.7109375" style="0" customWidth="1"/>
    <col min="11" max="11" width="15.8515625" style="0" customWidth="1"/>
    <col min="12" max="12" width="13.7109375" style="0" customWidth="1"/>
    <col min="13" max="13" width="19.140625" style="0" customWidth="1"/>
    <col min="14" max="14" width="16.8515625" style="0" customWidth="1"/>
  </cols>
  <sheetData>
    <row r="1" spans="1:14" ht="15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 ht="15">
      <c r="A2" s="4"/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657" t="s">
        <v>591</v>
      </c>
    </row>
    <row r="3" spans="1:14" ht="15">
      <c r="A3" s="4"/>
      <c r="B3" s="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657" t="s">
        <v>744</v>
      </c>
    </row>
    <row r="4" spans="1:14" ht="18">
      <c r="A4" s="692" t="s">
        <v>122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4"/>
    </row>
    <row r="5" spans="1:14" ht="15.75" thickBot="1">
      <c r="A5" s="1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4" ht="16.5" thickTop="1">
      <c r="A6" s="4"/>
      <c r="B6" s="14"/>
      <c r="C6" s="118"/>
      <c r="D6" s="204"/>
      <c r="E6" s="115"/>
      <c r="F6" s="115"/>
      <c r="G6" s="115"/>
      <c r="H6" s="115"/>
      <c r="I6" s="145"/>
      <c r="J6" s="145"/>
      <c r="K6" s="145"/>
      <c r="L6" s="145"/>
      <c r="M6" s="145"/>
      <c r="N6" s="152"/>
    </row>
    <row r="7" spans="1:14" ht="15.75">
      <c r="A7" s="4"/>
      <c r="B7" s="14"/>
      <c r="C7" s="118" t="s">
        <v>883</v>
      </c>
      <c r="D7" s="204"/>
      <c r="E7" s="115"/>
      <c r="F7" s="115"/>
      <c r="G7" s="115"/>
      <c r="H7" s="115"/>
      <c r="I7" s="145"/>
      <c r="J7" s="145"/>
      <c r="K7" s="145"/>
      <c r="L7" s="145"/>
      <c r="M7" s="145"/>
      <c r="N7" s="146"/>
    </row>
    <row r="8" spans="1:14" ht="16.5" thickBot="1">
      <c r="A8" s="4"/>
      <c r="B8" s="14"/>
      <c r="C8" s="120"/>
      <c r="D8" s="216"/>
      <c r="E8" s="121"/>
      <c r="F8" s="121"/>
      <c r="G8" s="121"/>
      <c r="H8" s="121"/>
      <c r="I8" s="147"/>
      <c r="J8" s="147"/>
      <c r="K8" s="147"/>
      <c r="L8" s="147"/>
      <c r="M8" s="147"/>
      <c r="N8" s="148"/>
    </row>
    <row r="9" spans="1:14" ht="16.5" thickTop="1">
      <c r="A9" s="4"/>
      <c r="B9" s="14"/>
      <c r="C9" s="118"/>
      <c r="D9" s="319"/>
      <c r="E9" s="115"/>
      <c r="F9" s="115"/>
      <c r="G9" s="115"/>
      <c r="H9" s="115"/>
      <c r="I9" s="134"/>
      <c r="J9" s="145"/>
      <c r="K9" s="145"/>
      <c r="L9" s="145"/>
      <c r="M9" s="145"/>
      <c r="N9" s="320"/>
    </row>
    <row r="10" spans="1:14" ht="18.75">
      <c r="A10" s="4"/>
      <c r="B10" s="14"/>
      <c r="C10" s="118"/>
      <c r="D10" s="699" t="s">
        <v>411</v>
      </c>
      <c r="E10" s="700"/>
      <c r="F10" s="700"/>
      <c r="G10" s="149"/>
      <c r="H10" s="149"/>
      <c r="I10" s="699" t="s">
        <v>412</v>
      </c>
      <c r="J10" s="700"/>
      <c r="K10" s="700"/>
      <c r="L10" s="700"/>
      <c r="M10" s="703"/>
      <c r="N10" s="254" t="s">
        <v>875</v>
      </c>
    </row>
    <row r="11" spans="1:14" ht="15.75">
      <c r="A11" s="4"/>
      <c r="B11" s="178"/>
      <c r="C11" s="153"/>
      <c r="D11" s="159"/>
      <c r="E11" s="82"/>
      <c r="F11" s="155"/>
      <c r="G11" s="155"/>
      <c r="H11" s="155"/>
      <c r="I11" s="154"/>
      <c r="J11" s="82"/>
      <c r="K11" s="82"/>
      <c r="L11" s="82"/>
      <c r="M11" s="155"/>
      <c r="N11" s="193" t="s">
        <v>844</v>
      </c>
    </row>
    <row r="12" spans="1:14" ht="18.75">
      <c r="A12" s="4"/>
      <c r="B12" s="178"/>
      <c r="C12" s="156"/>
      <c r="D12" s="157"/>
      <c r="E12" s="157" t="s">
        <v>885</v>
      </c>
      <c r="F12" s="127"/>
      <c r="G12" s="157" t="s">
        <v>885</v>
      </c>
      <c r="H12" s="127" t="s">
        <v>920</v>
      </c>
      <c r="I12" s="127"/>
      <c r="J12" s="157" t="s">
        <v>886</v>
      </c>
      <c r="K12" s="127"/>
      <c r="L12" s="127" t="s">
        <v>886</v>
      </c>
      <c r="M12" s="127" t="s">
        <v>920</v>
      </c>
      <c r="N12" s="193" t="s">
        <v>410</v>
      </c>
    </row>
    <row r="13" spans="1:14" ht="15.75">
      <c r="A13" s="4"/>
      <c r="B13" s="178"/>
      <c r="C13" s="156"/>
      <c r="D13" s="157" t="s">
        <v>839</v>
      </c>
      <c r="E13" s="157" t="s">
        <v>884</v>
      </c>
      <c r="F13" s="127" t="s">
        <v>920</v>
      </c>
      <c r="G13" s="157" t="s">
        <v>949</v>
      </c>
      <c r="H13" s="127" t="s">
        <v>823</v>
      </c>
      <c r="I13" s="127" t="s">
        <v>840</v>
      </c>
      <c r="J13" s="127" t="s">
        <v>884</v>
      </c>
      <c r="K13" s="127" t="s">
        <v>920</v>
      </c>
      <c r="L13" s="127" t="s">
        <v>949</v>
      </c>
      <c r="M13" s="127" t="s">
        <v>823</v>
      </c>
      <c r="N13" s="193"/>
    </row>
    <row r="14" spans="1:14" ht="15.75">
      <c r="A14" s="4"/>
      <c r="B14" s="178"/>
      <c r="C14" s="81"/>
      <c r="D14" s="269" t="s">
        <v>163</v>
      </c>
      <c r="E14" s="158" t="s">
        <v>164</v>
      </c>
      <c r="F14" s="159" t="s">
        <v>165</v>
      </c>
      <c r="G14" s="159" t="s">
        <v>166</v>
      </c>
      <c r="H14" s="159" t="s">
        <v>167</v>
      </c>
      <c r="I14" s="154" t="s">
        <v>168</v>
      </c>
      <c r="J14" s="154" t="s">
        <v>169</v>
      </c>
      <c r="K14" s="154" t="s">
        <v>170</v>
      </c>
      <c r="L14" s="154" t="s">
        <v>171</v>
      </c>
      <c r="M14" s="154" t="s">
        <v>172</v>
      </c>
      <c r="N14" s="246" t="s">
        <v>289</v>
      </c>
    </row>
    <row r="15" spans="1:14" ht="15.75">
      <c r="A15" s="4"/>
      <c r="B15" s="178"/>
      <c r="C15" s="238"/>
      <c r="D15" s="270"/>
      <c r="E15" s="272"/>
      <c r="F15" s="271"/>
      <c r="G15" s="271"/>
      <c r="H15" s="271"/>
      <c r="I15" s="273"/>
      <c r="J15" s="207"/>
      <c r="K15" s="207"/>
      <c r="L15" s="207"/>
      <c r="M15" s="207"/>
      <c r="N15" s="328"/>
    </row>
    <row r="16" spans="1:14" ht="15.75">
      <c r="A16" s="4"/>
      <c r="B16" s="74"/>
      <c r="C16" s="284"/>
      <c r="D16" s="276"/>
      <c r="E16" s="325"/>
      <c r="F16" s="322"/>
      <c r="G16" s="324"/>
      <c r="H16" s="324"/>
      <c r="I16" s="277"/>
      <c r="J16" s="323"/>
      <c r="K16" s="322"/>
      <c r="L16" s="324"/>
      <c r="M16" s="324"/>
      <c r="N16" s="306"/>
    </row>
    <row r="17" spans="1:14" ht="15.75">
      <c r="A17" s="4"/>
      <c r="B17" s="74" t="s">
        <v>151</v>
      </c>
      <c r="C17" s="284" t="s">
        <v>855</v>
      </c>
      <c r="D17" s="276">
        <f>+'TYBR Pieces &amp; Pounds'!E19</f>
        <v>11015964.66826623</v>
      </c>
      <c r="E17" s="346">
        <f>'Pound and Piece Charges'!$J$51</f>
        <v>1.8286066209485146</v>
      </c>
      <c r="F17" s="322">
        <f aca="true" t="shared" si="0" ref="F17:F23">+D17*E17</f>
        <v>20143865.928526532</v>
      </c>
      <c r="G17" s="573">
        <v>0</v>
      </c>
      <c r="H17" s="324">
        <f>+D17*G17</f>
        <v>0</v>
      </c>
      <c r="I17" s="277">
        <f>+'TYBR Pieces &amp; Pounds'!P19</f>
        <v>23027309.37083881</v>
      </c>
      <c r="J17" s="323">
        <f>'Pound and Piece Charges'!J17</f>
        <v>0.18913842969087893</v>
      </c>
      <c r="K17" s="322">
        <f>+I17*J17</f>
        <v>4355349.134406514</v>
      </c>
      <c r="L17" s="573">
        <v>0</v>
      </c>
      <c r="M17" s="324">
        <f>+I17*L17</f>
        <v>0</v>
      </c>
      <c r="N17" s="306">
        <f>+F17+H17+K17+M17</f>
        <v>24499215.062933046</v>
      </c>
    </row>
    <row r="18" spans="1:14" ht="15.75">
      <c r="A18" s="4"/>
      <c r="B18" s="74" t="s">
        <v>152</v>
      </c>
      <c r="C18" s="284" t="s">
        <v>856</v>
      </c>
      <c r="D18" s="276">
        <f>+'TYBR Pieces &amp; Pounds'!E20</f>
        <v>3333996.42133731</v>
      </c>
      <c r="E18" s="346">
        <f>'Pound and Piece Charges'!$J$51</f>
        <v>1.8286066209485146</v>
      </c>
      <c r="F18" s="322">
        <f t="shared" si="0"/>
        <v>6096567.930276059</v>
      </c>
      <c r="G18" s="573">
        <f>G17</f>
        <v>0</v>
      </c>
      <c r="H18" s="324">
        <f aca="true" t="shared" si="1" ref="H18:H23">+D18*G18</f>
        <v>0</v>
      </c>
      <c r="I18" s="277">
        <f>+'TYBR Pieces &amp; Pounds'!P20</f>
        <v>7644870.552239637</v>
      </c>
      <c r="J18" s="323">
        <f>'Pound and Piece Charges'!J18</f>
        <v>0.21947661328852197</v>
      </c>
      <c r="K18" s="322">
        <f aca="true" t="shared" si="2" ref="K18:K23">+I18*J18</f>
        <v>1677870.2978347081</v>
      </c>
      <c r="L18" s="573">
        <v>0</v>
      </c>
      <c r="M18" s="324">
        <f aca="true" t="shared" si="3" ref="M18:M23">+I18*L18</f>
        <v>0</v>
      </c>
      <c r="N18" s="306">
        <f aca="true" t="shared" si="4" ref="N18:N23">+F18+H18+K18+M18</f>
        <v>7774438.228110767</v>
      </c>
    </row>
    <row r="19" spans="1:14" ht="15.75">
      <c r="A19" s="4"/>
      <c r="B19" s="74" t="s">
        <v>153</v>
      </c>
      <c r="C19" s="284" t="s">
        <v>857</v>
      </c>
      <c r="D19" s="276">
        <f>+'TYBR Pieces &amp; Pounds'!E21</f>
        <v>4683529.562038933</v>
      </c>
      <c r="E19" s="346">
        <f>'Pound and Piece Charges'!$J$51</f>
        <v>1.8286066209485146</v>
      </c>
      <c r="F19" s="322">
        <f t="shared" si="0"/>
        <v>8564333.16655249</v>
      </c>
      <c r="G19" s="573">
        <f>+G18</f>
        <v>0</v>
      </c>
      <c r="H19" s="324">
        <f t="shared" si="1"/>
        <v>0</v>
      </c>
      <c r="I19" s="277">
        <f>+'TYBR Pieces &amp; Pounds'!P21</f>
        <v>10481081.457167724</v>
      </c>
      <c r="J19" s="323">
        <f>'Pound and Piece Charges'!J19</f>
        <v>0.2552852188050516</v>
      </c>
      <c r="K19" s="322">
        <f t="shared" si="2"/>
        <v>2675665.1731066317</v>
      </c>
      <c r="L19" s="573">
        <v>0</v>
      </c>
      <c r="M19" s="324">
        <f t="shared" si="3"/>
        <v>0</v>
      </c>
      <c r="N19" s="306">
        <f t="shared" si="4"/>
        <v>11239998.33965912</v>
      </c>
    </row>
    <row r="20" spans="1:14" ht="15.75">
      <c r="A20" s="4"/>
      <c r="B20" s="74" t="s">
        <v>154</v>
      </c>
      <c r="C20" s="284" t="s">
        <v>858</v>
      </c>
      <c r="D20" s="276">
        <f>+'TYBR Pieces &amp; Pounds'!E22</f>
        <v>4795448.240695134</v>
      </c>
      <c r="E20" s="346">
        <f>'Pound and Piece Charges'!$J$51</f>
        <v>1.8286066209485146</v>
      </c>
      <c r="F20" s="322">
        <f t="shared" si="0"/>
        <v>8768988.403351028</v>
      </c>
      <c r="G20" s="573">
        <f>+G19</f>
        <v>0</v>
      </c>
      <c r="H20" s="324">
        <f t="shared" si="1"/>
        <v>0</v>
      </c>
      <c r="I20" s="277">
        <f>+'TYBR Pieces &amp; Pounds'!P22</f>
        <v>10884826.568759797</v>
      </c>
      <c r="J20" s="323">
        <f>'Pound and Piece Charges'!J20</f>
        <v>0.3055913654249524</v>
      </c>
      <c r="K20" s="322">
        <f t="shared" si="2"/>
        <v>3326309.013561106</v>
      </c>
      <c r="L20" s="573">
        <v>0</v>
      </c>
      <c r="M20" s="324">
        <f t="shared" si="3"/>
        <v>0</v>
      </c>
      <c r="N20" s="306">
        <f t="shared" si="4"/>
        <v>12095297.416912133</v>
      </c>
    </row>
    <row r="21" spans="1:14" ht="15.75">
      <c r="A21" s="4"/>
      <c r="B21" s="74" t="s">
        <v>155</v>
      </c>
      <c r="C21" s="284" t="s">
        <v>859</v>
      </c>
      <c r="D21" s="276">
        <f>+'TYBR Pieces &amp; Pounds'!E23</f>
        <v>2626471.753881187</v>
      </c>
      <c r="E21" s="346">
        <f>'Pound and Piece Charges'!$J$51</f>
        <v>1.8286066209485146</v>
      </c>
      <c r="F21" s="322">
        <f t="shared" si="0"/>
        <v>4802783.6388813965</v>
      </c>
      <c r="G21" s="573">
        <f>+G20</f>
        <v>0</v>
      </c>
      <c r="H21" s="324">
        <f t="shared" si="1"/>
        <v>0</v>
      </c>
      <c r="I21" s="277">
        <f>+'TYBR Pieces &amp; Pounds'!P23</f>
        <v>5879928.110969135</v>
      </c>
      <c r="J21" s="323">
        <f>'Pound and Piece Charges'!J21</f>
        <v>0.3614786961623224</v>
      </c>
      <c r="K21" s="322">
        <f t="shared" si="2"/>
        <v>2125468.74708131</v>
      </c>
      <c r="L21" s="573">
        <v>0</v>
      </c>
      <c r="M21" s="324">
        <f t="shared" si="3"/>
        <v>0</v>
      </c>
      <c r="N21" s="306">
        <f t="shared" si="4"/>
        <v>6928252.385962706</v>
      </c>
    </row>
    <row r="22" spans="1:14" ht="15.75">
      <c r="A22" s="4"/>
      <c r="B22" s="74" t="s">
        <v>156</v>
      </c>
      <c r="C22" s="284" t="s">
        <v>860</v>
      </c>
      <c r="D22" s="276">
        <f>+'TYBR Pieces &amp; Pounds'!E24</f>
        <v>1591835.8947903942</v>
      </c>
      <c r="E22" s="346">
        <f>'Pound and Piece Charges'!$J$51</f>
        <v>1.8286066209485146</v>
      </c>
      <c r="F22" s="322">
        <f t="shared" si="0"/>
        <v>2910841.656677218</v>
      </c>
      <c r="G22" s="573">
        <f>+G21</f>
        <v>0</v>
      </c>
      <c r="H22" s="324">
        <f t="shared" si="1"/>
        <v>0</v>
      </c>
      <c r="I22" s="277">
        <f>+'TYBR Pieces &amp; Pounds'!P24</f>
        <v>3348834.9293422243</v>
      </c>
      <c r="J22" s="323">
        <f>'Pound and Piece Charges'!J22</f>
        <v>0.41339622406867027</v>
      </c>
      <c r="K22" s="322">
        <f t="shared" si="2"/>
        <v>1384395.7148193477</v>
      </c>
      <c r="L22" s="573">
        <v>0</v>
      </c>
      <c r="M22" s="324">
        <f t="shared" si="3"/>
        <v>0</v>
      </c>
      <c r="N22" s="306">
        <f t="shared" si="4"/>
        <v>4295237.371496566</v>
      </c>
    </row>
    <row r="23" spans="1:14" ht="15.75">
      <c r="A23" s="4"/>
      <c r="B23" s="74" t="s">
        <v>157</v>
      </c>
      <c r="C23" s="284" t="s">
        <v>861</v>
      </c>
      <c r="D23" s="276">
        <f>+'TYBR Pieces &amp; Pounds'!E25</f>
        <v>2938565.034008888</v>
      </c>
      <c r="E23" s="346">
        <f>'Pound and Piece Charges'!$J$51</f>
        <v>1.8286066209485146</v>
      </c>
      <c r="F23" s="322">
        <f t="shared" si="0"/>
        <v>5373479.47727645</v>
      </c>
      <c r="G23" s="573">
        <f>+G22</f>
        <v>0</v>
      </c>
      <c r="H23" s="324">
        <f t="shared" si="1"/>
        <v>0</v>
      </c>
      <c r="I23" s="277">
        <f>+'TYBR Pieces &amp; Pounds'!P25</f>
        <v>6000074.528242384</v>
      </c>
      <c r="J23" s="323">
        <f>'Pound and Piece Charges'!J23</f>
        <v>0.5235262648341457</v>
      </c>
      <c r="K23" s="322">
        <f t="shared" si="2"/>
        <v>3141196.6064972337</v>
      </c>
      <c r="L23" s="573">
        <v>0</v>
      </c>
      <c r="M23" s="324">
        <f t="shared" si="3"/>
        <v>0</v>
      </c>
      <c r="N23" s="306">
        <f t="shared" si="4"/>
        <v>8514676.083773684</v>
      </c>
    </row>
    <row r="24" spans="1:14" ht="15.75">
      <c r="A24" s="4"/>
      <c r="B24" s="74"/>
      <c r="C24" s="284"/>
      <c r="D24" s="276"/>
      <c r="E24" s="325"/>
      <c r="F24" s="324"/>
      <c r="G24" s="324"/>
      <c r="H24" s="324"/>
      <c r="I24" s="277"/>
      <c r="J24" s="347"/>
      <c r="K24" s="324"/>
      <c r="L24" s="324"/>
      <c r="M24" s="324"/>
      <c r="N24" s="306"/>
    </row>
    <row r="25" spans="1:14" ht="15.75">
      <c r="A25" s="4"/>
      <c r="B25" s="74" t="s">
        <v>158</v>
      </c>
      <c r="C25" s="284" t="s">
        <v>395</v>
      </c>
      <c r="D25" s="276">
        <f>SUM(D17:D23)</f>
        <v>30985811.575018074</v>
      </c>
      <c r="E25" s="325"/>
      <c r="F25" s="324">
        <f>SUM(F17:F23)</f>
        <v>56660860.20154118</v>
      </c>
      <c r="G25" s="324"/>
      <c r="H25" s="324">
        <f>SUM(H17:H23)</f>
        <v>0</v>
      </c>
      <c r="I25" s="165">
        <f>SUM(I17:I23)</f>
        <v>67266925.5175597</v>
      </c>
      <c r="J25" s="347"/>
      <c r="K25" s="324">
        <f>SUM(K17:K23)</f>
        <v>18686254.68730685</v>
      </c>
      <c r="L25" s="324"/>
      <c r="M25" s="324">
        <f>SUM(M17:M23)</f>
        <v>0</v>
      </c>
      <c r="N25" s="306">
        <f>SUM(N17:N23)</f>
        <v>75347114.88884802</v>
      </c>
    </row>
    <row r="26" spans="1:14" ht="15.75">
      <c r="A26" s="4"/>
      <c r="B26" s="74"/>
      <c r="C26" s="284"/>
      <c r="D26" s="276"/>
      <c r="E26" s="325"/>
      <c r="F26" s="324"/>
      <c r="G26" s="324"/>
      <c r="H26" s="586"/>
      <c r="I26" s="277"/>
      <c r="J26" s="347"/>
      <c r="K26" s="324"/>
      <c r="L26" s="324"/>
      <c r="M26" s="324"/>
      <c r="N26" s="306"/>
    </row>
    <row r="27" spans="1:14" ht="15.75">
      <c r="A27" s="4"/>
      <c r="B27" s="74"/>
      <c r="C27" s="348"/>
      <c r="D27" s="349"/>
      <c r="E27" s="350"/>
      <c r="F27" s="351"/>
      <c r="G27" s="352"/>
      <c r="H27" s="351"/>
      <c r="I27" s="353"/>
      <c r="J27" s="354"/>
      <c r="K27" s="351"/>
      <c r="L27" s="352"/>
      <c r="M27" s="351"/>
      <c r="N27" s="355"/>
    </row>
    <row r="28" spans="1:14" ht="15.75">
      <c r="A28" s="4"/>
      <c r="B28" s="14"/>
      <c r="C28" s="118"/>
      <c r="D28" s="204"/>
      <c r="E28" s="115"/>
      <c r="F28" s="115"/>
      <c r="G28" s="115"/>
      <c r="H28" s="115"/>
      <c r="I28" s="145"/>
      <c r="J28" s="145"/>
      <c r="K28" s="145"/>
      <c r="L28" s="145"/>
      <c r="M28" s="145"/>
      <c r="N28" s="146"/>
    </row>
    <row r="29" spans="1:14" ht="15.75">
      <c r="A29" s="4"/>
      <c r="B29" s="14"/>
      <c r="C29" s="118" t="s">
        <v>923</v>
      </c>
      <c r="D29" s="204"/>
      <c r="E29" s="115"/>
      <c r="F29" s="115"/>
      <c r="G29" s="115"/>
      <c r="H29" s="115"/>
      <c r="I29" s="145"/>
      <c r="J29" s="145"/>
      <c r="K29" s="145"/>
      <c r="L29" s="145"/>
      <c r="M29" s="145"/>
      <c r="N29" s="146"/>
    </row>
    <row r="30" spans="1:14" ht="16.5" thickBot="1">
      <c r="A30" s="4"/>
      <c r="B30" s="14"/>
      <c r="C30" s="120"/>
      <c r="D30" s="216"/>
      <c r="E30" s="121"/>
      <c r="F30" s="121"/>
      <c r="G30" s="121"/>
      <c r="H30" s="121"/>
      <c r="I30" s="147"/>
      <c r="J30" s="147"/>
      <c r="K30" s="147"/>
      <c r="L30" s="147"/>
      <c r="M30" s="147"/>
      <c r="N30" s="148"/>
    </row>
    <row r="31" spans="1:14" ht="16.5" thickTop="1">
      <c r="A31" s="4"/>
      <c r="B31" s="14"/>
      <c r="C31" s="118"/>
      <c r="D31" s="319"/>
      <c r="E31" s="115"/>
      <c r="F31" s="115"/>
      <c r="G31" s="115"/>
      <c r="H31" s="115"/>
      <c r="I31" s="134"/>
      <c r="J31" s="145"/>
      <c r="K31" s="145"/>
      <c r="L31" s="145"/>
      <c r="M31" s="145"/>
      <c r="N31" s="320"/>
    </row>
    <row r="32" spans="1:14" ht="18.75">
      <c r="A32" s="4"/>
      <c r="B32" s="14"/>
      <c r="C32" s="118"/>
      <c r="D32" s="699" t="s">
        <v>414</v>
      </c>
      <c r="E32" s="700"/>
      <c r="F32" s="700"/>
      <c r="G32" s="149"/>
      <c r="H32" s="149"/>
      <c r="I32" s="699" t="s">
        <v>413</v>
      </c>
      <c r="J32" s="700"/>
      <c r="K32" s="700"/>
      <c r="L32" s="700"/>
      <c r="M32" s="703"/>
      <c r="N32" s="254" t="s">
        <v>875</v>
      </c>
    </row>
    <row r="33" spans="1:14" ht="15.75">
      <c r="A33" s="4"/>
      <c r="B33" s="178"/>
      <c r="C33" s="153"/>
      <c r="D33" s="159"/>
      <c r="E33" s="82"/>
      <c r="F33" s="155"/>
      <c r="G33" s="155"/>
      <c r="H33" s="155"/>
      <c r="I33" s="154"/>
      <c r="J33" s="82"/>
      <c r="K33" s="82"/>
      <c r="L33" s="82"/>
      <c r="M33" s="155"/>
      <c r="N33" s="193" t="s">
        <v>844</v>
      </c>
    </row>
    <row r="34" spans="1:14" ht="18.75">
      <c r="A34" s="4"/>
      <c r="B34" s="178"/>
      <c r="C34" s="156"/>
      <c r="D34" s="157"/>
      <c r="E34" s="157" t="s">
        <v>885</v>
      </c>
      <c r="F34" s="127"/>
      <c r="G34" s="157" t="s">
        <v>885</v>
      </c>
      <c r="H34" s="127" t="s">
        <v>920</v>
      </c>
      <c r="I34" s="127"/>
      <c r="J34" s="157" t="s">
        <v>886</v>
      </c>
      <c r="K34" s="127"/>
      <c r="L34" s="127" t="s">
        <v>886</v>
      </c>
      <c r="M34" s="127" t="s">
        <v>920</v>
      </c>
      <c r="N34" s="193" t="s">
        <v>288</v>
      </c>
    </row>
    <row r="35" spans="1:14" ht="15.75">
      <c r="A35" s="4"/>
      <c r="B35" s="178"/>
      <c r="C35" s="156"/>
      <c r="D35" s="157" t="s">
        <v>839</v>
      </c>
      <c r="E35" s="157" t="s">
        <v>884</v>
      </c>
      <c r="F35" s="127" t="s">
        <v>920</v>
      </c>
      <c r="G35" s="157" t="s">
        <v>949</v>
      </c>
      <c r="H35" s="127" t="s">
        <v>823</v>
      </c>
      <c r="I35" s="127" t="s">
        <v>840</v>
      </c>
      <c r="J35" s="127" t="s">
        <v>884</v>
      </c>
      <c r="K35" s="127" t="s">
        <v>920</v>
      </c>
      <c r="L35" s="127" t="s">
        <v>949</v>
      </c>
      <c r="M35" s="127" t="s">
        <v>823</v>
      </c>
      <c r="N35" s="193"/>
    </row>
    <row r="36" spans="1:14" ht="15.75">
      <c r="A36" s="4"/>
      <c r="B36" s="178"/>
      <c r="C36" s="81"/>
      <c r="D36" s="269" t="s">
        <v>163</v>
      </c>
      <c r="E36" s="158" t="s">
        <v>164</v>
      </c>
      <c r="F36" s="159" t="s">
        <v>165</v>
      </c>
      <c r="G36" s="159" t="s">
        <v>166</v>
      </c>
      <c r="H36" s="159" t="s">
        <v>167</v>
      </c>
      <c r="I36" s="154" t="s">
        <v>168</v>
      </c>
      <c r="J36" s="154" t="s">
        <v>169</v>
      </c>
      <c r="K36" s="154" t="s">
        <v>170</v>
      </c>
      <c r="L36" s="154" t="s">
        <v>171</v>
      </c>
      <c r="M36" s="154" t="s">
        <v>172</v>
      </c>
      <c r="N36" s="246" t="s">
        <v>289</v>
      </c>
    </row>
    <row r="37" spans="1:14" ht="15.75">
      <c r="A37" s="4"/>
      <c r="B37" s="178"/>
      <c r="C37" s="238"/>
      <c r="D37" s="270"/>
      <c r="E37" s="272"/>
      <c r="F37" s="271"/>
      <c r="G37" s="271"/>
      <c r="H37" s="271"/>
      <c r="I37" s="273"/>
      <c r="J37" s="207"/>
      <c r="K37" s="207"/>
      <c r="L37" s="207"/>
      <c r="M37" s="207"/>
      <c r="N37" s="328"/>
    </row>
    <row r="38" spans="1:14" ht="15.75">
      <c r="A38" s="4"/>
      <c r="B38" s="74"/>
      <c r="C38" s="284" t="s">
        <v>957</v>
      </c>
      <c r="D38" s="276"/>
      <c r="E38" s="325"/>
      <c r="F38" s="322"/>
      <c r="G38" s="324"/>
      <c r="H38" s="324"/>
      <c r="I38" s="277"/>
      <c r="J38" s="323"/>
      <c r="K38" s="322"/>
      <c r="L38" s="324"/>
      <c r="M38" s="324"/>
      <c r="N38" s="306"/>
    </row>
    <row r="39" spans="1:14" ht="15.75">
      <c r="A39" s="4"/>
      <c r="B39" s="74" t="s">
        <v>159</v>
      </c>
      <c r="C39" s="284" t="s">
        <v>934</v>
      </c>
      <c r="D39" s="276">
        <f>+'Revenue Leakages'!D25</f>
        <v>186634043.4318552</v>
      </c>
      <c r="E39" s="346">
        <f>'Pound and Piece Charges'!$J$53-'Revenue Leakages'!G25</f>
        <v>1.0957639797764376</v>
      </c>
      <c r="F39" s="322">
        <f aca="true" t="shared" si="5" ref="F39:F55">+D39*E39</f>
        <v>204506862.19265816</v>
      </c>
      <c r="G39" s="573">
        <v>0</v>
      </c>
      <c r="H39" s="324">
        <f>+D39*G39</f>
        <v>0</v>
      </c>
      <c r="I39" s="277">
        <f>+'Pound and Piece Charges'!G35</f>
        <v>541139130.5355133</v>
      </c>
      <c r="J39" s="323">
        <f>+'Pound and Piece Charges'!J35</f>
        <v>0.08980446876573056</v>
      </c>
      <c r="K39" s="322">
        <f>+I39*J39</f>
        <v>48596712.146091096</v>
      </c>
      <c r="L39" s="573">
        <v>0</v>
      </c>
      <c r="M39" s="324">
        <f aca="true" t="shared" si="6" ref="M39:M55">+I39*L39</f>
        <v>0</v>
      </c>
      <c r="N39" s="306">
        <f>+F39+H39+K39+M39</f>
        <v>253103574.33874926</v>
      </c>
    </row>
    <row r="40" spans="1:14" ht="15.75">
      <c r="A40" s="4"/>
      <c r="B40" s="74" t="s">
        <v>160</v>
      </c>
      <c r="C40" s="284" t="s">
        <v>935</v>
      </c>
      <c r="D40" s="276">
        <f>+'Revenue Leakages'!D26</f>
        <v>43375947.232568726</v>
      </c>
      <c r="E40" s="346">
        <f>'Pound and Piece Charges'!$J$53-'Revenue Leakages'!G26</f>
        <v>1.0957639797764376</v>
      </c>
      <c r="F40" s="322">
        <f t="shared" si="5"/>
        <v>47529800.56613226</v>
      </c>
      <c r="G40" s="573">
        <v>0</v>
      </c>
      <c r="H40" s="324">
        <f aca="true" t="shared" si="7" ref="H40:H55">+D40*G40</f>
        <v>0</v>
      </c>
      <c r="I40" s="277">
        <f>+'Pound and Piece Charges'!G36</f>
        <v>114192704.3050233</v>
      </c>
      <c r="J40" s="323">
        <f>+'Pound and Piece Charges'!J36</f>
        <v>0.13001973612566256</v>
      </c>
      <c r="K40" s="322">
        <f aca="true" t="shared" si="8" ref="K40:K55">+I40*J40</f>
        <v>14847305.28121494</v>
      </c>
      <c r="L40" s="573">
        <v>0</v>
      </c>
      <c r="M40" s="324">
        <f t="shared" si="6"/>
        <v>0</v>
      </c>
      <c r="N40" s="306">
        <f aca="true" t="shared" si="9" ref="N40:N55">+F40+H40+K40+M40</f>
        <v>62377105.8473472</v>
      </c>
    </row>
    <row r="41" spans="1:14" ht="15.75">
      <c r="A41" s="4"/>
      <c r="B41" s="74" t="s">
        <v>161</v>
      </c>
      <c r="C41" s="284" t="s">
        <v>936</v>
      </c>
      <c r="D41" s="276">
        <f>+'Revenue Leakages'!D27</f>
        <v>9489193.751688225</v>
      </c>
      <c r="E41" s="346">
        <f>'Pound and Piece Charges'!$J$53-'Revenue Leakages'!G27</f>
        <v>1.0957639797764376</v>
      </c>
      <c r="F41" s="322">
        <f t="shared" si="5"/>
        <v>10397916.710219594</v>
      </c>
      <c r="G41" s="573">
        <f>+G40</f>
        <v>0</v>
      </c>
      <c r="H41" s="324">
        <f t="shared" si="7"/>
        <v>0</v>
      </c>
      <c r="I41" s="277">
        <f>+'Pound and Piece Charges'!G37</f>
        <v>24757386.951961923</v>
      </c>
      <c r="J41" s="323">
        <f>+'Pound and Piece Charges'!J37</f>
        <v>0.1718862899691944</v>
      </c>
      <c r="K41" s="322">
        <f t="shared" si="8"/>
        <v>4255455.392504477</v>
      </c>
      <c r="L41" s="573">
        <v>0</v>
      </c>
      <c r="M41" s="324">
        <f t="shared" si="6"/>
        <v>0</v>
      </c>
      <c r="N41" s="306">
        <f t="shared" si="9"/>
        <v>14653372.102724072</v>
      </c>
    </row>
    <row r="42" spans="1:14" ht="15.75">
      <c r="A42" s="4"/>
      <c r="B42" s="74" t="s">
        <v>162</v>
      </c>
      <c r="C42" s="284" t="s">
        <v>937</v>
      </c>
      <c r="D42" s="276">
        <f>+'Revenue Leakages'!D28</f>
        <v>393913.68210630736</v>
      </c>
      <c r="E42" s="346">
        <f>'Pound and Piece Charges'!$J$53-'Revenue Leakages'!G28</f>
        <v>1.0957639797764376</v>
      </c>
      <c r="F42" s="322">
        <f t="shared" si="5"/>
        <v>431636.42399319785</v>
      </c>
      <c r="G42" s="573">
        <f>+G41</f>
        <v>0</v>
      </c>
      <c r="H42" s="324">
        <f t="shared" si="7"/>
        <v>0</v>
      </c>
      <c r="I42" s="277">
        <f>+'Pound and Piece Charges'!G38</f>
        <v>684624.3614090219</v>
      </c>
      <c r="J42" s="323">
        <f>+'Pound and Piece Charges'!J38</f>
        <v>0.22899593222533185</v>
      </c>
      <c r="K42" s="322">
        <f t="shared" si="8"/>
        <v>156776.19386503147</v>
      </c>
      <c r="L42" s="573">
        <v>0</v>
      </c>
      <c r="M42" s="324">
        <f t="shared" si="6"/>
        <v>0</v>
      </c>
      <c r="N42" s="306">
        <f t="shared" si="9"/>
        <v>588412.6178582293</v>
      </c>
    </row>
    <row r="43" spans="1:14" ht="15.75">
      <c r="A43" s="4"/>
      <c r="B43" s="74"/>
      <c r="C43" s="284"/>
      <c r="D43" s="276"/>
      <c r="E43" s="346"/>
      <c r="F43" s="322"/>
      <c r="G43" s="573"/>
      <c r="H43" s="324"/>
      <c r="I43" s="277"/>
      <c r="J43" s="323"/>
      <c r="K43" s="322"/>
      <c r="L43" s="573"/>
      <c r="M43" s="324"/>
      <c r="N43" s="306"/>
    </row>
    <row r="44" spans="1:14" ht="15.75">
      <c r="A44" s="4"/>
      <c r="B44" s="74" t="s">
        <v>173</v>
      </c>
      <c r="C44" s="284" t="s">
        <v>958</v>
      </c>
      <c r="D44" s="276">
        <f>+'Revenue Leakages'!D29</f>
        <v>203880332.0357691</v>
      </c>
      <c r="E44" s="346">
        <f>'Pound and Piece Charges'!$J$53-'Revenue Leakages'!G29</f>
        <v>0.75499500205671</v>
      </c>
      <c r="F44" s="322">
        <f t="shared" si="5"/>
        <v>153928631.70466822</v>
      </c>
      <c r="G44" s="573">
        <v>0</v>
      </c>
      <c r="H44" s="324">
        <f t="shared" si="7"/>
        <v>0</v>
      </c>
      <c r="I44" s="277">
        <f>+'Pound and Piece Charges'!G39</f>
        <v>381157986.78737587</v>
      </c>
      <c r="J44" s="323">
        <f>+'Pound and Piece Charges'!J39</f>
        <v>0.08590873232446705</v>
      </c>
      <c r="K44" s="322">
        <f t="shared" si="8"/>
        <v>32744799.460249424</v>
      </c>
      <c r="L44" s="573">
        <v>0</v>
      </c>
      <c r="M44" s="324">
        <f t="shared" si="6"/>
        <v>0</v>
      </c>
      <c r="N44" s="306">
        <f t="shared" si="9"/>
        <v>186673431.16491765</v>
      </c>
    </row>
    <row r="45" spans="1:14" ht="15.75">
      <c r="A45" s="4"/>
      <c r="B45" s="74"/>
      <c r="C45" s="284"/>
      <c r="D45" s="276"/>
      <c r="E45" s="346"/>
      <c r="F45" s="322"/>
      <c r="G45" s="573"/>
      <c r="H45" s="324"/>
      <c r="I45" s="277"/>
      <c r="J45" s="323"/>
      <c r="K45" s="322"/>
      <c r="L45" s="573"/>
      <c r="M45" s="324"/>
      <c r="N45" s="306"/>
    </row>
    <row r="46" spans="1:14" ht="15.75">
      <c r="A46" s="4"/>
      <c r="B46" s="74" t="s">
        <v>174</v>
      </c>
      <c r="C46" s="284" t="s">
        <v>959</v>
      </c>
      <c r="D46" s="276">
        <f>+'Revenue Leakages'!D30</f>
        <v>71320175.66892938</v>
      </c>
      <c r="E46" s="346">
        <f>'Pound and Piece Charges'!$J$53-'Revenue Leakages'!G30</f>
        <v>0.6836749648087058</v>
      </c>
      <c r="F46" s="322">
        <f t="shared" si="5"/>
        <v>48759818.59060601</v>
      </c>
      <c r="G46" s="573">
        <v>0</v>
      </c>
      <c r="H46" s="324">
        <f t="shared" si="7"/>
        <v>0</v>
      </c>
      <c r="I46" s="277">
        <f>+'Pound and Piece Charges'!G40</f>
        <v>180114131.78662694</v>
      </c>
      <c r="J46" s="323">
        <f>+'Pound and Piece Charges'!J40</f>
        <v>0.041579234248762593</v>
      </c>
      <c r="K46" s="322">
        <f t="shared" si="8"/>
        <v>7489007.677068658</v>
      </c>
      <c r="L46" s="573">
        <v>0</v>
      </c>
      <c r="M46" s="324">
        <f t="shared" si="6"/>
        <v>0</v>
      </c>
      <c r="N46" s="306">
        <f t="shared" si="9"/>
        <v>56248826.26767467</v>
      </c>
    </row>
    <row r="47" spans="1:14" ht="15.75">
      <c r="A47" s="4"/>
      <c r="B47" s="74"/>
      <c r="C47" s="284"/>
      <c r="D47" s="276"/>
      <c r="E47" s="346"/>
      <c r="F47" s="322"/>
      <c r="G47" s="573"/>
      <c r="H47" s="324"/>
      <c r="I47" s="277"/>
      <c r="J47" s="323"/>
      <c r="K47" s="322"/>
      <c r="L47" s="573"/>
      <c r="M47" s="324"/>
      <c r="N47" s="306"/>
    </row>
    <row r="48" spans="1:14" ht="15.75">
      <c r="A48" s="4"/>
      <c r="B48" s="74"/>
      <c r="C48" s="284" t="s">
        <v>824</v>
      </c>
      <c r="D48" s="276"/>
      <c r="E48" s="346"/>
      <c r="F48" s="322"/>
      <c r="G48" s="573"/>
      <c r="H48" s="324"/>
      <c r="I48" s="277"/>
      <c r="J48" s="323"/>
      <c r="K48" s="322"/>
      <c r="L48" s="573"/>
      <c r="M48" s="324"/>
      <c r="N48" s="306"/>
    </row>
    <row r="49" spans="1:14" ht="15.75">
      <c r="A49" s="4"/>
      <c r="B49" s="74" t="s">
        <v>176</v>
      </c>
      <c r="C49" s="284" t="s">
        <v>934</v>
      </c>
      <c r="D49" s="276">
        <f>+'TYBR Pieces &amp; Pounds'!H19-D39-D44-D46</f>
        <v>19693612.452083424</v>
      </c>
      <c r="E49" s="346">
        <f>+'Pound and Piece Charges'!$J$53</f>
        <v>1.4012588575741125</v>
      </c>
      <c r="F49" s="322">
        <f t="shared" si="5"/>
        <v>27595848.886113733</v>
      </c>
      <c r="G49" s="573">
        <v>0</v>
      </c>
      <c r="H49" s="324">
        <f t="shared" si="7"/>
        <v>0</v>
      </c>
      <c r="I49" s="277">
        <f>+'TYBR Pieces &amp; Pounds'!Q19-I39-I44-I46</f>
        <v>40423899.20279771</v>
      </c>
      <c r="J49" s="323">
        <f>+'Pound and Piece Charges'!J26</f>
        <v>0.12987584426620574</v>
      </c>
      <c r="K49" s="322">
        <f t="shared" si="8"/>
        <v>5250088.037495354</v>
      </c>
      <c r="L49" s="573">
        <v>0</v>
      </c>
      <c r="M49" s="324">
        <f t="shared" si="6"/>
        <v>0</v>
      </c>
      <c r="N49" s="306">
        <f t="shared" si="9"/>
        <v>32845936.923609085</v>
      </c>
    </row>
    <row r="50" spans="1:14" ht="15.75">
      <c r="A50" s="4"/>
      <c r="B50" s="74" t="s">
        <v>177</v>
      </c>
      <c r="C50" s="284" t="s">
        <v>935</v>
      </c>
      <c r="D50" s="276">
        <f>+'TYBR Pieces &amp; Pounds'!H20-D40</f>
        <v>12291622.909482688</v>
      </c>
      <c r="E50" s="346">
        <f>+'Pound and Piece Charges'!$J$53</f>
        <v>1.4012588575741125</v>
      </c>
      <c r="F50" s="322">
        <f t="shared" si="5"/>
        <v>17223745.4758735</v>
      </c>
      <c r="G50" s="573">
        <f aca="true" t="shared" si="10" ref="G50:G55">+G49</f>
        <v>0</v>
      </c>
      <c r="H50" s="324">
        <f t="shared" si="7"/>
        <v>0</v>
      </c>
      <c r="I50" s="277">
        <f>+'TYBR Pieces &amp; Pounds'!Q20-I40</f>
        <v>25973153.30596392</v>
      </c>
      <c r="J50" s="323">
        <f>+'Pound and Piece Charges'!J27</f>
        <v>0.15556084856763824</v>
      </c>
      <c r="K50" s="322">
        <f t="shared" si="8"/>
        <v>4040405.7682531057</v>
      </c>
      <c r="L50" s="573">
        <v>0</v>
      </c>
      <c r="M50" s="324">
        <f t="shared" si="6"/>
        <v>0</v>
      </c>
      <c r="N50" s="306">
        <f t="shared" si="9"/>
        <v>21264151.244126607</v>
      </c>
    </row>
    <row r="51" spans="1:14" ht="15.75">
      <c r="A51" s="4"/>
      <c r="B51" s="74" t="s">
        <v>183</v>
      </c>
      <c r="C51" s="284" t="s">
        <v>936</v>
      </c>
      <c r="D51" s="276">
        <f>+'TYBR Pieces &amp; Pounds'!H21-D41</f>
        <v>19293245.394072548</v>
      </c>
      <c r="E51" s="346">
        <f>+'Pound and Piece Charges'!$J$53</f>
        <v>1.4012588575741125</v>
      </c>
      <c r="F51" s="322">
        <f t="shared" si="5"/>
        <v>27034830.999795105</v>
      </c>
      <c r="G51" s="573">
        <f t="shared" si="10"/>
        <v>0</v>
      </c>
      <c r="H51" s="324">
        <f t="shared" si="7"/>
        <v>0</v>
      </c>
      <c r="I51" s="277">
        <f>+'TYBR Pieces &amp; Pounds'!Q21-I41</f>
        <v>40710116.96697286</v>
      </c>
      <c r="J51" s="323">
        <f>+'Pound and Piece Charges'!J28</f>
        <v>0.20380797851602048</v>
      </c>
      <c r="K51" s="322">
        <f t="shared" si="8"/>
        <v>8297046.644189485</v>
      </c>
      <c r="L51" s="573">
        <v>0</v>
      </c>
      <c r="M51" s="324">
        <f t="shared" si="6"/>
        <v>0</v>
      </c>
      <c r="N51" s="306">
        <f t="shared" si="9"/>
        <v>35331877.64398459</v>
      </c>
    </row>
    <row r="52" spans="1:14" ht="15.75">
      <c r="A52" s="4"/>
      <c r="B52" s="74" t="s">
        <v>285</v>
      </c>
      <c r="C52" s="284" t="s">
        <v>937</v>
      </c>
      <c r="D52" s="276">
        <f>+'TYBR Pieces &amp; Pounds'!H22-D42</f>
        <v>19709337.962968428</v>
      </c>
      <c r="E52" s="346">
        <f>+'Pound and Piece Charges'!$J$53</f>
        <v>1.4012588575741125</v>
      </c>
      <c r="F52" s="322">
        <f t="shared" si="5"/>
        <v>27617884.397531226</v>
      </c>
      <c r="G52" s="573">
        <f t="shared" si="10"/>
        <v>0</v>
      </c>
      <c r="H52" s="324">
        <f t="shared" si="7"/>
        <v>0</v>
      </c>
      <c r="I52" s="277">
        <f>+'TYBR Pieces &amp; Pounds'!Q22-I42</f>
        <v>38203703.17428598</v>
      </c>
      <c r="J52" s="323">
        <f>+'Pound and Piece Charges'!J29</f>
        <v>0.25886981983436524</v>
      </c>
      <c r="K52" s="322">
        <f t="shared" si="8"/>
        <v>9889785.757732978</v>
      </c>
      <c r="L52" s="573">
        <v>0</v>
      </c>
      <c r="M52" s="324">
        <f t="shared" si="6"/>
        <v>0</v>
      </c>
      <c r="N52" s="306">
        <f t="shared" si="9"/>
        <v>37507670.155264206</v>
      </c>
    </row>
    <row r="53" spans="1:14" ht="15.75">
      <c r="A53" s="4"/>
      <c r="B53" s="74" t="s">
        <v>286</v>
      </c>
      <c r="C53" s="284" t="s">
        <v>952</v>
      </c>
      <c r="D53" s="276">
        <f>+'TYBR Pieces &amp; Pounds'!H23</f>
        <v>10756355.46062657</v>
      </c>
      <c r="E53" s="346">
        <f>+'Pound and Piece Charges'!$J$53</f>
        <v>1.4012588575741125</v>
      </c>
      <c r="F53" s="322">
        <f t="shared" si="5"/>
        <v>15072438.364418656</v>
      </c>
      <c r="G53" s="573">
        <f t="shared" si="10"/>
        <v>0</v>
      </c>
      <c r="H53" s="324">
        <f t="shared" si="7"/>
        <v>0</v>
      </c>
      <c r="I53" s="277">
        <f>+'TYBR Pieces &amp; Pounds'!Q23</f>
        <v>20532601.96631721</v>
      </c>
      <c r="J53" s="323">
        <f>+'Pound and Piece Charges'!J30</f>
        <v>0.3216634779593253</v>
      </c>
      <c r="K53" s="322">
        <f t="shared" si="8"/>
        <v>6604588.160040076</v>
      </c>
      <c r="L53" s="573">
        <v>0</v>
      </c>
      <c r="M53" s="324">
        <f t="shared" si="6"/>
        <v>0</v>
      </c>
      <c r="N53" s="306">
        <f t="shared" si="9"/>
        <v>21677026.524458732</v>
      </c>
    </row>
    <row r="54" spans="1:14" ht="15.75">
      <c r="A54" s="4"/>
      <c r="B54" s="74" t="s">
        <v>966</v>
      </c>
      <c r="C54" s="284" t="s">
        <v>953</v>
      </c>
      <c r="D54" s="276">
        <f>+'TYBR Pieces &amp; Pounds'!H24</f>
        <v>7208352.464952896</v>
      </c>
      <c r="E54" s="346">
        <f>+'Pound and Piece Charges'!$J$53</f>
        <v>1.4012588575741125</v>
      </c>
      <c r="F54" s="322">
        <f t="shared" si="5"/>
        <v>10100767.740031434</v>
      </c>
      <c r="G54" s="573">
        <f t="shared" si="10"/>
        <v>0</v>
      </c>
      <c r="H54" s="324">
        <f t="shared" si="7"/>
        <v>0</v>
      </c>
      <c r="I54" s="277">
        <f>+'TYBR Pieces &amp; Pounds'!Q24</f>
        <v>13996951.193659572</v>
      </c>
      <c r="J54" s="323">
        <f>+'Pound and Piece Charges'!J31</f>
        <v>0.3713374878665048</v>
      </c>
      <c r="K54" s="322">
        <f t="shared" si="8"/>
        <v>5197592.6940436205</v>
      </c>
      <c r="L54" s="573">
        <v>0</v>
      </c>
      <c r="M54" s="324">
        <f t="shared" si="6"/>
        <v>0</v>
      </c>
      <c r="N54" s="306">
        <f t="shared" si="9"/>
        <v>15298360.434075054</v>
      </c>
    </row>
    <row r="55" spans="1:14" ht="15.75">
      <c r="A55" s="4"/>
      <c r="B55" s="74" t="s">
        <v>967</v>
      </c>
      <c r="C55" s="284" t="s">
        <v>954</v>
      </c>
      <c r="D55" s="276">
        <f>+'TYBR Pieces &amp; Pounds'!H25</f>
        <v>13752940.614915464</v>
      </c>
      <c r="E55" s="346">
        <f>+'Pound and Piece Charges'!$J$53</f>
        <v>1.4012588575741125</v>
      </c>
      <c r="F55" s="322">
        <f t="shared" si="5"/>
        <v>19271429.854341056</v>
      </c>
      <c r="G55" s="573">
        <f t="shared" si="10"/>
        <v>0</v>
      </c>
      <c r="H55" s="324">
        <f t="shared" si="7"/>
        <v>0</v>
      </c>
      <c r="I55" s="277">
        <f>+'TYBR Pieces &amp; Pounds'!Q25</f>
        <v>24315212.359793335</v>
      </c>
      <c r="J55" s="323">
        <f>+'Pound and Piece Charges'!J32</f>
        <v>0.49193055328516794</v>
      </c>
      <c r="K55" s="322">
        <f t="shared" si="8"/>
        <v>11961395.86939949</v>
      </c>
      <c r="L55" s="573">
        <v>0</v>
      </c>
      <c r="M55" s="324">
        <f t="shared" si="6"/>
        <v>0</v>
      </c>
      <c r="N55" s="306">
        <f t="shared" si="9"/>
        <v>31232825.723740548</v>
      </c>
    </row>
    <row r="56" spans="1:14" ht="15.75">
      <c r="A56" s="4"/>
      <c r="B56" s="74"/>
      <c r="C56" s="284"/>
      <c r="D56" s="276"/>
      <c r="E56" s="325"/>
      <c r="F56" s="324"/>
      <c r="G56" s="324"/>
      <c r="H56" s="324"/>
      <c r="I56" s="277"/>
      <c r="J56" s="347"/>
      <c r="K56" s="324"/>
      <c r="L56" s="324"/>
      <c r="M56" s="324"/>
      <c r="N56" s="306"/>
    </row>
    <row r="57" spans="1:14" ht="15.75">
      <c r="A57" s="4"/>
      <c r="B57" s="74" t="s">
        <v>669</v>
      </c>
      <c r="C57" s="284" t="s">
        <v>395</v>
      </c>
      <c r="D57" s="276">
        <f>SUM(D39:D55)</f>
        <v>617799073.0620191</v>
      </c>
      <c r="E57" s="325"/>
      <c r="F57" s="324">
        <f>SUM(F39:F55)</f>
        <v>609471611.9063822</v>
      </c>
      <c r="G57" s="324"/>
      <c r="H57" s="324">
        <f>SUM(H39:H55)</f>
        <v>0</v>
      </c>
      <c r="I57" s="165">
        <f>SUM(I39:I55)</f>
        <v>1446201602.897701</v>
      </c>
      <c r="J57" s="347"/>
      <c r="K57" s="324">
        <f>SUM(K39:K55)</f>
        <v>159330959.08214772</v>
      </c>
      <c r="L57" s="324"/>
      <c r="M57" s="324">
        <f>SUM(M39:M55)</f>
        <v>0</v>
      </c>
      <c r="N57" s="306">
        <f>SUM(N39:N55)</f>
        <v>768802570.9885299</v>
      </c>
    </row>
    <row r="58" spans="1:14" ht="15.75">
      <c r="A58" s="4"/>
      <c r="B58" s="74"/>
      <c r="C58" s="284"/>
      <c r="D58" s="276"/>
      <c r="E58" s="325"/>
      <c r="F58" s="324"/>
      <c r="G58" s="324"/>
      <c r="H58" s="588"/>
      <c r="I58" s="277"/>
      <c r="J58" s="347"/>
      <c r="K58" s="324"/>
      <c r="L58" s="324"/>
      <c r="M58" s="324"/>
      <c r="N58" s="306"/>
    </row>
    <row r="59" spans="1:14" ht="16.5" thickBot="1">
      <c r="A59" s="179"/>
      <c r="B59" s="295"/>
      <c r="C59" s="291"/>
      <c r="D59" s="356"/>
      <c r="E59" s="357"/>
      <c r="F59" s="358"/>
      <c r="G59" s="358"/>
      <c r="H59" s="358"/>
      <c r="I59" s="359"/>
      <c r="J59" s="360"/>
      <c r="K59" s="358"/>
      <c r="L59" s="358"/>
      <c r="M59" s="358"/>
      <c r="N59" s="361"/>
    </row>
    <row r="60" spans="1:14" ht="15.75">
      <c r="A60" s="173"/>
      <c r="B60" s="383"/>
      <c r="C60" s="362"/>
      <c r="D60" s="584"/>
      <c r="E60" s="584"/>
      <c r="F60" s="584"/>
      <c r="G60" s="584"/>
      <c r="H60" s="584"/>
      <c r="I60" s="584"/>
      <c r="J60" s="584"/>
      <c r="K60" s="572"/>
      <c r="L60" s="363"/>
      <c r="M60" s="363"/>
      <c r="N60" s="364"/>
    </row>
    <row r="61" spans="1:14" ht="15.75">
      <c r="A61" s="4"/>
      <c r="B61" s="74"/>
      <c r="C61" s="213" t="s">
        <v>811</v>
      </c>
      <c r="D61" s="585"/>
      <c r="E61" s="585"/>
      <c r="F61" s="585"/>
      <c r="G61" s="585"/>
      <c r="H61" s="585"/>
      <c r="I61" s="585"/>
      <c r="J61" s="585"/>
      <c r="K61" s="367"/>
      <c r="L61" s="367"/>
      <c r="M61" s="367"/>
      <c r="N61" s="370"/>
    </row>
    <row r="62" spans="1:14" ht="16.5" thickBot="1">
      <c r="A62" s="4"/>
      <c r="B62" s="74"/>
      <c r="C62" s="371"/>
      <c r="D62" s="372"/>
      <c r="E62" s="373"/>
      <c r="F62" s="374"/>
      <c r="G62" s="374"/>
      <c r="H62" s="374"/>
      <c r="I62" s="375"/>
      <c r="J62" s="376"/>
      <c r="K62" s="374"/>
      <c r="L62" s="374"/>
      <c r="M62" s="374"/>
      <c r="N62" s="377"/>
    </row>
    <row r="63" spans="1:14" ht="16.5" thickTop="1">
      <c r="A63" s="4"/>
      <c r="B63" s="74"/>
      <c r="C63" s="284" t="s">
        <v>991</v>
      </c>
      <c r="D63" s="365"/>
      <c r="E63" s="366"/>
      <c r="F63" s="367"/>
      <c r="G63" s="367"/>
      <c r="H63" s="367"/>
      <c r="I63" s="368"/>
      <c r="J63" s="369"/>
      <c r="K63" s="367"/>
      <c r="L63" s="367"/>
      <c r="M63" s="367"/>
      <c r="N63" s="370"/>
    </row>
    <row r="64" spans="1:14" ht="15.75">
      <c r="A64" s="4"/>
      <c r="B64" s="74"/>
      <c r="C64" s="284" t="s">
        <v>1001</v>
      </c>
      <c r="D64" s="365"/>
      <c r="E64" s="366"/>
      <c r="F64" s="367"/>
      <c r="G64" s="367"/>
      <c r="H64" s="367"/>
      <c r="I64" s="368"/>
      <c r="J64" s="369"/>
      <c r="K64" s="367"/>
      <c r="L64" s="367"/>
      <c r="M64" s="367"/>
      <c r="N64" s="370"/>
    </row>
    <row r="65" spans="1:14" ht="15.75">
      <c r="A65" s="4"/>
      <c r="B65" s="74"/>
      <c r="C65" s="284" t="s">
        <v>1000</v>
      </c>
      <c r="D65" s="365"/>
      <c r="E65" s="366"/>
      <c r="F65" s="367"/>
      <c r="G65" s="367"/>
      <c r="H65" s="367"/>
      <c r="I65" s="368"/>
      <c r="J65" s="369"/>
      <c r="K65" s="367"/>
      <c r="L65" s="367"/>
      <c r="M65" s="367"/>
      <c r="N65" s="370"/>
    </row>
    <row r="66" spans="1:14" ht="15.75">
      <c r="A66" s="4"/>
      <c r="B66" s="74"/>
      <c r="C66" s="284" t="s">
        <v>1002</v>
      </c>
      <c r="D66" s="365"/>
      <c r="E66" s="366"/>
      <c r="F66" s="367"/>
      <c r="G66" s="367"/>
      <c r="H66" s="367"/>
      <c r="I66" s="368"/>
      <c r="J66" s="369"/>
      <c r="K66" s="367"/>
      <c r="L66" s="367"/>
      <c r="M66" s="367"/>
      <c r="N66" s="370"/>
    </row>
    <row r="67" spans="1:14" ht="15.75">
      <c r="A67" s="4"/>
      <c r="B67" s="74"/>
      <c r="C67" s="284" t="s">
        <v>1003</v>
      </c>
      <c r="D67" s="365"/>
      <c r="E67" s="366"/>
      <c r="F67" s="367"/>
      <c r="G67" s="367"/>
      <c r="H67" s="367"/>
      <c r="I67" s="368"/>
      <c r="J67" s="369"/>
      <c r="K67" s="367"/>
      <c r="L67" s="367"/>
      <c r="M67" s="367"/>
      <c r="N67" s="370"/>
    </row>
    <row r="68" spans="1:14" ht="15.75">
      <c r="A68" s="4"/>
      <c r="B68" s="74"/>
      <c r="C68" s="284" t="s">
        <v>1004</v>
      </c>
      <c r="D68" s="365"/>
      <c r="E68" s="366"/>
      <c r="F68" s="367"/>
      <c r="G68" s="367"/>
      <c r="H68" s="367"/>
      <c r="I68" s="368"/>
      <c r="J68" s="369"/>
      <c r="K68" s="367"/>
      <c r="L68" s="367"/>
      <c r="M68" s="367"/>
      <c r="N68" s="370"/>
    </row>
    <row r="69" spans="1:14" ht="15.75">
      <c r="A69" s="4"/>
      <c r="B69" s="74"/>
      <c r="C69" s="284" t="s">
        <v>1005</v>
      </c>
      <c r="D69" s="365"/>
      <c r="E69" s="366"/>
      <c r="F69" s="367"/>
      <c r="G69" s="367"/>
      <c r="H69" s="367"/>
      <c r="I69" s="368"/>
      <c r="J69" s="369"/>
      <c r="K69" s="367"/>
      <c r="L69" s="367"/>
      <c r="M69" s="367"/>
      <c r="N69" s="370"/>
    </row>
    <row r="70" spans="1:14" ht="15.75">
      <c r="A70" s="4"/>
      <c r="B70" s="74"/>
      <c r="C70" s="284" t="s">
        <v>1006</v>
      </c>
      <c r="D70" s="365"/>
      <c r="E70" s="366"/>
      <c r="F70" s="367"/>
      <c r="G70" s="367"/>
      <c r="H70" s="367"/>
      <c r="I70" s="368"/>
      <c r="J70" s="369"/>
      <c r="K70" s="367"/>
      <c r="L70" s="367"/>
      <c r="M70" s="367"/>
      <c r="N70" s="370"/>
    </row>
    <row r="71" spans="1:14" ht="15.75">
      <c r="A71" s="4"/>
      <c r="B71" s="74"/>
      <c r="C71" s="284" t="s">
        <v>999</v>
      </c>
      <c r="D71" s="365"/>
      <c r="E71" s="366"/>
      <c r="F71" s="367"/>
      <c r="G71" s="367"/>
      <c r="H71" s="367"/>
      <c r="I71" s="368"/>
      <c r="J71" s="369"/>
      <c r="K71" s="367"/>
      <c r="L71" s="367"/>
      <c r="M71" s="367"/>
      <c r="N71" s="370"/>
    </row>
    <row r="72" spans="1:14" ht="15.75">
      <c r="A72" s="4"/>
      <c r="B72" s="74"/>
      <c r="C72" s="284" t="s">
        <v>998</v>
      </c>
      <c r="D72" s="365"/>
      <c r="E72" s="366"/>
      <c r="F72" s="367"/>
      <c r="G72" s="367"/>
      <c r="H72" s="367"/>
      <c r="I72" s="368"/>
      <c r="J72" s="369"/>
      <c r="K72" s="367"/>
      <c r="L72" s="367"/>
      <c r="M72" s="367"/>
      <c r="N72" s="370"/>
    </row>
    <row r="73" spans="1:14" ht="15.75">
      <c r="A73" s="4"/>
      <c r="B73" s="74"/>
      <c r="C73" s="284" t="s">
        <v>997</v>
      </c>
      <c r="D73" s="365"/>
      <c r="E73" s="366"/>
      <c r="F73" s="367"/>
      <c r="G73" s="367"/>
      <c r="H73" s="367"/>
      <c r="I73" s="368"/>
      <c r="J73" s="369"/>
      <c r="K73" s="367"/>
      <c r="L73" s="367"/>
      <c r="M73" s="367"/>
      <c r="N73" s="370"/>
    </row>
    <row r="74" spans="1:14" ht="15.75">
      <c r="A74" s="4"/>
      <c r="B74" s="74"/>
      <c r="C74" s="284" t="s">
        <v>992</v>
      </c>
      <c r="D74" s="365"/>
      <c r="E74" s="366"/>
      <c r="F74" s="367"/>
      <c r="G74" s="367"/>
      <c r="H74" s="367"/>
      <c r="I74" s="368"/>
      <c r="J74" s="369"/>
      <c r="K74" s="367"/>
      <c r="L74" s="367"/>
      <c r="M74" s="367"/>
      <c r="N74" s="370"/>
    </row>
    <row r="75" spans="1:14" ht="15.75">
      <c r="A75" s="4"/>
      <c r="B75" s="74"/>
      <c r="C75" s="284" t="s">
        <v>995</v>
      </c>
      <c r="D75" s="365"/>
      <c r="E75" s="366"/>
      <c r="F75" s="367"/>
      <c r="G75" s="367"/>
      <c r="H75" s="367"/>
      <c r="I75" s="368"/>
      <c r="J75" s="369"/>
      <c r="K75" s="367"/>
      <c r="L75" s="367"/>
      <c r="M75" s="367"/>
      <c r="N75" s="370"/>
    </row>
    <row r="76" spans="1:14" ht="15.75">
      <c r="A76" s="4"/>
      <c r="B76" s="74"/>
      <c r="C76" s="284" t="s">
        <v>996</v>
      </c>
      <c r="D76" s="365"/>
      <c r="E76" s="366"/>
      <c r="F76" s="367"/>
      <c r="G76" s="367"/>
      <c r="H76" s="367"/>
      <c r="I76" s="368"/>
      <c r="J76" s="369"/>
      <c r="K76" s="367"/>
      <c r="L76" s="367"/>
      <c r="M76" s="367"/>
      <c r="N76" s="370"/>
    </row>
    <row r="77" spans="1:14" ht="15.75">
      <c r="A77" s="4"/>
      <c r="B77" s="74"/>
      <c r="C77" s="284" t="s">
        <v>993</v>
      </c>
      <c r="D77" s="365"/>
      <c r="E77" s="366"/>
      <c r="F77" s="367"/>
      <c r="G77" s="367"/>
      <c r="H77" s="367"/>
      <c r="I77" s="368"/>
      <c r="J77" s="369"/>
      <c r="K77" s="367"/>
      <c r="L77" s="367"/>
      <c r="M77" s="367"/>
      <c r="N77" s="370"/>
    </row>
    <row r="78" spans="1:14" ht="15.75">
      <c r="A78" s="4"/>
      <c r="B78" s="74"/>
      <c r="C78" s="284" t="s">
        <v>994</v>
      </c>
      <c r="D78" s="365"/>
      <c r="E78" s="366"/>
      <c r="F78" s="367"/>
      <c r="G78" s="367"/>
      <c r="H78" s="367"/>
      <c r="I78" s="368"/>
      <c r="J78" s="369"/>
      <c r="K78" s="367"/>
      <c r="L78" s="367"/>
      <c r="M78" s="367"/>
      <c r="N78" s="370"/>
    </row>
    <row r="79" spans="1:14" ht="15.75">
      <c r="A79" s="4"/>
      <c r="B79" s="74"/>
      <c r="C79" s="284" t="s">
        <v>1007</v>
      </c>
      <c r="D79" s="365"/>
      <c r="E79" s="366"/>
      <c r="F79" s="367"/>
      <c r="G79" s="367"/>
      <c r="H79" s="367"/>
      <c r="I79" s="368"/>
      <c r="J79" s="369"/>
      <c r="K79" s="367"/>
      <c r="L79" s="367"/>
      <c r="M79" s="367"/>
      <c r="N79" s="370"/>
    </row>
    <row r="80" spans="1:14" ht="15.75">
      <c r="A80" s="4"/>
      <c r="B80" s="74"/>
      <c r="C80" s="284" t="s">
        <v>0</v>
      </c>
      <c r="D80" s="365"/>
      <c r="E80" s="366"/>
      <c r="F80" s="367"/>
      <c r="G80" s="367"/>
      <c r="H80" s="367"/>
      <c r="I80" s="368"/>
      <c r="J80" s="369"/>
      <c r="K80" s="367"/>
      <c r="L80" s="367"/>
      <c r="M80" s="367"/>
      <c r="N80" s="370"/>
    </row>
    <row r="81" spans="1:14" ht="15.75">
      <c r="A81" s="4"/>
      <c r="B81" s="74"/>
      <c r="C81" s="284" t="s">
        <v>17</v>
      </c>
      <c r="D81" s="365"/>
      <c r="E81" s="366"/>
      <c r="F81" s="367"/>
      <c r="G81" s="367"/>
      <c r="H81" s="367"/>
      <c r="I81" s="368"/>
      <c r="J81" s="369"/>
      <c r="K81" s="367"/>
      <c r="L81" s="367"/>
      <c r="M81" s="367"/>
      <c r="N81" s="370"/>
    </row>
    <row r="82" spans="1:14" ht="15.75">
      <c r="A82" s="4"/>
      <c r="B82" s="74"/>
      <c r="C82" s="284" t="s">
        <v>1</v>
      </c>
      <c r="D82" s="365"/>
      <c r="E82" s="366"/>
      <c r="F82" s="367"/>
      <c r="G82" s="367"/>
      <c r="H82" s="367"/>
      <c r="I82" s="368"/>
      <c r="J82" s="369"/>
      <c r="K82" s="367"/>
      <c r="L82" s="367"/>
      <c r="M82" s="367"/>
      <c r="N82" s="370"/>
    </row>
    <row r="83" spans="1:14" ht="15.75">
      <c r="A83" s="4"/>
      <c r="B83" s="74"/>
      <c r="C83" s="284" t="s">
        <v>2</v>
      </c>
      <c r="D83" s="365"/>
      <c r="E83" s="366"/>
      <c r="F83" s="367"/>
      <c r="G83" s="367"/>
      <c r="H83" s="367"/>
      <c r="I83" s="368"/>
      <c r="J83" s="369"/>
      <c r="K83" s="367"/>
      <c r="L83" s="367"/>
      <c r="M83" s="367"/>
      <c r="N83" s="370"/>
    </row>
    <row r="84" spans="1:14" ht="15.75">
      <c r="A84" s="4"/>
      <c r="B84" s="74"/>
      <c r="C84" s="284" t="s">
        <v>16</v>
      </c>
      <c r="D84" s="365"/>
      <c r="E84" s="366"/>
      <c r="F84" s="367"/>
      <c r="G84" s="367"/>
      <c r="H84" s="367"/>
      <c r="I84" s="368"/>
      <c r="J84" s="369"/>
      <c r="K84" s="367"/>
      <c r="L84" s="367"/>
      <c r="M84" s="367"/>
      <c r="N84" s="370"/>
    </row>
    <row r="85" spans="1:14" ht="15.75">
      <c r="A85" s="4"/>
      <c r="B85" s="74"/>
      <c r="C85" s="284" t="s">
        <v>3</v>
      </c>
      <c r="D85" s="365"/>
      <c r="E85" s="366"/>
      <c r="F85" s="367"/>
      <c r="G85" s="367"/>
      <c r="H85" s="367"/>
      <c r="I85" s="368"/>
      <c r="J85" s="369"/>
      <c r="K85" s="367"/>
      <c r="L85" s="367"/>
      <c r="M85" s="367"/>
      <c r="N85" s="370"/>
    </row>
    <row r="86" spans="1:14" ht="15.75">
      <c r="A86" s="4"/>
      <c r="B86" s="74"/>
      <c r="C86" s="284" t="s">
        <v>4</v>
      </c>
      <c r="D86" s="365"/>
      <c r="E86" s="366"/>
      <c r="F86" s="367"/>
      <c r="G86" s="367"/>
      <c r="H86" s="367"/>
      <c r="I86" s="368"/>
      <c r="J86" s="369"/>
      <c r="K86" s="367"/>
      <c r="L86" s="367"/>
      <c r="M86" s="367"/>
      <c r="N86" s="370"/>
    </row>
    <row r="87" spans="1:14" ht="15.75">
      <c r="A87" s="4"/>
      <c r="B87" s="74"/>
      <c r="C87" s="284" t="s">
        <v>15</v>
      </c>
      <c r="D87" s="365"/>
      <c r="E87" s="366"/>
      <c r="F87" s="367"/>
      <c r="G87" s="367"/>
      <c r="H87" s="367"/>
      <c r="I87" s="368"/>
      <c r="J87" s="369"/>
      <c r="K87" s="367"/>
      <c r="L87" s="367"/>
      <c r="M87" s="367"/>
      <c r="N87" s="370"/>
    </row>
    <row r="88" spans="1:14" ht="15.75">
      <c r="A88" s="4"/>
      <c r="B88" s="74"/>
      <c r="C88" s="284" t="s">
        <v>5</v>
      </c>
      <c r="D88" s="365"/>
      <c r="E88" s="366"/>
      <c r="F88" s="367"/>
      <c r="G88" s="367"/>
      <c r="H88" s="367"/>
      <c r="I88" s="368"/>
      <c r="J88" s="369"/>
      <c r="K88" s="367"/>
      <c r="L88" s="367"/>
      <c r="M88" s="367"/>
      <c r="N88" s="370"/>
    </row>
    <row r="89" spans="1:14" ht="15.75">
      <c r="A89" s="4"/>
      <c r="B89" s="74"/>
      <c r="C89" s="284" t="s">
        <v>6</v>
      </c>
      <c r="D89" s="365"/>
      <c r="E89" s="366"/>
      <c r="F89" s="367"/>
      <c r="G89" s="367"/>
      <c r="H89" s="367"/>
      <c r="I89" s="368"/>
      <c r="J89" s="369"/>
      <c r="K89" s="367"/>
      <c r="L89" s="367"/>
      <c r="M89" s="367"/>
      <c r="N89" s="370"/>
    </row>
    <row r="90" spans="1:14" ht="15.75">
      <c r="A90" s="4"/>
      <c r="B90" s="74"/>
      <c r="C90" s="284" t="s">
        <v>7</v>
      </c>
      <c r="D90" s="365"/>
      <c r="E90" s="366"/>
      <c r="F90" s="367"/>
      <c r="G90" s="367"/>
      <c r="H90" s="367"/>
      <c r="I90" s="368"/>
      <c r="J90" s="369"/>
      <c r="K90" s="367"/>
      <c r="L90" s="367"/>
      <c r="M90" s="367"/>
      <c r="N90" s="370"/>
    </row>
    <row r="91" spans="1:14" ht="15.75">
      <c r="A91" s="4"/>
      <c r="B91" s="74"/>
      <c r="C91" s="284" t="s">
        <v>8</v>
      </c>
      <c r="D91" s="365"/>
      <c r="E91" s="366"/>
      <c r="F91" s="367"/>
      <c r="G91" s="367"/>
      <c r="H91" s="367"/>
      <c r="I91" s="368"/>
      <c r="J91" s="369"/>
      <c r="K91" s="367"/>
      <c r="L91" s="367"/>
      <c r="M91" s="367"/>
      <c r="N91" s="370"/>
    </row>
    <row r="92" spans="1:14" ht="15.75">
      <c r="A92" s="4"/>
      <c r="B92" s="74"/>
      <c r="C92" s="284" t="s">
        <v>9</v>
      </c>
      <c r="D92" s="365"/>
      <c r="E92" s="366"/>
      <c r="F92" s="367"/>
      <c r="G92" s="367"/>
      <c r="H92" s="367"/>
      <c r="I92" s="368"/>
      <c r="J92" s="369"/>
      <c r="K92" s="367"/>
      <c r="L92" s="367"/>
      <c r="M92" s="367"/>
      <c r="N92" s="370"/>
    </row>
    <row r="93" spans="1:14" ht="15.75">
      <c r="A93" s="4"/>
      <c r="B93" s="74"/>
      <c r="C93" s="284" t="s">
        <v>10</v>
      </c>
      <c r="D93" s="365"/>
      <c r="E93" s="366"/>
      <c r="F93" s="367"/>
      <c r="G93" s="367"/>
      <c r="H93" s="367"/>
      <c r="I93" s="368"/>
      <c r="J93" s="369"/>
      <c r="K93" s="367"/>
      <c r="L93" s="367"/>
      <c r="M93" s="367"/>
      <c r="N93" s="370"/>
    </row>
    <row r="94" spans="1:14" ht="15.75">
      <c r="A94" s="4"/>
      <c r="B94" s="74"/>
      <c r="C94" s="284" t="s">
        <v>11</v>
      </c>
      <c r="D94" s="365"/>
      <c r="E94" s="366"/>
      <c r="F94" s="367"/>
      <c r="G94" s="367"/>
      <c r="H94" s="367"/>
      <c r="I94" s="368"/>
      <c r="J94" s="369"/>
      <c r="K94" s="367"/>
      <c r="L94" s="367"/>
      <c r="M94" s="367"/>
      <c r="N94" s="370"/>
    </row>
    <row r="95" spans="1:14" ht="15.75">
      <c r="A95" s="4"/>
      <c r="B95" s="74"/>
      <c r="C95" s="284" t="s">
        <v>12</v>
      </c>
      <c r="D95" s="365"/>
      <c r="E95" s="366"/>
      <c r="F95" s="367"/>
      <c r="G95" s="367"/>
      <c r="H95" s="367"/>
      <c r="I95" s="368"/>
      <c r="J95" s="369"/>
      <c r="K95" s="367"/>
      <c r="L95" s="367"/>
      <c r="M95" s="367"/>
      <c r="N95" s="370"/>
    </row>
    <row r="96" spans="1:14" ht="15.75">
      <c r="A96" s="4"/>
      <c r="B96" s="74"/>
      <c r="C96" s="284" t="s">
        <v>14</v>
      </c>
      <c r="D96" s="365"/>
      <c r="E96" s="366"/>
      <c r="F96" s="367"/>
      <c r="G96" s="367"/>
      <c r="H96" s="367"/>
      <c r="I96" s="368"/>
      <c r="J96" s="369"/>
      <c r="K96" s="367"/>
      <c r="L96" s="367"/>
      <c r="M96" s="367"/>
      <c r="N96" s="370"/>
    </row>
    <row r="97" spans="1:14" ht="15.75">
      <c r="A97" s="4"/>
      <c r="B97" s="74"/>
      <c r="C97" s="284" t="s">
        <v>13</v>
      </c>
      <c r="D97" s="365"/>
      <c r="E97" s="366"/>
      <c r="F97" s="367"/>
      <c r="G97" s="367"/>
      <c r="H97" s="367"/>
      <c r="I97" s="368"/>
      <c r="J97" s="369"/>
      <c r="K97" s="367"/>
      <c r="L97" s="367"/>
      <c r="M97" s="367"/>
      <c r="N97" s="370"/>
    </row>
    <row r="98" spans="1:14" ht="15.75">
      <c r="A98" s="4"/>
      <c r="B98" s="74"/>
      <c r="C98" s="284" t="s">
        <v>560</v>
      </c>
      <c r="D98" s="365"/>
      <c r="E98" s="366"/>
      <c r="F98" s="367"/>
      <c r="G98" s="367"/>
      <c r="H98" s="367"/>
      <c r="I98" s="368"/>
      <c r="J98" s="369"/>
      <c r="K98" s="367"/>
      <c r="L98" s="367"/>
      <c r="M98" s="367"/>
      <c r="N98" s="370"/>
    </row>
    <row r="99" spans="1:14" ht="15.75">
      <c r="A99" s="4"/>
      <c r="B99" s="74"/>
      <c r="C99" s="284" t="s">
        <v>561</v>
      </c>
      <c r="D99" s="365"/>
      <c r="E99" s="366"/>
      <c r="F99" s="367"/>
      <c r="G99" s="367"/>
      <c r="H99" s="367"/>
      <c r="I99" s="368"/>
      <c r="J99" s="369"/>
      <c r="K99" s="367"/>
      <c r="L99" s="367"/>
      <c r="M99" s="367"/>
      <c r="N99" s="370"/>
    </row>
    <row r="100" spans="1:14" ht="15.75">
      <c r="A100" s="4"/>
      <c r="B100" s="74"/>
      <c r="C100" s="284" t="s">
        <v>562</v>
      </c>
      <c r="D100" s="365"/>
      <c r="E100" s="366"/>
      <c r="F100" s="367"/>
      <c r="G100" s="367"/>
      <c r="H100" s="367"/>
      <c r="I100" s="368"/>
      <c r="J100" s="369"/>
      <c r="K100" s="367"/>
      <c r="L100" s="367"/>
      <c r="M100" s="367"/>
      <c r="N100" s="370"/>
    </row>
    <row r="101" spans="1:14" ht="15.75">
      <c r="A101" s="4"/>
      <c r="B101" s="74"/>
      <c r="C101" s="284" t="s">
        <v>563</v>
      </c>
      <c r="D101" s="365"/>
      <c r="E101" s="366"/>
      <c r="F101" s="367"/>
      <c r="G101" s="367"/>
      <c r="H101" s="367"/>
      <c r="I101" s="368"/>
      <c r="J101" s="369"/>
      <c r="K101" s="367"/>
      <c r="L101" s="367"/>
      <c r="M101" s="367"/>
      <c r="N101" s="370"/>
    </row>
    <row r="102" spans="1:14" ht="15.75">
      <c r="A102" s="4"/>
      <c r="B102" s="74"/>
      <c r="C102" s="284" t="s">
        <v>564</v>
      </c>
      <c r="D102" s="365"/>
      <c r="E102" s="366"/>
      <c r="F102" s="367"/>
      <c r="G102" s="367"/>
      <c r="H102" s="367"/>
      <c r="I102" s="368"/>
      <c r="J102" s="369"/>
      <c r="K102" s="367"/>
      <c r="L102" s="367"/>
      <c r="M102" s="367"/>
      <c r="N102" s="370"/>
    </row>
    <row r="103" spans="1:14" ht="15.75">
      <c r="A103" s="4"/>
      <c r="B103" s="74"/>
      <c r="C103" s="284" t="s">
        <v>565</v>
      </c>
      <c r="D103" s="365"/>
      <c r="E103" s="366"/>
      <c r="F103" s="367"/>
      <c r="G103" s="367"/>
      <c r="H103" s="367"/>
      <c r="I103" s="368"/>
      <c r="J103" s="369"/>
      <c r="K103" s="367"/>
      <c r="L103" s="367"/>
      <c r="M103" s="367"/>
      <c r="N103" s="370"/>
    </row>
    <row r="104" spans="1:14" ht="15.75">
      <c r="A104" s="4"/>
      <c r="B104" s="74"/>
      <c r="C104" s="284" t="s">
        <v>566</v>
      </c>
      <c r="D104" s="365"/>
      <c r="E104" s="366"/>
      <c r="F104" s="367"/>
      <c r="G104" s="367"/>
      <c r="H104" s="367"/>
      <c r="I104" s="368"/>
      <c r="J104" s="369"/>
      <c r="K104" s="367"/>
      <c r="L104" s="367"/>
      <c r="M104" s="367"/>
      <c r="N104" s="370"/>
    </row>
    <row r="105" spans="1:14" ht="15.75">
      <c r="A105" s="4"/>
      <c r="B105" s="74"/>
      <c r="C105" s="284" t="s">
        <v>567</v>
      </c>
      <c r="D105" s="365"/>
      <c r="E105" s="366"/>
      <c r="F105" s="367"/>
      <c r="G105" s="367"/>
      <c r="H105" s="367"/>
      <c r="I105" s="368"/>
      <c r="J105" s="369"/>
      <c r="K105" s="367"/>
      <c r="L105" s="367"/>
      <c r="M105" s="367"/>
      <c r="N105" s="370"/>
    </row>
    <row r="106" spans="1:14" ht="15.75">
      <c r="A106" s="4"/>
      <c r="B106" s="74"/>
      <c r="C106" s="284" t="s">
        <v>568</v>
      </c>
      <c r="D106" s="365"/>
      <c r="E106" s="366"/>
      <c r="F106" s="367"/>
      <c r="G106" s="367"/>
      <c r="H106" s="367"/>
      <c r="I106" s="368"/>
      <c r="J106" s="369"/>
      <c r="K106" s="367"/>
      <c r="L106" s="367"/>
      <c r="M106" s="367"/>
      <c r="N106" s="370"/>
    </row>
    <row r="107" spans="1:14" ht="15.75">
      <c r="A107" s="4"/>
      <c r="B107" s="74"/>
      <c r="C107" s="284"/>
      <c r="D107" s="365"/>
      <c r="E107" s="366"/>
      <c r="F107" s="367"/>
      <c r="G107" s="367"/>
      <c r="H107" s="367"/>
      <c r="I107" s="368"/>
      <c r="J107" s="369"/>
      <c r="K107" s="367"/>
      <c r="L107" s="367"/>
      <c r="M107" s="367"/>
      <c r="N107" s="370"/>
    </row>
    <row r="108" spans="1:14" ht="16.5" thickBot="1">
      <c r="A108" s="179"/>
      <c r="B108" s="295"/>
      <c r="C108" s="291"/>
      <c r="D108" s="378"/>
      <c r="E108" s="379"/>
      <c r="F108" s="380"/>
      <c r="G108" s="380"/>
      <c r="H108" s="380"/>
      <c r="I108" s="189"/>
      <c r="J108" s="381"/>
      <c r="K108" s="380"/>
      <c r="L108" s="380"/>
      <c r="M108" s="380"/>
      <c r="N108" s="382"/>
    </row>
  </sheetData>
  <mergeCells count="5">
    <mergeCell ref="D10:F10"/>
    <mergeCell ref="D32:F32"/>
    <mergeCell ref="A4:N4"/>
    <mergeCell ref="I32:M32"/>
    <mergeCell ref="I10:M10"/>
  </mergeCells>
  <printOptions/>
  <pageMargins left="0.75" right="0.75" top="1" bottom="1" header="0.5" footer="0.5"/>
  <pageSetup fitToHeight="1" fitToWidth="1" horizontalDpi="600" verticalDpi="600" orientation="portrait" scale="38" r:id="rId1"/>
  <headerFooter alignWithMargins="0">
    <oddHeader>&amp;RUSPS-LR-L-41
Bound Printed Matter Spreadsheets
&amp;A</oddHeader>
    <oddFooter>&amp;CPage &amp;P of &amp;N&amp;R&amp;D</oddFooter>
  </headerFooter>
  <rowBreaks count="1" manualBreakCount="1">
    <brk id="5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75" zoomScaleNormal="75" workbookViewId="0" topLeftCell="A1">
      <selection activeCell="D15" sqref="D15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5.00390625" style="0" customWidth="1"/>
    <col min="4" max="4" width="11.8515625" style="0" customWidth="1"/>
    <col min="5" max="5" width="14.140625" style="0" customWidth="1"/>
  </cols>
  <sheetData>
    <row r="1" spans="1:11" ht="15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5">
      <c r="A2" s="4"/>
      <c r="B2" s="5"/>
      <c r="C2" s="23"/>
      <c r="D2" s="23"/>
      <c r="E2" s="23"/>
      <c r="F2" s="23"/>
      <c r="G2" s="23"/>
      <c r="H2" s="23"/>
      <c r="I2" s="23"/>
      <c r="J2" s="657"/>
      <c r="K2" s="657" t="s">
        <v>591</v>
      </c>
    </row>
    <row r="3" spans="1:11" ht="15">
      <c r="A3" s="4"/>
      <c r="B3" s="5"/>
      <c r="C3" s="23"/>
      <c r="D3" s="23"/>
      <c r="E3" s="23"/>
      <c r="F3" s="23"/>
      <c r="G3" s="23"/>
      <c r="H3" s="23"/>
      <c r="I3" s="23"/>
      <c r="J3" s="657"/>
      <c r="K3" s="657" t="s">
        <v>745</v>
      </c>
    </row>
    <row r="4" spans="1:11" ht="18">
      <c r="A4" s="692" t="s">
        <v>468</v>
      </c>
      <c r="B4" s="693"/>
      <c r="C4" s="693"/>
      <c r="D4" s="693"/>
      <c r="E4" s="693"/>
      <c r="F4" s="693"/>
      <c r="G4" s="693"/>
      <c r="H4" s="693"/>
      <c r="I4" s="693"/>
      <c r="J4" s="693"/>
      <c r="K4" s="694"/>
    </row>
    <row r="5" spans="1:11" ht="15.75" thickBot="1">
      <c r="A5" s="15"/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11" ht="19.5" thickTop="1">
      <c r="A6" s="4"/>
      <c r="B6" s="14"/>
      <c r="C6" s="156"/>
      <c r="D6" s="127" t="s">
        <v>146</v>
      </c>
      <c r="E6" s="697" t="s">
        <v>747</v>
      </c>
      <c r="F6" s="719"/>
      <c r="G6" s="719"/>
      <c r="H6" s="719"/>
      <c r="I6" s="719"/>
      <c r="J6" s="719"/>
      <c r="K6" s="698"/>
    </row>
    <row r="7" spans="1:11" ht="15.75">
      <c r="A7" s="4"/>
      <c r="B7" s="178"/>
      <c r="C7" s="156"/>
      <c r="D7" s="127" t="s">
        <v>842</v>
      </c>
      <c r="E7" s="157"/>
      <c r="F7" s="157"/>
      <c r="G7" s="157"/>
      <c r="H7" s="157"/>
      <c r="I7" s="127"/>
      <c r="J7" s="237"/>
      <c r="K7" s="193"/>
    </row>
    <row r="8" spans="1:11" ht="18.75">
      <c r="A8" s="4"/>
      <c r="B8" s="178"/>
      <c r="C8" s="156"/>
      <c r="D8" s="127" t="s">
        <v>746</v>
      </c>
      <c r="E8" s="157" t="s">
        <v>855</v>
      </c>
      <c r="F8" s="157" t="s">
        <v>856</v>
      </c>
      <c r="G8" s="157" t="s">
        <v>857</v>
      </c>
      <c r="H8" s="157" t="s">
        <v>858</v>
      </c>
      <c r="I8" s="127" t="s">
        <v>859</v>
      </c>
      <c r="J8" s="157" t="s">
        <v>860</v>
      </c>
      <c r="K8" s="193" t="s">
        <v>861</v>
      </c>
    </row>
    <row r="9" spans="1:11" ht="15.75">
      <c r="A9" s="4"/>
      <c r="B9" s="178"/>
      <c r="C9" s="81"/>
      <c r="D9" s="154" t="s">
        <v>163</v>
      </c>
      <c r="E9" s="269" t="s">
        <v>164</v>
      </c>
      <c r="F9" s="158" t="s">
        <v>165</v>
      </c>
      <c r="G9" s="158" t="s">
        <v>166</v>
      </c>
      <c r="H9" s="158" t="s">
        <v>167</v>
      </c>
      <c r="I9" s="159" t="s">
        <v>168</v>
      </c>
      <c r="J9" s="158" t="s">
        <v>169</v>
      </c>
      <c r="K9" s="194" t="s">
        <v>170</v>
      </c>
    </row>
    <row r="10" spans="1:11" ht="19.5" customHeight="1">
      <c r="A10" s="4"/>
      <c r="B10" s="178"/>
      <c r="C10" s="238" t="s">
        <v>879</v>
      </c>
      <c r="D10" s="384"/>
      <c r="E10" s="299"/>
      <c r="F10" s="279"/>
      <c r="G10" s="280"/>
      <c r="H10" s="273"/>
      <c r="I10" s="273"/>
      <c r="J10" s="273"/>
      <c r="K10" s="283"/>
    </row>
    <row r="11" spans="1:11" ht="15.75">
      <c r="A11" s="4"/>
      <c r="B11" s="178" t="s">
        <v>151</v>
      </c>
      <c r="C11" s="238" t="s">
        <v>291</v>
      </c>
      <c r="D11" s="540">
        <f>ROUND('Rate Adjustments'!E17+'Rate Adjustments'!G17-D32,2)</f>
        <v>1.67</v>
      </c>
      <c r="E11" s="541">
        <f>+ROUND('Rate Adjustments'!$J17+'Rate Adjustments'!$L17,2)</f>
        <v>0.19</v>
      </c>
      <c r="F11" s="541">
        <f>+ROUND('Rate Adjustments'!$J18+'Rate Adjustments'!$L18,2)</f>
        <v>0.22</v>
      </c>
      <c r="G11" s="541">
        <f>+ROUND('Rate Adjustments'!$J19+'Rate Adjustments'!$L19,2)</f>
        <v>0.26</v>
      </c>
      <c r="H11" s="541">
        <f>+ROUND('Rate Adjustments'!$J20+'Rate Adjustments'!$L20,2)</f>
        <v>0.31</v>
      </c>
      <c r="I11" s="541">
        <f>+ROUND('Rate Adjustments'!$J21+'Rate Adjustments'!$L21,2)</f>
        <v>0.36</v>
      </c>
      <c r="J11" s="541">
        <f>+ROUND('Rate Adjustments'!$J22+'Rate Adjustments'!$L22,2)</f>
        <v>0.41</v>
      </c>
      <c r="K11" s="542">
        <f>+ROUND('Rate Adjustments'!$J23+'Rate Adjustments'!$L23,2)</f>
        <v>0.52</v>
      </c>
    </row>
    <row r="12" spans="1:11" ht="15.75">
      <c r="A12" s="4"/>
      <c r="B12" s="178" t="s">
        <v>152</v>
      </c>
      <c r="C12" s="238" t="s">
        <v>469</v>
      </c>
      <c r="D12" s="540">
        <f>ROUND('Rate Adjustments'!E17+'Rate Adjustments'!G17,2)</f>
        <v>1.83</v>
      </c>
      <c r="E12" s="541">
        <f>+ROUND('Rate Adjustments'!$J17+'Rate Adjustments'!$L17,2)</f>
        <v>0.19</v>
      </c>
      <c r="F12" s="541">
        <f>+ROUND('Rate Adjustments'!$J18+'Rate Adjustments'!$L18,2)</f>
        <v>0.22</v>
      </c>
      <c r="G12" s="541">
        <f>+ROUND('Rate Adjustments'!$J19+'Rate Adjustments'!$L19,2)</f>
        <v>0.26</v>
      </c>
      <c r="H12" s="541">
        <f>+ROUND('Rate Adjustments'!$J20+'Rate Adjustments'!$L20,2)</f>
        <v>0.31</v>
      </c>
      <c r="I12" s="541">
        <f>+ROUND('Rate Adjustments'!$J21+'Rate Adjustments'!$L21,2)</f>
        <v>0.36</v>
      </c>
      <c r="J12" s="541">
        <f>+ROUND('Rate Adjustments'!$J22+'Rate Adjustments'!$L22,2)</f>
        <v>0.41</v>
      </c>
      <c r="K12" s="542">
        <f>+ROUND('Rate Adjustments'!$J23+'Rate Adjustments'!$L23,2)</f>
        <v>0.52</v>
      </c>
    </row>
    <row r="13" spans="1:11" ht="15.75">
      <c r="A13" s="4"/>
      <c r="B13" s="178"/>
      <c r="C13" s="238"/>
      <c r="D13" s="385"/>
      <c r="E13" s="239"/>
      <c r="F13" s="386"/>
      <c r="G13" s="387"/>
      <c r="H13" s="240"/>
      <c r="I13" s="240"/>
      <c r="J13" s="240"/>
      <c r="K13" s="388"/>
    </row>
    <row r="14" spans="1:11" ht="18.75">
      <c r="A14" s="4"/>
      <c r="B14" s="74"/>
      <c r="C14" s="284" t="s">
        <v>573</v>
      </c>
      <c r="D14" s="389"/>
      <c r="E14" s="386"/>
      <c r="F14" s="386"/>
      <c r="G14" s="387"/>
      <c r="H14" s="285"/>
      <c r="I14" s="285"/>
      <c r="J14" s="285"/>
      <c r="K14" s="341"/>
    </row>
    <row r="15" spans="1:11" ht="15.75">
      <c r="A15" s="4"/>
      <c r="B15" s="74" t="s">
        <v>153</v>
      </c>
      <c r="C15" s="284" t="s">
        <v>150</v>
      </c>
      <c r="D15" s="389">
        <f>ROUND(+'Rate Adjustments'!E49+'Rate Adjustments'!G49,3)</f>
        <v>1.401</v>
      </c>
      <c r="E15" s="386">
        <f>ROUND('Rate Adjustments'!$J$49+'Rate Adjustments'!$L$49,3)</f>
        <v>0.13</v>
      </c>
      <c r="F15" s="386">
        <f>ROUND('Rate Adjustments'!$J$50+'Rate Adjustments'!$L$50,3)</f>
        <v>0.156</v>
      </c>
      <c r="G15" s="386">
        <f>ROUND('Rate Adjustments'!$J$51+'Rate Adjustments'!$L$51,3)</f>
        <v>0.204</v>
      </c>
      <c r="H15" s="386">
        <f>ROUND('Rate Adjustments'!$J$52+'Rate Adjustments'!$L$52,3)</f>
        <v>0.259</v>
      </c>
      <c r="I15" s="386">
        <f>ROUND('Rate Adjustments'!$J$53+'Rate Adjustments'!$L$53,3)</f>
        <v>0.322</v>
      </c>
      <c r="J15" s="386">
        <f>ROUND('Rate Adjustments'!$J$54+'Rate Adjustments'!$L$54,3)</f>
        <v>0.371</v>
      </c>
      <c r="K15" s="341">
        <f>ROUND('Rate Adjustments'!$J$55+'Rate Adjustments'!$L$55,3)</f>
        <v>0.492</v>
      </c>
    </row>
    <row r="16" spans="1:13" ht="15.75">
      <c r="A16" s="4"/>
      <c r="B16" s="74"/>
      <c r="C16" s="284"/>
      <c r="D16" s="389"/>
      <c r="E16" s="386"/>
      <c r="F16" s="386"/>
      <c r="G16" s="387"/>
      <c r="H16" s="285"/>
      <c r="I16" s="285"/>
      <c r="J16" s="285"/>
      <c r="K16" s="341"/>
      <c r="M16" s="46"/>
    </row>
    <row r="17" spans="1:13" ht="15.75">
      <c r="A17" s="4"/>
      <c r="B17" s="74" t="s">
        <v>154</v>
      </c>
      <c r="C17" s="284" t="s">
        <v>942</v>
      </c>
      <c r="D17" s="389">
        <f>ROUND('Rate Adjustments'!E39+'Rate Adjustments'!G39,3)</f>
        <v>1.096</v>
      </c>
      <c r="E17" s="386">
        <f>ROUND('Rate Adjustments'!$J$39+'Rate Adjustments'!$L$39,3)</f>
        <v>0.09</v>
      </c>
      <c r="F17" s="386">
        <f>ROUND('Rate Adjustments'!$J$40+'Rate Adjustments'!$L$40,3)</f>
        <v>0.13</v>
      </c>
      <c r="G17" s="386">
        <f>ROUND('Rate Adjustments'!$J$41+'Rate Adjustments'!$L$41,3)</f>
        <v>0.172</v>
      </c>
      <c r="H17" s="386">
        <f>ROUND('Rate Adjustments'!$J$42+'Rate Adjustments'!$L$42,3)</f>
        <v>0.229</v>
      </c>
      <c r="I17" s="285" t="s">
        <v>882</v>
      </c>
      <c r="J17" s="285" t="s">
        <v>882</v>
      </c>
      <c r="K17" s="390" t="s">
        <v>882</v>
      </c>
      <c r="M17" s="46"/>
    </row>
    <row r="18" spans="1:13" ht="15.75">
      <c r="A18" s="4"/>
      <c r="B18" s="74"/>
      <c r="C18" s="284"/>
      <c r="D18" s="389"/>
      <c r="E18" s="386"/>
      <c r="F18" s="386"/>
      <c r="G18" s="387"/>
      <c r="H18" s="285"/>
      <c r="I18" s="285"/>
      <c r="J18" s="285"/>
      <c r="K18" s="341"/>
      <c r="M18" s="46"/>
    </row>
    <row r="19" spans="1:11" ht="15.75">
      <c r="A19" s="4"/>
      <c r="B19" s="74" t="s">
        <v>155</v>
      </c>
      <c r="C19" s="284" t="s">
        <v>943</v>
      </c>
      <c r="D19" s="389">
        <f>ROUND('Rate Adjustments'!E44+'Rate Adjustments'!G44,3)</f>
        <v>0.755</v>
      </c>
      <c r="E19" s="386">
        <f>ROUND('Rate Adjustments'!$J$44+'Rate Adjustments'!$L$44,3)</f>
        <v>0.086</v>
      </c>
      <c r="F19" s="285" t="s">
        <v>882</v>
      </c>
      <c r="G19" s="285" t="s">
        <v>882</v>
      </c>
      <c r="H19" s="285" t="s">
        <v>882</v>
      </c>
      <c r="I19" s="285" t="s">
        <v>882</v>
      </c>
      <c r="J19" s="285" t="s">
        <v>882</v>
      </c>
      <c r="K19" s="390" t="s">
        <v>882</v>
      </c>
    </row>
    <row r="20" spans="1:11" ht="15.75">
      <c r="A20" s="4"/>
      <c r="B20" s="74"/>
      <c r="C20" s="284"/>
      <c r="D20" s="389"/>
      <c r="E20" s="386"/>
      <c r="F20" s="386"/>
      <c r="G20" s="387"/>
      <c r="H20" s="285"/>
      <c r="I20" s="285"/>
      <c r="J20" s="285"/>
      <c r="K20" s="341"/>
    </row>
    <row r="21" spans="1:11" ht="15.75">
      <c r="A21" s="4"/>
      <c r="B21" s="74" t="s">
        <v>156</v>
      </c>
      <c r="C21" s="284" t="s">
        <v>944</v>
      </c>
      <c r="D21" s="389">
        <f>ROUND('Rate Adjustments'!E46+'Rate Adjustments'!G46,3)</f>
        <v>0.684</v>
      </c>
      <c r="E21" s="386">
        <f>ROUND('Rate Adjustments'!$J$46+'Rate Adjustments'!$L$46,3)</f>
        <v>0.042</v>
      </c>
      <c r="F21" s="285" t="s">
        <v>882</v>
      </c>
      <c r="G21" s="285" t="s">
        <v>882</v>
      </c>
      <c r="H21" s="285" t="s">
        <v>882</v>
      </c>
      <c r="I21" s="285" t="s">
        <v>882</v>
      </c>
      <c r="J21" s="285" t="s">
        <v>882</v>
      </c>
      <c r="K21" s="390" t="s">
        <v>882</v>
      </c>
    </row>
    <row r="22" spans="1:11" ht="15.75">
      <c r="A22" s="4"/>
      <c r="B22" s="74"/>
      <c r="C22" s="284"/>
      <c r="D22" s="389"/>
      <c r="E22" s="386"/>
      <c r="F22" s="386"/>
      <c r="G22" s="387"/>
      <c r="H22" s="285"/>
      <c r="I22" s="285"/>
      <c r="J22" s="285"/>
      <c r="K22" s="341"/>
    </row>
    <row r="23" spans="1:11" ht="18.75">
      <c r="A23" s="4"/>
      <c r="B23" s="74"/>
      <c r="C23" s="284" t="s">
        <v>574</v>
      </c>
      <c r="D23" s="389"/>
      <c r="E23" s="386"/>
      <c r="F23" s="386"/>
      <c r="G23" s="387"/>
      <c r="H23" s="285"/>
      <c r="I23" s="285"/>
      <c r="J23" s="285"/>
      <c r="K23" s="341"/>
    </row>
    <row r="24" spans="1:11" ht="15.75">
      <c r="A24" s="4"/>
      <c r="B24" s="74" t="s">
        <v>157</v>
      </c>
      <c r="C24" s="284" t="s">
        <v>150</v>
      </c>
      <c r="D24" s="389">
        <f>ROUND(+D15-'Revenue Leakages'!G17,3)</f>
        <v>1.305</v>
      </c>
      <c r="E24" s="386">
        <f>ROUND('Rate Adjustments'!$J$49+'Rate Adjustments'!$L$49,3)</f>
        <v>0.13</v>
      </c>
      <c r="F24" s="386">
        <f>ROUND('Rate Adjustments'!$J$50+'Rate Adjustments'!$L$50,3)</f>
        <v>0.156</v>
      </c>
      <c r="G24" s="386">
        <f>ROUND('Rate Adjustments'!$J$51+'Rate Adjustments'!$L$51,3)</f>
        <v>0.204</v>
      </c>
      <c r="H24" s="386">
        <f>ROUND('Rate Adjustments'!$J$52+'Rate Adjustments'!$L$52,3)</f>
        <v>0.259</v>
      </c>
      <c r="I24" s="386">
        <f>ROUND('Rate Adjustments'!$J$53+'Rate Adjustments'!$L$53,3)</f>
        <v>0.322</v>
      </c>
      <c r="J24" s="386">
        <f>ROUND('Rate Adjustments'!$J$54+'Rate Adjustments'!$L$54,3)</f>
        <v>0.371</v>
      </c>
      <c r="K24" s="341">
        <f>ROUND('Rate Adjustments'!$J$55+'Rate Adjustments'!$L$55,3)</f>
        <v>0.492</v>
      </c>
    </row>
    <row r="25" spans="1:11" ht="15.75">
      <c r="A25" s="4"/>
      <c r="B25" s="74"/>
      <c r="C25" s="284"/>
      <c r="D25" s="389"/>
      <c r="E25" s="386"/>
      <c r="F25" s="386"/>
      <c r="G25" s="387"/>
      <c r="H25" s="285"/>
      <c r="I25" s="285"/>
      <c r="J25" s="285"/>
      <c r="K25" s="341"/>
    </row>
    <row r="26" spans="1:11" ht="15.75">
      <c r="A26" s="4"/>
      <c r="B26" s="74" t="s">
        <v>158</v>
      </c>
      <c r="C26" s="284" t="s">
        <v>942</v>
      </c>
      <c r="D26" s="389">
        <f>ROUND(+D17-'Revenue Leakages'!G17,3)</f>
        <v>1</v>
      </c>
      <c r="E26" s="386">
        <f>ROUND('Rate Adjustments'!$J$39+'Rate Adjustments'!$L$39,3)</f>
        <v>0.09</v>
      </c>
      <c r="F26" s="386">
        <f>ROUND('Rate Adjustments'!$J$40+'Rate Adjustments'!$L$40,3)</f>
        <v>0.13</v>
      </c>
      <c r="G26" s="386">
        <f>ROUND('Rate Adjustments'!$J$41+'Rate Adjustments'!$L$41,3)</f>
        <v>0.172</v>
      </c>
      <c r="H26" s="386">
        <f>ROUND('Rate Adjustments'!$J$42+'Rate Adjustments'!$L$42,3)</f>
        <v>0.229</v>
      </c>
      <c r="I26" s="285" t="s">
        <v>882</v>
      </c>
      <c r="J26" s="285" t="s">
        <v>882</v>
      </c>
      <c r="K26" s="390" t="s">
        <v>882</v>
      </c>
    </row>
    <row r="27" spans="1:11" ht="15.75">
      <c r="A27" s="4"/>
      <c r="B27" s="74"/>
      <c r="C27" s="284"/>
      <c r="D27" s="389"/>
      <c r="E27" s="386"/>
      <c r="F27" s="386"/>
      <c r="G27" s="387"/>
      <c r="H27" s="285"/>
      <c r="I27" s="285"/>
      <c r="J27" s="285"/>
      <c r="K27" s="390"/>
    </row>
    <row r="28" spans="1:11" ht="15.75">
      <c r="A28" s="4"/>
      <c r="B28" s="74" t="s">
        <v>159</v>
      </c>
      <c r="C28" s="284" t="s">
        <v>943</v>
      </c>
      <c r="D28" s="389">
        <f>ROUND(+D19-'Revenue Leakages'!G17,3)</f>
        <v>0.659</v>
      </c>
      <c r="E28" s="386">
        <f>ROUND('Rate Adjustments'!$J$44+'Rate Adjustments'!$L$44,3)</f>
        <v>0.086</v>
      </c>
      <c r="F28" s="285" t="s">
        <v>882</v>
      </c>
      <c r="G28" s="285" t="s">
        <v>882</v>
      </c>
      <c r="H28" s="285" t="s">
        <v>882</v>
      </c>
      <c r="I28" s="285" t="s">
        <v>882</v>
      </c>
      <c r="J28" s="285" t="s">
        <v>882</v>
      </c>
      <c r="K28" s="390" t="s">
        <v>882</v>
      </c>
    </row>
    <row r="29" spans="1:11" ht="15.75">
      <c r="A29" s="4"/>
      <c r="B29" s="74"/>
      <c r="C29" s="284"/>
      <c r="D29" s="389"/>
      <c r="E29" s="386"/>
      <c r="F29" s="386"/>
      <c r="G29" s="387"/>
      <c r="H29" s="285"/>
      <c r="I29" s="285"/>
      <c r="J29" s="285"/>
      <c r="K29" s="341"/>
    </row>
    <row r="30" spans="1:11" ht="15.75">
      <c r="A30" s="4"/>
      <c r="B30" s="74" t="s">
        <v>160</v>
      </c>
      <c r="C30" s="284" t="s">
        <v>944</v>
      </c>
      <c r="D30" s="389">
        <f>ROUND(+D21-'Revenue Leakages'!G17,3)</f>
        <v>0.588</v>
      </c>
      <c r="E30" s="386">
        <f>ROUND('Rate Adjustments'!$J$46+'Rate Adjustments'!$L$46,3)</f>
        <v>0.042</v>
      </c>
      <c r="F30" s="285" t="s">
        <v>882</v>
      </c>
      <c r="G30" s="285" t="s">
        <v>882</v>
      </c>
      <c r="H30" s="285" t="s">
        <v>882</v>
      </c>
      <c r="I30" s="285" t="s">
        <v>882</v>
      </c>
      <c r="J30" s="285" t="s">
        <v>882</v>
      </c>
      <c r="K30" s="390" t="s">
        <v>882</v>
      </c>
    </row>
    <row r="31" spans="1:11" ht="15.75">
      <c r="A31" s="4"/>
      <c r="B31" s="74"/>
      <c r="C31" s="284"/>
      <c r="D31" s="389"/>
      <c r="E31" s="386"/>
      <c r="F31" s="285"/>
      <c r="G31" s="285"/>
      <c r="H31" s="285"/>
      <c r="I31" s="285"/>
      <c r="J31" s="285"/>
      <c r="K31" s="390"/>
    </row>
    <row r="32" spans="1:11" ht="15.75">
      <c r="A32" s="4"/>
      <c r="B32" s="74" t="s">
        <v>161</v>
      </c>
      <c r="C32" s="284" t="s">
        <v>290</v>
      </c>
      <c r="D32" s="389">
        <f>ROUND(+'Revenue Leakages'!G15,3)</f>
        <v>0.156</v>
      </c>
      <c r="E32" s="386"/>
      <c r="F32" s="285"/>
      <c r="G32" s="285"/>
      <c r="H32" s="285"/>
      <c r="I32" s="285"/>
      <c r="J32" s="285"/>
      <c r="K32" s="390"/>
    </row>
    <row r="33" spans="1:11" ht="15.75">
      <c r="A33" s="4"/>
      <c r="B33" s="74"/>
      <c r="C33" s="284"/>
      <c r="D33" s="389"/>
      <c r="E33" s="386"/>
      <c r="F33" s="386"/>
      <c r="G33" s="387"/>
      <c r="H33" s="285"/>
      <c r="I33" s="285"/>
      <c r="J33" s="285"/>
      <c r="K33" s="341"/>
    </row>
    <row r="34" spans="1:11" ht="15.75">
      <c r="A34" s="4"/>
      <c r="B34" s="74"/>
      <c r="C34" s="284" t="s">
        <v>929</v>
      </c>
      <c r="D34" s="391"/>
      <c r="E34" s="386"/>
      <c r="F34" s="386"/>
      <c r="G34" s="387"/>
      <c r="H34" s="285"/>
      <c r="I34" s="285"/>
      <c r="J34" s="285"/>
      <c r="K34" s="341"/>
    </row>
    <row r="35" spans="1:11" ht="15.75">
      <c r="A35" s="4"/>
      <c r="B35" s="74" t="s">
        <v>162</v>
      </c>
      <c r="C35" s="284" t="s">
        <v>569</v>
      </c>
      <c r="D35" s="391">
        <f>ROUND(+'Revenue Leakages'!G22,2)</f>
        <v>0.03</v>
      </c>
      <c r="E35" s="386"/>
      <c r="F35" s="386"/>
      <c r="G35" s="387"/>
      <c r="H35" s="285"/>
      <c r="I35" s="285"/>
      <c r="J35" s="285"/>
      <c r="K35" s="341"/>
    </row>
    <row r="36" spans="1:11" ht="15.75">
      <c r="A36" s="4"/>
      <c r="B36" s="74" t="s">
        <v>173</v>
      </c>
      <c r="C36" s="284" t="s">
        <v>292</v>
      </c>
      <c r="D36" s="391">
        <f>ROUND(+'Revenue Leakages'!G20,2)</f>
        <v>0.03</v>
      </c>
      <c r="E36" s="386"/>
      <c r="F36" s="386"/>
      <c r="G36" s="387"/>
      <c r="H36" s="285"/>
      <c r="I36" s="285"/>
      <c r="J36" s="285"/>
      <c r="K36" s="341"/>
    </row>
    <row r="37" spans="1:11" ht="15.75">
      <c r="A37" s="4"/>
      <c r="B37" s="74"/>
      <c r="C37" s="284"/>
      <c r="D37" s="391"/>
      <c r="E37" s="386"/>
      <c r="F37" s="386"/>
      <c r="G37" s="387"/>
      <c r="H37" s="285"/>
      <c r="I37" s="285"/>
      <c r="J37" s="285"/>
      <c r="K37" s="341"/>
    </row>
    <row r="38" spans="1:12" ht="16.5" thickBot="1">
      <c r="A38" s="179"/>
      <c r="B38" s="295"/>
      <c r="C38" s="291"/>
      <c r="D38" s="392"/>
      <c r="E38" s="393"/>
      <c r="F38" s="393"/>
      <c r="G38" s="394"/>
      <c r="H38" s="395"/>
      <c r="I38" s="395"/>
      <c r="J38" s="395"/>
      <c r="K38" s="345"/>
      <c r="L38" s="37"/>
    </row>
    <row r="39" spans="1:11" ht="12.75">
      <c r="A39" s="62"/>
      <c r="B39" s="39"/>
      <c r="C39" s="225"/>
      <c r="D39" s="225"/>
      <c r="E39" s="225"/>
      <c r="F39" s="225"/>
      <c r="G39" s="225"/>
      <c r="H39" s="225"/>
      <c r="I39" s="225"/>
      <c r="J39" s="225"/>
      <c r="K39" s="226"/>
    </row>
    <row r="40" spans="1:11" ht="15.75">
      <c r="A40" s="63"/>
      <c r="B40" s="41"/>
      <c r="C40" s="203" t="s">
        <v>811</v>
      </c>
      <c r="D40" s="227"/>
      <c r="E40" s="227"/>
      <c r="F40" s="227"/>
      <c r="G40" s="227"/>
      <c r="H40" s="309"/>
      <c r="I40" s="227"/>
      <c r="J40" s="227"/>
      <c r="K40" s="228"/>
    </row>
    <row r="41" spans="1:11" ht="13.5" thickBot="1">
      <c r="A41" s="63"/>
      <c r="B41" s="41"/>
      <c r="C41" s="229"/>
      <c r="D41" s="230"/>
      <c r="E41" s="230"/>
      <c r="F41" s="230"/>
      <c r="G41" s="230"/>
      <c r="H41" s="230"/>
      <c r="I41" s="230"/>
      <c r="J41" s="230"/>
      <c r="K41" s="231"/>
    </row>
    <row r="42" spans="1:11" ht="13.5" thickTop="1">
      <c r="A42" s="63"/>
      <c r="B42" s="41"/>
      <c r="C42" s="227" t="s">
        <v>570</v>
      </c>
      <c r="D42" s="227"/>
      <c r="E42" s="227"/>
      <c r="F42" s="227"/>
      <c r="G42" s="227"/>
      <c r="H42" s="227"/>
      <c r="I42" s="227"/>
      <c r="J42" s="227"/>
      <c r="K42" s="228"/>
    </row>
    <row r="43" spans="1:11" ht="12.75">
      <c r="A43" s="63"/>
      <c r="B43" s="41"/>
      <c r="C43" s="227" t="s">
        <v>571</v>
      </c>
      <c r="D43" s="227"/>
      <c r="E43" s="227"/>
      <c r="F43" s="227"/>
      <c r="G43" s="227"/>
      <c r="H43" s="227"/>
      <c r="I43" s="227"/>
      <c r="J43" s="227"/>
      <c r="K43" s="228"/>
    </row>
    <row r="44" spans="1:11" ht="12.75">
      <c r="A44" s="63"/>
      <c r="B44" s="41"/>
      <c r="C44" s="227" t="s">
        <v>572</v>
      </c>
      <c r="D44" s="227"/>
      <c r="E44" s="227"/>
      <c r="F44" s="227"/>
      <c r="G44" s="227"/>
      <c r="H44" s="227"/>
      <c r="I44" s="227"/>
      <c r="J44" s="227"/>
      <c r="K44" s="228"/>
    </row>
    <row r="45" spans="1:11" ht="12.75">
      <c r="A45" s="63"/>
      <c r="B45" s="41"/>
      <c r="C45" s="227" t="s">
        <v>577</v>
      </c>
      <c r="D45" s="227"/>
      <c r="E45" s="227"/>
      <c r="F45" s="227"/>
      <c r="G45" s="227"/>
      <c r="H45" s="227"/>
      <c r="I45" s="227"/>
      <c r="J45" s="227"/>
      <c r="K45" s="228"/>
    </row>
    <row r="46" spans="1:11" ht="12.75">
      <c r="A46" s="63"/>
      <c r="B46" s="41"/>
      <c r="C46" s="227" t="s">
        <v>578</v>
      </c>
      <c r="D46" s="227"/>
      <c r="E46" s="227"/>
      <c r="F46" s="227"/>
      <c r="G46" s="227"/>
      <c r="H46" s="227"/>
      <c r="I46" s="227"/>
      <c r="J46" s="227"/>
      <c r="K46" s="228"/>
    </row>
    <row r="47" spans="1:11" ht="12.75">
      <c r="A47" s="63"/>
      <c r="B47" s="41"/>
      <c r="C47" s="227" t="s">
        <v>579</v>
      </c>
      <c r="D47" s="227"/>
      <c r="E47" s="227"/>
      <c r="F47" s="227"/>
      <c r="G47" s="227"/>
      <c r="H47" s="227"/>
      <c r="I47" s="227"/>
      <c r="J47" s="227"/>
      <c r="K47" s="228"/>
    </row>
    <row r="48" spans="1:11" ht="12.75">
      <c r="A48" s="63"/>
      <c r="B48" s="41"/>
      <c r="C48" s="227" t="s">
        <v>620</v>
      </c>
      <c r="D48" s="227"/>
      <c r="E48" s="227"/>
      <c r="F48" s="227"/>
      <c r="G48" s="227"/>
      <c r="H48" s="227"/>
      <c r="I48" s="227"/>
      <c r="J48" s="227"/>
      <c r="K48" s="228"/>
    </row>
    <row r="49" spans="1:11" ht="12.75">
      <c r="A49" s="63"/>
      <c r="B49" s="41"/>
      <c r="C49" s="227" t="s">
        <v>621</v>
      </c>
      <c r="D49" s="227"/>
      <c r="E49" s="227"/>
      <c r="F49" s="227"/>
      <c r="G49" s="227"/>
      <c r="H49" s="227"/>
      <c r="I49" s="227"/>
      <c r="J49" s="227"/>
      <c r="K49" s="228"/>
    </row>
    <row r="50" spans="1:11" ht="12.75">
      <c r="A50" s="63"/>
      <c r="B50" s="41"/>
      <c r="C50" s="227" t="s">
        <v>622</v>
      </c>
      <c r="D50" s="227"/>
      <c r="E50" s="227"/>
      <c r="F50" s="227"/>
      <c r="G50" s="227"/>
      <c r="H50" s="227"/>
      <c r="I50" s="227"/>
      <c r="J50" s="227"/>
      <c r="K50" s="228"/>
    </row>
    <row r="51" spans="1:11" ht="12.75">
      <c r="A51" s="63"/>
      <c r="B51" s="41"/>
      <c r="C51" s="227" t="s">
        <v>623</v>
      </c>
      <c r="D51" s="227"/>
      <c r="E51" s="227"/>
      <c r="F51" s="227"/>
      <c r="G51" s="227"/>
      <c r="H51" s="227"/>
      <c r="I51" s="227"/>
      <c r="J51" s="227"/>
      <c r="K51" s="228"/>
    </row>
    <row r="52" spans="1:11" ht="12.75">
      <c r="A52" s="63"/>
      <c r="B52" s="41"/>
      <c r="C52" s="227" t="s">
        <v>624</v>
      </c>
      <c r="D52" s="227"/>
      <c r="E52" s="227"/>
      <c r="F52" s="227"/>
      <c r="G52" s="227"/>
      <c r="H52" s="227"/>
      <c r="I52" s="227"/>
      <c r="J52" s="227"/>
      <c r="K52" s="228"/>
    </row>
    <row r="53" spans="1:11" ht="12.75">
      <c r="A53" s="63"/>
      <c r="B53" s="41"/>
      <c r="C53" s="227" t="s">
        <v>625</v>
      </c>
      <c r="D53" s="227"/>
      <c r="E53" s="227"/>
      <c r="F53" s="227"/>
      <c r="G53" s="227"/>
      <c r="H53" s="227"/>
      <c r="I53" s="227"/>
      <c r="J53" s="227"/>
      <c r="K53" s="228"/>
    </row>
    <row r="54" spans="1:11" ht="12.75">
      <c r="A54" s="63"/>
      <c r="B54" s="41"/>
      <c r="C54" s="227" t="s">
        <v>626</v>
      </c>
      <c r="D54" s="227"/>
      <c r="E54" s="227"/>
      <c r="F54" s="227"/>
      <c r="G54" s="227"/>
      <c r="H54" s="227"/>
      <c r="I54" s="227"/>
      <c r="J54" s="227"/>
      <c r="K54" s="228"/>
    </row>
    <row r="55" spans="1:11" ht="12.75">
      <c r="A55" s="63"/>
      <c r="B55" s="41"/>
      <c r="C55" s="227" t="s">
        <v>627</v>
      </c>
      <c r="D55" s="227"/>
      <c r="E55" s="227"/>
      <c r="F55" s="227"/>
      <c r="G55" s="227"/>
      <c r="H55" s="227"/>
      <c r="I55" s="227"/>
      <c r="J55" s="227"/>
      <c r="K55" s="228"/>
    </row>
    <row r="56" spans="1:11" ht="12.75">
      <c r="A56" s="63"/>
      <c r="B56" s="41"/>
      <c r="C56" s="227" t="s">
        <v>628</v>
      </c>
      <c r="D56" s="227"/>
      <c r="E56" s="227"/>
      <c r="F56" s="227"/>
      <c r="G56" s="227"/>
      <c r="H56" s="227"/>
      <c r="I56" s="227"/>
      <c r="J56" s="227"/>
      <c r="K56" s="228"/>
    </row>
    <row r="57" spans="1:11" ht="12.75">
      <c r="A57" s="63"/>
      <c r="B57" s="41"/>
      <c r="C57" s="227" t="s">
        <v>470</v>
      </c>
      <c r="D57" s="227"/>
      <c r="E57" s="227"/>
      <c r="F57" s="227"/>
      <c r="G57" s="227"/>
      <c r="H57" s="227"/>
      <c r="I57" s="227"/>
      <c r="J57" s="227"/>
      <c r="K57" s="228"/>
    </row>
    <row r="58" spans="1:11" ht="12.75">
      <c r="A58" s="63"/>
      <c r="B58" s="41"/>
      <c r="C58" s="227" t="s">
        <v>894</v>
      </c>
      <c r="D58" s="227"/>
      <c r="E58" s="227"/>
      <c r="F58" s="227"/>
      <c r="G58" s="227"/>
      <c r="H58" s="227"/>
      <c r="I58" s="227"/>
      <c r="J58" s="227"/>
      <c r="K58" s="228"/>
    </row>
    <row r="59" spans="1:11" ht="12.75">
      <c r="A59" s="63"/>
      <c r="B59" s="41"/>
      <c r="C59" s="227" t="s">
        <v>471</v>
      </c>
      <c r="D59" s="227"/>
      <c r="E59" s="227"/>
      <c r="F59" s="227"/>
      <c r="G59" s="227"/>
      <c r="H59" s="227"/>
      <c r="I59" s="227"/>
      <c r="J59" s="227"/>
      <c r="K59" s="228"/>
    </row>
    <row r="60" spans="1:11" ht="12.75">
      <c r="A60" s="63"/>
      <c r="B60" s="41"/>
      <c r="C60" s="227" t="s">
        <v>895</v>
      </c>
      <c r="D60" s="227"/>
      <c r="E60" s="227"/>
      <c r="F60" s="227"/>
      <c r="G60" s="227"/>
      <c r="H60" s="227"/>
      <c r="I60" s="227"/>
      <c r="J60" s="227"/>
      <c r="K60" s="228"/>
    </row>
    <row r="61" spans="1:11" ht="12.75">
      <c r="A61" s="63"/>
      <c r="B61" s="41"/>
      <c r="C61" s="227" t="s">
        <v>472</v>
      </c>
      <c r="D61" s="227"/>
      <c r="E61" s="227"/>
      <c r="F61" s="227"/>
      <c r="G61" s="227"/>
      <c r="H61" s="227"/>
      <c r="I61" s="227"/>
      <c r="J61" s="227"/>
      <c r="K61" s="228"/>
    </row>
    <row r="62" spans="1:11" ht="12.75">
      <c r="A62" s="63"/>
      <c r="B62" s="41"/>
      <c r="C62" s="227" t="s">
        <v>895</v>
      </c>
      <c r="D62" s="227"/>
      <c r="E62" s="227"/>
      <c r="F62" s="227"/>
      <c r="G62" s="227"/>
      <c r="H62" s="227"/>
      <c r="I62" s="227"/>
      <c r="J62" s="227"/>
      <c r="K62" s="228"/>
    </row>
    <row r="63" spans="1:11" ht="12.75">
      <c r="A63" s="63"/>
      <c r="B63" s="41"/>
      <c r="C63" s="227" t="s">
        <v>473</v>
      </c>
      <c r="D63" s="227"/>
      <c r="E63" s="227"/>
      <c r="F63" s="227"/>
      <c r="G63" s="227"/>
      <c r="H63" s="227"/>
      <c r="I63" s="227"/>
      <c r="J63" s="227"/>
      <c r="K63" s="228"/>
    </row>
    <row r="64" spans="1:11" ht="12.75">
      <c r="A64" s="63"/>
      <c r="B64" s="41"/>
      <c r="C64" s="227" t="s">
        <v>474</v>
      </c>
      <c r="D64" s="227"/>
      <c r="E64" s="227"/>
      <c r="F64" s="227"/>
      <c r="G64" s="227"/>
      <c r="H64" s="227"/>
      <c r="I64" s="227"/>
      <c r="J64" s="227"/>
      <c r="K64" s="228"/>
    </row>
    <row r="65" spans="1:11" ht="12.75">
      <c r="A65" s="63"/>
      <c r="B65" s="41"/>
      <c r="C65" s="227" t="s">
        <v>576</v>
      </c>
      <c r="D65" s="227"/>
      <c r="E65" s="227"/>
      <c r="F65" s="227"/>
      <c r="G65" s="227"/>
      <c r="H65" s="227"/>
      <c r="I65" s="227"/>
      <c r="J65" s="227"/>
      <c r="K65" s="228"/>
    </row>
    <row r="66" spans="1:11" ht="12.75">
      <c r="A66" s="63"/>
      <c r="B66" s="41"/>
      <c r="C66" s="227" t="s">
        <v>575</v>
      </c>
      <c r="D66" s="227"/>
      <c r="E66" s="227"/>
      <c r="F66" s="227"/>
      <c r="G66" s="227"/>
      <c r="H66" s="227"/>
      <c r="I66" s="227"/>
      <c r="J66" s="227"/>
      <c r="K66" s="228"/>
    </row>
    <row r="67" spans="1:11" ht="13.5" thickBot="1">
      <c r="A67" s="21"/>
      <c r="B67" s="43"/>
      <c r="C67" s="233"/>
      <c r="D67" s="233"/>
      <c r="E67" s="233"/>
      <c r="F67" s="233"/>
      <c r="G67" s="233"/>
      <c r="H67" s="233"/>
      <c r="I67" s="233"/>
      <c r="J67" s="233"/>
      <c r="K67" s="234"/>
    </row>
  </sheetData>
  <mergeCells count="2">
    <mergeCell ref="A4:K4"/>
    <mergeCell ref="E6:K6"/>
  </mergeCells>
  <printOptions/>
  <pageMargins left="0.75" right="0.75" top="1" bottom="1" header="0.5" footer="0.5"/>
  <pageSetup fitToHeight="1" fitToWidth="1" horizontalDpi="600" verticalDpi="600" orientation="portrait" scale="67" r:id="rId1"/>
  <headerFooter alignWithMargins="0">
    <oddHeader>&amp;RUSPS-LR-L-41
Bound Printed Matter Spreadsheets
&amp;A</oddHeader>
    <oddFooter>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8.140625" style="0" customWidth="1"/>
    <col min="4" max="4" width="5.140625" style="0" customWidth="1"/>
    <col min="5" max="5" width="13.7109375" style="0" customWidth="1"/>
    <col min="6" max="9" width="11.7109375" style="0" customWidth="1"/>
    <col min="10" max="10" width="12.8515625" style="0" customWidth="1"/>
    <col min="11" max="11" width="11.7109375" style="0" customWidth="1"/>
  </cols>
  <sheetData>
    <row r="1" spans="1:11" ht="15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5.75">
      <c r="A2" s="4"/>
      <c r="B2" s="5"/>
      <c r="C2" s="23"/>
      <c r="D2" s="23"/>
      <c r="E2" s="23"/>
      <c r="F2" s="23"/>
      <c r="G2" s="23"/>
      <c r="H2" s="23"/>
      <c r="I2" s="23"/>
      <c r="J2" s="36"/>
      <c r="K2" s="665" t="s">
        <v>591</v>
      </c>
    </row>
    <row r="3" spans="1:11" ht="15.75">
      <c r="A3" s="4"/>
      <c r="B3" s="5"/>
      <c r="C3" s="23"/>
      <c r="D3" s="23"/>
      <c r="E3" s="23"/>
      <c r="F3" s="23"/>
      <c r="G3" s="23"/>
      <c r="H3" s="23"/>
      <c r="I3" s="23"/>
      <c r="J3" s="36"/>
      <c r="K3" s="665" t="s">
        <v>798</v>
      </c>
    </row>
    <row r="4" spans="1:11" ht="21">
      <c r="A4" s="692" t="s">
        <v>990</v>
      </c>
      <c r="B4" s="693"/>
      <c r="C4" s="693"/>
      <c r="D4" s="693"/>
      <c r="E4" s="693"/>
      <c r="F4" s="693"/>
      <c r="G4" s="693"/>
      <c r="H4" s="693"/>
      <c r="I4" s="693"/>
      <c r="J4" s="693"/>
      <c r="K4" s="694"/>
    </row>
    <row r="5" spans="1:11" ht="15.75" thickBot="1">
      <c r="A5" s="15"/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11" ht="16.5" thickTop="1">
      <c r="A6" s="4"/>
      <c r="B6" s="178"/>
      <c r="C6" s="156"/>
      <c r="D6" s="149"/>
      <c r="E6" s="127"/>
      <c r="F6" s="149"/>
      <c r="G6" s="149"/>
      <c r="H6" s="149"/>
      <c r="I6" s="149"/>
      <c r="J6" s="149"/>
      <c r="K6" s="128"/>
    </row>
    <row r="7" spans="1:11" ht="15.75">
      <c r="A7" s="4"/>
      <c r="B7" s="14"/>
      <c r="C7" s="156"/>
      <c r="D7" s="149"/>
      <c r="E7" s="592"/>
      <c r="F7" s="82"/>
      <c r="G7" s="82"/>
      <c r="H7" s="82"/>
      <c r="I7" s="82"/>
      <c r="J7" s="82"/>
      <c r="K7" s="160"/>
    </row>
    <row r="8" spans="1:11" ht="15.75">
      <c r="A8" s="4"/>
      <c r="B8" s="178"/>
      <c r="C8" s="702" t="s">
        <v>853</v>
      </c>
      <c r="D8" s="703"/>
      <c r="E8" s="157"/>
      <c r="F8" s="157"/>
      <c r="G8" s="157"/>
      <c r="H8" s="157"/>
      <c r="I8" s="127"/>
      <c r="J8" s="237"/>
      <c r="K8" s="193"/>
    </row>
    <row r="9" spans="1:11" ht="15.75">
      <c r="A9" s="4"/>
      <c r="B9" s="178"/>
      <c r="C9" s="702" t="s">
        <v>799</v>
      </c>
      <c r="D9" s="703"/>
      <c r="E9" s="157" t="s">
        <v>855</v>
      </c>
      <c r="F9" s="157" t="s">
        <v>856</v>
      </c>
      <c r="G9" s="157" t="s">
        <v>857</v>
      </c>
      <c r="H9" s="157" t="s">
        <v>858</v>
      </c>
      <c r="I9" s="127" t="s">
        <v>859</v>
      </c>
      <c r="J9" s="157" t="s">
        <v>860</v>
      </c>
      <c r="K9" s="193" t="s">
        <v>861</v>
      </c>
    </row>
    <row r="10" spans="1:11" ht="15.75">
      <c r="A10" s="4"/>
      <c r="B10" s="178"/>
      <c r="C10" s="718" t="s">
        <v>800</v>
      </c>
      <c r="D10" s="720"/>
      <c r="E10" s="269"/>
      <c r="F10" s="158"/>
      <c r="G10" s="158"/>
      <c r="H10" s="158"/>
      <c r="I10" s="159"/>
      <c r="J10" s="158"/>
      <c r="K10" s="194"/>
    </row>
    <row r="11" spans="1:11" ht="15.75">
      <c r="A11" s="4"/>
      <c r="B11" s="178"/>
      <c r="C11" s="396">
        <v>1</v>
      </c>
      <c r="D11" s="397"/>
      <c r="E11" s="643">
        <v>2.115</v>
      </c>
      <c r="F11" s="643">
        <v>2.16</v>
      </c>
      <c r="G11" s="643">
        <v>2.22</v>
      </c>
      <c r="H11" s="643">
        <v>2.295</v>
      </c>
      <c r="I11" s="643">
        <v>2.37</v>
      </c>
      <c r="J11" s="643">
        <v>2.445</v>
      </c>
      <c r="K11" s="644">
        <v>2.61</v>
      </c>
    </row>
    <row r="12" spans="1:11" ht="15.75">
      <c r="A12" s="4"/>
      <c r="B12" s="178"/>
      <c r="C12" s="396">
        <v>1.5</v>
      </c>
      <c r="D12" s="397"/>
      <c r="E12" s="643">
        <f>+'Adjusted Rate Elements'!$D$12+$C12*'Adjusted Rate Elements'!E$12</f>
        <v>2.115</v>
      </c>
      <c r="F12" s="643">
        <f>+'Adjusted Rate Elements'!$D$12+$C12*'Adjusted Rate Elements'!F$12</f>
        <v>2.16</v>
      </c>
      <c r="G12" s="643">
        <f>+'Adjusted Rate Elements'!$D$12+$C12*'Adjusted Rate Elements'!G$12</f>
        <v>2.22</v>
      </c>
      <c r="H12" s="643">
        <f>+'Adjusted Rate Elements'!$D$12+$C12*'Adjusted Rate Elements'!H$12</f>
        <v>2.295</v>
      </c>
      <c r="I12" s="643">
        <f>+'Adjusted Rate Elements'!$D$12+$C12*'Adjusted Rate Elements'!I$12</f>
        <v>2.37</v>
      </c>
      <c r="J12" s="643">
        <f>+'Adjusted Rate Elements'!$D$12+$C12*'Adjusted Rate Elements'!J$12</f>
        <v>2.4450000000000003</v>
      </c>
      <c r="K12" s="644">
        <f>+'Adjusted Rate Elements'!$D$12+$C12*'Adjusted Rate Elements'!K$12</f>
        <v>2.6100000000000003</v>
      </c>
    </row>
    <row r="13" spans="1:11" ht="15.75">
      <c r="A13" s="4"/>
      <c r="B13" s="74"/>
      <c r="C13" s="396">
        <v>2</v>
      </c>
      <c r="D13" s="397"/>
      <c r="E13" s="643">
        <f>+'Adjusted Rate Elements'!$D$12+$C13*'Adjusted Rate Elements'!E$12</f>
        <v>2.21</v>
      </c>
      <c r="F13" s="643">
        <f>+'Adjusted Rate Elements'!$D$12+$C13*'Adjusted Rate Elements'!F$12</f>
        <v>2.27</v>
      </c>
      <c r="G13" s="643">
        <f>+'Adjusted Rate Elements'!$D$12+$C13*'Adjusted Rate Elements'!G$12</f>
        <v>2.35</v>
      </c>
      <c r="H13" s="643">
        <f>+'Adjusted Rate Elements'!$D$12+$C13*'Adjusted Rate Elements'!H$12</f>
        <v>2.45</v>
      </c>
      <c r="I13" s="643">
        <f>+'Adjusted Rate Elements'!$D$12+$C13*'Adjusted Rate Elements'!I$12</f>
        <v>2.55</v>
      </c>
      <c r="J13" s="643">
        <f>+'Adjusted Rate Elements'!$D$12+$C13*'Adjusted Rate Elements'!J$12</f>
        <v>2.65</v>
      </c>
      <c r="K13" s="644">
        <f>+'Adjusted Rate Elements'!$D$12+$C13*'Adjusted Rate Elements'!K$12</f>
        <v>2.87</v>
      </c>
    </row>
    <row r="14" spans="1:11" ht="15.75">
      <c r="A14" s="4"/>
      <c r="B14" s="74"/>
      <c r="C14" s="398">
        <v>2.5</v>
      </c>
      <c r="D14" s="399"/>
      <c r="E14" s="643">
        <f>+'Adjusted Rate Elements'!$D$12+$C14*'Adjusted Rate Elements'!E$12</f>
        <v>2.305</v>
      </c>
      <c r="F14" s="643">
        <f>+'Adjusted Rate Elements'!$D$12+$C14*'Adjusted Rate Elements'!F$12</f>
        <v>2.38</v>
      </c>
      <c r="G14" s="643">
        <f>+'Adjusted Rate Elements'!$D$12+$C14*'Adjusted Rate Elements'!G$12</f>
        <v>2.48</v>
      </c>
      <c r="H14" s="643">
        <f>+'Adjusted Rate Elements'!$D$12+$C14*'Adjusted Rate Elements'!H$12</f>
        <v>2.605</v>
      </c>
      <c r="I14" s="643">
        <f>+'Adjusted Rate Elements'!$D$12+$C14*'Adjusted Rate Elements'!I$12</f>
        <v>2.73</v>
      </c>
      <c r="J14" s="643">
        <f>+'Adjusted Rate Elements'!$D$12+$C14*'Adjusted Rate Elements'!J$12</f>
        <v>2.855</v>
      </c>
      <c r="K14" s="644">
        <f>+'Adjusted Rate Elements'!$D$12+$C14*'Adjusted Rate Elements'!K$12</f>
        <v>3.13</v>
      </c>
    </row>
    <row r="15" spans="1:11" ht="15.75">
      <c r="A15" s="4"/>
      <c r="B15" s="74"/>
      <c r="C15" s="398">
        <v>3</v>
      </c>
      <c r="D15" s="399"/>
      <c r="E15" s="643">
        <f>+'Adjusted Rate Elements'!$D$12+$C15*'Adjusted Rate Elements'!E$12</f>
        <v>2.4000000000000004</v>
      </c>
      <c r="F15" s="643">
        <f>+'Adjusted Rate Elements'!$D$12+$C15*'Adjusted Rate Elements'!F$12</f>
        <v>2.49</v>
      </c>
      <c r="G15" s="643">
        <f>+'Adjusted Rate Elements'!$D$12+$C15*'Adjusted Rate Elements'!G$12</f>
        <v>2.6100000000000003</v>
      </c>
      <c r="H15" s="643">
        <f>+'Adjusted Rate Elements'!$D$12+$C15*'Adjusted Rate Elements'!H$12</f>
        <v>2.76</v>
      </c>
      <c r="I15" s="643">
        <f>+'Adjusted Rate Elements'!$D$12+$C15*'Adjusted Rate Elements'!I$12</f>
        <v>2.91</v>
      </c>
      <c r="J15" s="643">
        <f>+'Adjusted Rate Elements'!$D$12+$C15*'Adjusted Rate Elements'!J$12</f>
        <v>3.06</v>
      </c>
      <c r="K15" s="644">
        <f>+'Adjusted Rate Elements'!$D$12+$C15*'Adjusted Rate Elements'!K$12</f>
        <v>3.39</v>
      </c>
    </row>
    <row r="16" spans="1:11" ht="15.75">
      <c r="A16" s="4"/>
      <c r="B16" s="74"/>
      <c r="C16" s="398">
        <v>3.5</v>
      </c>
      <c r="D16" s="399"/>
      <c r="E16" s="643">
        <f>+'Adjusted Rate Elements'!$D$12+$C16*'Adjusted Rate Elements'!E$12</f>
        <v>2.495</v>
      </c>
      <c r="F16" s="643">
        <f>+'Adjusted Rate Elements'!$D$12+$C16*'Adjusted Rate Elements'!F$12</f>
        <v>2.6</v>
      </c>
      <c r="G16" s="643">
        <f>+'Adjusted Rate Elements'!$D$12+$C16*'Adjusted Rate Elements'!G$12</f>
        <v>2.74</v>
      </c>
      <c r="H16" s="643">
        <f>+'Adjusted Rate Elements'!$D$12+$C16*'Adjusted Rate Elements'!H$12</f>
        <v>2.915</v>
      </c>
      <c r="I16" s="643">
        <f>+'Adjusted Rate Elements'!$D$12+$C16*'Adjusted Rate Elements'!I$12</f>
        <v>3.09</v>
      </c>
      <c r="J16" s="643">
        <f>+'Adjusted Rate Elements'!$D$12+$C16*'Adjusted Rate Elements'!J$12</f>
        <v>3.2649999999999997</v>
      </c>
      <c r="K16" s="644">
        <f>+'Adjusted Rate Elements'!$D$12+$C16*'Adjusted Rate Elements'!K$12</f>
        <v>3.6500000000000004</v>
      </c>
    </row>
    <row r="17" spans="1:11" ht="15.75">
      <c r="A17" s="4"/>
      <c r="B17" s="74"/>
      <c r="C17" s="398">
        <v>4</v>
      </c>
      <c r="D17" s="399"/>
      <c r="E17" s="643">
        <f>+'Adjusted Rate Elements'!$D$12+$C17*'Adjusted Rate Elements'!E$12</f>
        <v>2.59</v>
      </c>
      <c r="F17" s="643">
        <f>+'Adjusted Rate Elements'!$D$12+$C17*'Adjusted Rate Elements'!F$12</f>
        <v>2.71</v>
      </c>
      <c r="G17" s="643">
        <f>+'Adjusted Rate Elements'!$D$12+$C17*'Adjusted Rate Elements'!G$12</f>
        <v>2.87</v>
      </c>
      <c r="H17" s="643">
        <f>+'Adjusted Rate Elements'!$D$12+$C17*'Adjusted Rate Elements'!H$12</f>
        <v>3.0700000000000003</v>
      </c>
      <c r="I17" s="643">
        <f>+'Adjusted Rate Elements'!$D$12+$C17*'Adjusted Rate Elements'!I$12</f>
        <v>3.27</v>
      </c>
      <c r="J17" s="643">
        <f>+'Adjusted Rate Elements'!$D$12+$C17*'Adjusted Rate Elements'!J$12</f>
        <v>3.4699999999999998</v>
      </c>
      <c r="K17" s="644">
        <f>+'Adjusted Rate Elements'!$D$12+$C17*'Adjusted Rate Elements'!K$12</f>
        <v>3.91</v>
      </c>
    </row>
    <row r="18" spans="1:11" ht="15.75">
      <c r="A18" s="4"/>
      <c r="B18" s="74"/>
      <c r="C18" s="398">
        <v>4.5</v>
      </c>
      <c r="D18" s="399"/>
      <c r="E18" s="643">
        <f>+'Adjusted Rate Elements'!$D$12+$C18*'Adjusted Rate Elements'!E$12</f>
        <v>2.685</v>
      </c>
      <c r="F18" s="643">
        <f>+'Adjusted Rate Elements'!$D$12+$C18*'Adjusted Rate Elements'!F$12</f>
        <v>2.8200000000000003</v>
      </c>
      <c r="G18" s="643">
        <f>+'Adjusted Rate Elements'!$D$12+$C18*'Adjusted Rate Elements'!G$12</f>
        <v>3</v>
      </c>
      <c r="H18" s="643">
        <f>+'Adjusted Rate Elements'!$D$12+$C18*'Adjusted Rate Elements'!H$12</f>
        <v>3.225</v>
      </c>
      <c r="I18" s="643">
        <f>+'Adjusted Rate Elements'!$D$12+$C18*'Adjusted Rate Elements'!I$12</f>
        <v>3.45</v>
      </c>
      <c r="J18" s="643">
        <f>+'Adjusted Rate Elements'!$D$12+$C18*'Adjusted Rate Elements'!J$12</f>
        <v>3.675</v>
      </c>
      <c r="K18" s="644">
        <f>+'Adjusted Rate Elements'!$D$12+$C18*'Adjusted Rate Elements'!K$12</f>
        <v>4.17</v>
      </c>
    </row>
    <row r="19" spans="1:11" ht="15.75">
      <c r="A19" s="4"/>
      <c r="B19" s="74"/>
      <c r="C19" s="398">
        <v>5</v>
      </c>
      <c r="D19" s="399"/>
      <c r="E19" s="643">
        <f>+'Adjusted Rate Elements'!$D$12+$C19*'Adjusted Rate Elements'!E$12</f>
        <v>2.7800000000000002</v>
      </c>
      <c r="F19" s="643">
        <f>+'Adjusted Rate Elements'!$D$12+$C19*'Adjusted Rate Elements'!F$12</f>
        <v>2.93</v>
      </c>
      <c r="G19" s="643">
        <f>+'Adjusted Rate Elements'!$D$12+$C19*'Adjusted Rate Elements'!G$12</f>
        <v>3.13</v>
      </c>
      <c r="H19" s="643">
        <f>+'Adjusted Rate Elements'!$D$12+$C19*'Adjusted Rate Elements'!H$12</f>
        <v>3.38</v>
      </c>
      <c r="I19" s="643">
        <f>+'Adjusted Rate Elements'!$D$12+$C19*'Adjusted Rate Elements'!I$12</f>
        <v>3.63</v>
      </c>
      <c r="J19" s="643">
        <f>+'Adjusted Rate Elements'!$D$12+$C19*'Adjusted Rate Elements'!J$12</f>
        <v>3.88</v>
      </c>
      <c r="K19" s="644">
        <f>+'Adjusted Rate Elements'!$D$12+$C19*'Adjusted Rate Elements'!K$12</f>
        <v>4.43</v>
      </c>
    </row>
    <row r="20" spans="1:11" ht="15.75">
      <c r="A20" s="4"/>
      <c r="B20" s="74"/>
      <c r="C20" s="398">
        <v>6</v>
      </c>
      <c r="D20" s="399"/>
      <c r="E20" s="643">
        <f>+'Adjusted Rate Elements'!$D$12+$C20*'Adjusted Rate Elements'!E$12</f>
        <v>2.97</v>
      </c>
      <c r="F20" s="643">
        <f>+'Adjusted Rate Elements'!$D$12+$C20*'Adjusted Rate Elements'!F$12</f>
        <v>3.1500000000000004</v>
      </c>
      <c r="G20" s="643">
        <f>+'Adjusted Rate Elements'!$D$12+$C20*'Adjusted Rate Elements'!G$12</f>
        <v>3.39</v>
      </c>
      <c r="H20" s="643">
        <f>+'Adjusted Rate Elements'!$D$12+$C20*'Adjusted Rate Elements'!H$12</f>
        <v>3.69</v>
      </c>
      <c r="I20" s="643">
        <f>+'Adjusted Rate Elements'!$D$12+$C20*'Adjusted Rate Elements'!I$12</f>
        <v>3.99</v>
      </c>
      <c r="J20" s="643">
        <f>+'Adjusted Rate Elements'!$D$12+$C20*'Adjusted Rate Elements'!J$12</f>
        <v>4.29</v>
      </c>
      <c r="K20" s="644">
        <f>+'Adjusted Rate Elements'!$D$12+$C20*'Adjusted Rate Elements'!K$12</f>
        <v>4.95</v>
      </c>
    </row>
    <row r="21" spans="1:11" ht="15.75">
      <c r="A21" s="4"/>
      <c r="B21" s="74"/>
      <c r="C21" s="398">
        <v>7</v>
      </c>
      <c r="D21" s="399"/>
      <c r="E21" s="643">
        <f>+'Adjusted Rate Elements'!$D$12+$C21*'Adjusted Rate Elements'!E$12</f>
        <v>3.16</v>
      </c>
      <c r="F21" s="643">
        <f>+'Adjusted Rate Elements'!$D$12+$C21*'Adjusted Rate Elements'!F$12</f>
        <v>3.37</v>
      </c>
      <c r="G21" s="643">
        <f>+'Adjusted Rate Elements'!$D$12+$C21*'Adjusted Rate Elements'!G$12</f>
        <v>3.6500000000000004</v>
      </c>
      <c r="H21" s="643">
        <f>+'Adjusted Rate Elements'!$D$12+$C21*'Adjusted Rate Elements'!H$12</f>
        <v>4</v>
      </c>
      <c r="I21" s="643">
        <f>+'Adjusted Rate Elements'!$D$12+$C21*'Adjusted Rate Elements'!I$12</f>
        <v>4.35</v>
      </c>
      <c r="J21" s="643">
        <f>+'Adjusted Rate Elements'!$D$12+$C21*'Adjusted Rate Elements'!J$12</f>
        <v>4.699999999999999</v>
      </c>
      <c r="K21" s="644">
        <f>+'Adjusted Rate Elements'!$D$12+$C21*'Adjusted Rate Elements'!K$12</f>
        <v>5.470000000000001</v>
      </c>
    </row>
    <row r="22" spans="1:11" ht="15.75">
      <c r="A22" s="4"/>
      <c r="B22" s="74"/>
      <c r="C22" s="398">
        <v>8</v>
      </c>
      <c r="D22" s="399"/>
      <c r="E22" s="643">
        <f>+'Adjusted Rate Elements'!$D$12+$C22*'Adjusted Rate Elements'!E$12</f>
        <v>3.35</v>
      </c>
      <c r="F22" s="643">
        <f>+'Adjusted Rate Elements'!$D$12+$C22*'Adjusted Rate Elements'!F$12</f>
        <v>3.59</v>
      </c>
      <c r="G22" s="643">
        <f>+'Adjusted Rate Elements'!$D$12+$C22*'Adjusted Rate Elements'!G$12</f>
        <v>3.91</v>
      </c>
      <c r="H22" s="643">
        <f>+'Adjusted Rate Elements'!$D$12+$C22*'Adjusted Rate Elements'!H$12</f>
        <v>4.3100000000000005</v>
      </c>
      <c r="I22" s="643">
        <f>+'Adjusted Rate Elements'!$D$12+$C22*'Adjusted Rate Elements'!I$12</f>
        <v>4.71</v>
      </c>
      <c r="J22" s="643">
        <f>+'Adjusted Rate Elements'!$D$12+$C22*'Adjusted Rate Elements'!J$12</f>
        <v>5.109999999999999</v>
      </c>
      <c r="K22" s="644">
        <f>+'Adjusted Rate Elements'!$D$12+$C22*'Adjusted Rate Elements'!K$12</f>
        <v>5.99</v>
      </c>
    </row>
    <row r="23" spans="1:11" ht="15.75">
      <c r="A23" s="4"/>
      <c r="B23" s="74"/>
      <c r="C23" s="398">
        <v>9</v>
      </c>
      <c r="D23" s="399"/>
      <c r="E23" s="643">
        <f>+'Adjusted Rate Elements'!$D$12+$C23*'Adjusted Rate Elements'!E$12</f>
        <v>3.54</v>
      </c>
      <c r="F23" s="643">
        <f>+'Adjusted Rate Elements'!$D$12+$C23*'Adjusted Rate Elements'!F$12</f>
        <v>3.81</v>
      </c>
      <c r="G23" s="643">
        <f>+'Adjusted Rate Elements'!$D$12+$C23*'Adjusted Rate Elements'!G$12</f>
        <v>4.17</v>
      </c>
      <c r="H23" s="643">
        <f>+'Adjusted Rate Elements'!$D$12+$C23*'Adjusted Rate Elements'!H$12</f>
        <v>4.62</v>
      </c>
      <c r="I23" s="643">
        <f>+'Adjusted Rate Elements'!$D$12+$C23*'Adjusted Rate Elements'!I$12</f>
        <v>5.07</v>
      </c>
      <c r="J23" s="643">
        <f>+'Adjusted Rate Elements'!$D$12+$C23*'Adjusted Rate Elements'!J$12</f>
        <v>5.52</v>
      </c>
      <c r="K23" s="644">
        <f>+'Adjusted Rate Elements'!$D$12+$C23*'Adjusted Rate Elements'!K$12</f>
        <v>6.51</v>
      </c>
    </row>
    <row r="24" spans="1:11" ht="15.75">
      <c r="A24" s="4"/>
      <c r="B24" s="74"/>
      <c r="C24" s="398">
        <v>10</v>
      </c>
      <c r="D24" s="399"/>
      <c r="E24" s="643">
        <f>+'Adjusted Rate Elements'!$D$12+$C24*'Adjusted Rate Elements'!E$12</f>
        <v>3.73</v>
      </c>
      <c r="F24" s="643">
        <f>+'Adjusted Rate Elements'!$D$12+$C24*'Adjusted Rate Elements'!F$12</f>
        <v>4.03</v>
      </c>
      <c r="G24" s="643">
        <f>+'Adjusted Rate Elements'!$D$12+$C24*'Adjusted Rate Elements'!G$12</f>
        <v>4.43</v>
      </c>
      <c r="H24" s="643">
        <f>+'Adjusted Rate Elements'!$D$12+$C24*'Adjusted Rate Elements'!H$12</f>
        <v>4.93</v>
      </c>
      <c r="I24" s="643">
        <f>+'Adjusted Rate Elements'!$D$12+$C24*'Adjusted Rate Elements'!I$12</f>
        <v>5.43</v>
      </c>
      <c r="J24" s="643">
        <f>+'Adjusted Rate Elements'!$D$12+$C24*'Adjusted Rate Elements'!J$12</f>
        <v>5.93</v>
      </c>
      <c r="K24" s="644">
        <f>+'Adjusted Rate Elements'!$D$12+$C24*'Adjusted Rate Elements'!K$12</f>
        <v>7.03</v>
      </c>
    </row>
    <row r="25" spans="1:11" ht="15.75">
      <c r="A25" s="4"/>
      <c r="B25" s="74"/>
      <c r="C25" s="398">
        <v>11</v>
      </c>
      <c r="D25" s="399"/>
      <c r="E25" s="643">
        <f>+'Adjusted Rate Elements'!$D$12+$C25*'Adjusted Rate Elements'!E$12</f>
        <v>3.92</v>
      </c>
      <c r="F25" s="643">
        <f>+'Adjusted Rate Elements'!$D$12+$C25*'Adjusted Rate Elements'!F$12</f>
        <v>4.25</v>
      </c>
      <c r="G25" s="643">
        <f>+'Adjusted Rate Elements'!$D$12+$C25*'Adjusted Rate Elements'!G$12</f>
        <v>4.69</v>
      </c>
      <c r="H25" s="643">
        <f>+'Adjusted Rate Elements'!$D$12+$C25*'Adjusted Rate Elements'!H$12</f>
        <v>5.24</v>
      </c>
      <c r="I25" s="643">
        <f>+'Adjusted Rate Elements'!$D$12+$C25*'Adjusted Rate Elements'!I$12</f>
        <v>5.79</v>
      </c>
      <c r="J25" s="643">
        <f>+'Adjusted Rate Elements'!$D$12+$C25*'Adjusted Rate Elements'!J$12</f>
        <v>6.34</v>
      </c>
      <c r="K25" s="644">
        <f>+'Adjusted Rate Elements'!$D$12+$C25*'Adjusted Rate Elements'!K$12</f>
        <v>7.550000000000001</v>
      </c>
    </row>
    <row r="26" spans="1:11" ht="15.75">
      <c r="A26" s="4"/>
      <c r="B26" s="74"/>
      <c r="C26" s="398">
        <v>12</v>
      </c>
      <c r="D26" s="399"/>
      <c r="E26" s="643">
        <f>+'Adjusted Rate Elements'!$D$12+$C26*'Adjusted Rate Elements'!E$12</f>
        <v>4.11</v>
      </c>
      <c r="F26" s="643">
        <f>+'Adjusted Rate Elements'!$D$12+$C26*'Adjusted Rate Elements'!F$12</f>
        <v>4.470000000000001</v>
      </c>
      <c r="G26" s="643">
        <f>+'Adjusted Rate Elements'!$D$12+$C26*'Adjusted Rate Elements'!G$12</f>
        <v>4.95</v>
      </c>
      <c r="H26" s="643">
        <f>+'Adjusted Rate Elements'!$D$12+$C26*'Adjusted Rate Elements'!H$12</f>
        <v>5.55</v>
      </c>
      <c r="I26" s="643">
        <f>+'Adjusted Rate Elements'!$D$12+$C26*'Adjusted Rate Elements'!I$12</f>
        <v>6.15</v>
      </c>
      <c r="J26" s="643">
        <f>+'Adjusted Rate Elements'!$D$12+$C26*'Adjusted Rate Elements'!J$12</f>
        <v>6.75</v>
      </c>
      <c r="K26" s="644">
        <f>+'Adjusted Rate Elements'!$D$12+$C26*'Adjusted Rate Elements'!K$12</f>
        <v>8.07</v>
      </c>
    </row>
    <row r="27" spans="1:11" ht="15.75">
      <c r="A27" s="4"/>
      <c r="B27" s="74"/>
      <c r="C27" s="398">
        <v>13</v>
      </c>
      <c r="D27" s="399"/>
      <c r="E27" s="643">
        <f>+'Adjusted Rate Elements'!$D$12+$C27*'Adjusted Rate Elements'!E$12</f>
        <v>4.300000000000001</v>
      </c>
      <c r="F27" s="643">
        <f>+'Adjusted Rate Elements'!$D$12+$C27*'Adjusted Rate Elements'!F$12</f>
        <v>4.6899999999999995</v>
      </c>
      <c r="G27" s="643">
        <f>+'Adjusted Rate Elements'!$D$12+$C27*'Adjusted Rate Elements'!G$12</f>
        <v>5.21</v>
      </c>
      <c r="H27" s="643">
        <f>+'Adjusted Rate Elements'!$D$12+$C27*'Adjusted Rate Elements'!H$12</f>
        <v>5.86</v>
      </c>
      <c r="I27" s="643">
        <f>+'Adjusted Rate Elements'!$D$12+$C27*'Adjusted Rate Elements'!I$12</f>
        <v>6.51</v>
      </c>
      <c r="J27" s="643">
        <f>+'Adjusted Rate Elements'!$D$12+$C27*'Adjusted Rate Elements'!J$12</f>
        <v>7.16</v>
      </c>
      <c r="K27" s="644">
        <f>+'Adjusted Rate Elements'!$D$12+$C27*'Adjusted Rate Elements'!K$12</f>
        <v>8.59</v>
      </c>
    </row>
    <row r="28" spans="1:11" ht="15.75">
      <c r="A28" s="4"/>
      <c r="B28" s="74"/>
      <c r="C28" s="398">
        <v>14</v>
      </c>
      <c r="D28" s="399"/>
      <c r="E28" s="643">
        <f>+'Adjusted Rate Elements'!$D$12+$C28*'Adjusted Rate Elements'!E$12</f>
        <v>4.49</v>
      </c>
      <c r="F28" s="643">
        <f>+'Adjusted Rate Elements'!$D$12+$C28*'Adjusted Rate Elements'!F$12</f>
        <v>4.91</v>
      </c>
      <c r="G28" s="643">
        <f>+'Adjusted Rate Elements'!$D$12+$C28*'Adjusted Rate Elements'!G$12</f>
        <v>5.470000000000001</v>
      </c>
      <c r="H28" s="643">
        <f>+'Adjusted Rate Elements'!$D$12+$C28*'Adjusted Rate Elements'!H$12</f>
        <v>6.17</v>
      </c>
      <c r="I28" s="643">
        <f>+'Adjusted Rate Elements'!$D$12+$C28*'Adjusted Rate Elements'!I$12</f>
        <v>6.87</v>
      </c>
      <c r="J28" s="643">
        <f>+'Adjusted Rate Elements'!$D$12+$C28*'Adjusted Rate Elements'!J$12</f>
        <v>7.569999999999999</v>
      </c>
      <c r="K28" s="644">
        <f>+'Adjusted Rate Elements'!$D$12+$C28*'Adjusted Rate Elements'!K$12</f>
        <v>9.11</v>
      </c>
    </row>
    <row r="29" spans="1:11" ht="15.75">
      <c r="A29" s="4"/>
      <c r="B29" s="74"/>
      <c r="C29" s="398">
        <v>15</v>
      </c>
      <c r="D29" s="399"/>
      <c r="E29" s="643">
        <f>+'Adjusted Rate Elements'!$D$12+$C29*'Adjusted Rate Elements'!E$12</f>
        <v>4.68</v>
      </c>
      <c r="F29" s="643">
        <f>+'Adjusted Rate Elements'!$D$12+$C29*'Adjusted Rate Elements'!F$12</f>
        <v>5.13</v>
      </c>
      <c r="G29" s="643">
        <f>+'Adjusted Rate Elements'!$D$12+$C29*'Adjusted Rate Elements'!G$12</f>
        <v>5.73</v>
      </c>
      <c r="H29" s="643">
        <f>+'Adjusted Rate Elements'!$D$12+$C29*'Adjusted Rate Elements'!H$12</f>
        <v>6.48</v>
      </c>
      <c r="I29" s="643">
        <f>+'Adjusted Rate Elements'!$D$12+$C29*'Adjusted Rate Elements'!I$12</f>
        <v>7.2299999999999995</v>
      </c>
      <c r="J29" s="643">
        <f>+'Adjusted Rate Elements'!$D$12+$C29*'Adjusted Rate Elements'!J$12</f>
        <v>7.9799999999999995</v>
      </c>
      <c r="K29" s="644">
        <f>+'Adjusted Rate Elements'!$D$12+$C29*'Adjusted Rate Elements'!K$12</f>
        <v>9.63</v>
      </c>
    </row>
    <row r="30" spans="1:11" ht="15.75">
      <c r="A30" s="4"/>
      <c r="B30" s="74"/>
      <c r="C30" s="348"/>
      <c r="D30" s="534"/>
      <c r="E30" s="535"/>
      <c r="F30" s="536"/>
      <c r="G30" s="536"/>
      <c r="H30" s="536"/>
      <c r="I30" s="536"/>
      <c r="J30" s="536"/>
      <c r="K30" s="537"/>
    </row>
    <row r="31" spans="1:11" ht="15.75">
      <c r="A31" s="4"/>
      <c r="B31" s="74"/>
      <c r="C31" s="284"/>
      <c r="D31" s="400"/>
      <c r="E31" s="538"/>
      <c r="F31" s="538"/>
      <c r="G31" s="538"/>
      <c r="H31" s="538"/>
      <c r="I31" s="538"/>
      <c r="J31" s="538"/>
      <c r="K31" s="539"/>
    </row>
    <row r="32" spans="1:11" ht="18.75">
      <c r="A32" s="4"/>
      <c r="B32" s="74"/>
      <c r="C32" s="401" t="s">
        <v>121</v>
      </c>
      <c r="D32" s="400"/>
      <c r="E32" s="538"/>
      <c r="F32" s="538"/>
      <c r="G32" s="538"/>
      <c r="H32" s="538"/>
      <c r="I32" s="538"/>
      <c r="J32" s="538"/>
      <c r="K32" s="228"/>
    </row>
    <row r="33" spans="1:11" ht="15.75">
      <c r="A33" s="4"/>
      <c r="B33" s="74"/>
      <c r="C33" s="401" t="s">
        <v>631</v>
      </c>
      <c r="D33" s="400"/>
      <c r="E33" s="538"/>
      <c r="F33" s="538">
        <f>+'Adjusted Rate Elements'!$D$35</f>
        <v>0.03</v>
      </c>
      <c r="G33" s="538"/>
      <c r="H33" s="538"/>
      <c r="I33" s="538"/>
      <c r="J33" s="538"/>
      <c r="K33" s="228"/>
    </row>
    <row r="34" spans="1:11" ht="15.75">
      <c r="A34" s="4"/>
      <c r="B34" s="74"/>
      <c r="C34" s="401" t="s">
        <v>434</v>
      </c>
      <c r="D34" s="400"/>
      <c r="E34" s="538"/>
      <c r="F34" s="538">
        <f>+'Adjusted Rate Elements'!$D$36</f>
        <v>0.03</v>
      </c>
      <c r="G34" s="538"/>
      <c r="H34" s="538"/>
      <c r="I34" s="538"/>
      <c r="J34" s="538"/>
      <c r="K34" s="228"/>
    </row>
    <row r="35" spans="1:11" ht="15.75">
      <c r="A35" s="4"/>
      <c r="B35" s="74"/>
      <c r="C35" s="401"/>
      <c r="D35" s="400"/>
      <c r="E35" s="538"/>
      <c r="F35" s="538"/>
      <c r="G35" s="538"/>
      <c r="H35" s="538"/>
      <c r="I35" s="538"/>
      <c r="J35" s="538"/>
      <c r="K35" s="228"/>
    </row>
    <row r="36" spans="1:11" ht="18.75">
      <c r="A36" s="4"/>
      <c r="B36" s="74"/>
      <c r="C36" s="401" t="s">
        <v>475</v>
      </c>
      <c r="D36" s="400"/>
      <c r="E36" s="587"/>
      <c r="F36" s="538">
        <f>ROUND(+'Adjusted Rate Elements'!$D$32,2)</f>
        <v>0.16</v>
      </c>
      <c r="G36" s="538"/>
      <c r="H36" s="538"/>
      <c r="I36" s="538"/>
      <c r="J36" s="538"/>
      <c r="K36" s="228"/>
    </row>
    <row r="37" spans="1:11" ht="16.5" thickBot="1">
      <c r="A37" s="179"/>
      <c r="B37" s="295"/>
      <c r="C37" s="402"/>
      <c r="D37" s="403"/>
      <c r="E37" s="538"/>
      <c r="F37" s="538"/>
      <c r="G37" s="538"/>
      <c r="H37" s="538"/>
      <c r="I37" s="538"/>
      <c r="J37" s="538"/>
      <c r="K37" s="228"/>
    </row>
    <row r="38" spans="1:11" ht="12.75">
      <c r="A38" s="62"/>
      <c r="B38" s="39"/>
      <c r="C38" s="225"/>
      <c r="D38" s="225"/>
      <c r="E38" s="225"/>
      <c r="F38" s="225"/>
      <c r="G38" s="225"/>
      <c r="H38" s="225"/>
      <c r="I38" s="225"/>
      <c r="J38" s="225"/>
      <c r="K38" s="226"/>
    </row>
    <row r="39" spans="1:11" ht="15.75">
      <c r="A39" s="63"/>
      <c r="B39" s="41"/>
      <c r="C39" s="203" t="s">
        <v>811</v>
      </c>
      <c r="D39" s="203"/>
      <c r="E39" s="227"/>
      <c r="F39" s="227"/>
      <c r="G39" s="227"/>
      <c r="H39" s="309"/>
      <c r="I39" s="227"/>
      <c r="J39" s="227"/>
      <c r="K39" s="228"/>
    </row>
    <row r="40" spans="1:11" ht="13.5" thickBot="1">
      <c r="A40" s="63"/>
      <c r="B40" s="41"/>
      <c r="C40" s="229"/>
      <c r="D40" s="404"/>
      <c r="E40" s="230"/>
      <c r="F40" s="230"/>
      <c r="G40" s="230"/>
      <c r="H40" s="230"/>
      <c r="I40" s="230"/>
      <c r="J40" s="230"/>
      <c r="K40" s="231"/>
    </row>
    <row r="41" spans="1:11" ht="13.5" thickTop="1">
      <c r="A41" s="63"/>
      <c r="B41" s="41"/>
      <c r="C41" s="227" t="s">
        <v>906</v>
      </c>
      <c r="D41" s="227"/>
      <c r="E41" s="227"/>
      <c r="F41" s="227"/>
      <c r="G41" s="227"/>
      <c r="H41" s="227"/>
      <c r="I41" s="227"/>
      <c r="J41" s="227"/>
      <c r="K41" s="228"/>
    </row>
    <row r="42" spans="1:11" ht="12.75">
      <c r="A42" s="63"/>
      <c r="B42" s="41"/>
      <c r="C42" s="227" t="s">
        <v>480</v>
      </c>
      <c r="D42" s="227"/>
      <c r="E42" s="227"/>
      <c r="F42" s="227"/>
      <c r="G42" s="227"/>
      <c r="H42" s="227"/>
      <c r="I42" s="227"/>
      <c r="J42" s="227"/>
      <c r="K42" s="228"/>
    </row>
    <row r="43" spans="1:11" ht="12.75">
      <c r="A43" s="63"/>
      <c r="B43" s="41"/>
      <c r="C43" s="227" t="s">
        <v>476</v>
      </c>
      <c r="D43" s="227"/>
      <c r="E43" s="227"/>
      <c r="F43" s="227"/>
      <c r="G43" s="227"/>
      <c r="H43" s="227"/>
      <c r="I43" s="227"/>
      <c r="J43" s="227"/>
      <c r="K43" s="228"/>
    </row>
    <row r="44" spans="1:11" ht="12.75">
      <c r="A44" s="63"/>
      <c r="B44" s="41"/>
      <c r="C44" s="227" t="s">
        <v>477</v>
      </c>
      <c r="D44" s="227"/>
      <c r="E44" s="227"/>
      <c r="F44" s="227"/>
      <c r="G44" s="227"/>
      <c r="H44" s="227"/>
      <c r="I44" s="227"/>
      <c r="J44" s="227"/>
      <c r="K44" s="228"/>
    </row>
    <row r="45" spans="1:11" ht="12.75">
      <c r="A45" s="63"/>
      <c r="B45" s="41"/>
      <c r="C45" s="227" t="s">
        <v>478</v>
      </c>
      <c r="D45" s="227"/>
      <c r="E45" s="227"/>
      <c r="F45" s="227"/>
      <c r="G45" s="227"/>
      <c r="H45" s="227"/>
      <c r="I45" s="227"/>
      <c r="J45" s="227"/>
      <c r="K45" s="228"/>
    </row>
    <row r="46" spans="1:11" ht="12.75">
      <c r="A46" s="63"/>
      <c r="B46" s="41"/>
      <c r="C46" s="227" t="s">
        <v>479</v>
      </c>
      <c r="D46" s="227"/>
      <c r="E46" s="227"/>
      <c r="F46" s="227"/>
      <c r="G46" s="227"/>
      <c r="H46" s="227"/>
      <c r="I46" s="227"/>
      <c r="J46" s="227"/>
      <c r="K46" s="228"/>
    </row>
    <row r="47" spans="1:11" ht="13.5" thickBot="1">
      <c r="A47" s="21"/>
      <c r="B47" s="43"/>
      <c r="C47" s="233"/>
      <c r="D47" s="233"/>
      <c r="E47" s="233"/>
      <c r="F47" s="233"/>
      <c r="G47" s="233"/>
      <c r="H47" s="233"/>
      <c r="I47" s="233"/>
      <c r="J47" s="233"/>
      <c r="K47" s="234"/>
    </row>
    <row r="50" ht="13.5" thickBot="1"/>
    <row r="51" spans="1:11" ht="15">
      <c r="A51" s="173"/>
      <c r="B51" s="174"/>
      <c r="C51" s="175"/>
      <c r="D51" s="175"/>
      <c r="E51" s="175"/>
      <c r="F51" s="175"/>
      <c r="G51" s="175"/>
      <c r="H51" s="175"/>
      <c r="I51" s="175"/>
      <c r="J51" s="175"/>
      <c r="K51" s="176"/>
    </row>
    <row r="52" spans="1:11" ht="15.75">
      <c r="A52" s="4"/>
      <c r="B52" s="5"/>
      <c r="C52" s="23"/>
      <c r="D52" s="23"/>
      <c r="E52" s="23"/>
      <c r="F52" s="23"/>
      <c r="G52" s="23"/>
      <c r="H52" s="23"/>
      <c r="I52" s="23"/>
      <c r="J52" s="36"/>
      <c r="K52" s="665" t="s">
        <v>591</v>
      </c>
    </row>
    <row r="53" spans="1:11" ht="15.75">
      <c r="A53" s="4"/>
      <c r="B53" s="5"/>
      <c r="C53" s="23"/>
      <c r="D53" s="23"/>
      <c r="E53" s="23"/>
      <c r="F53" s="23"/>
      <c r="G53" s="23"/>
      <c r="H53" s="23"/>
      <c r="I53" s="23"/>
      <c r="J53" s="36"/>
      <c r="K53" s="665" t="s">
        <v>801</v>
      </c>
    </row>
    <row r="54" spans="1:11" ht="21">
      <c r="A54" s="692" t="s">
        <v>802</v>
      </c>
      <c r="B54" s="693"/>
      <c r="C54" s="693"/>
      <c r="D54" s="693"/>
      <c r="E54" s="693"/>
      <c r="F54" s="693"/>
      <c r="G54" s="693"/>
      <c r="H54" s="693"/>
      <c r="I54" s="693"/>
      <c r="J54" s="693"/>
      <c r="K54" s="694"/>
    </row>
    <row r="55" spans="1:11" ht="15.75" thickBot="1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3"/>
    </row>
    <row r="56" spans="1:11" ht="16.5" thickTop="1">
      <c r="A56" s="4"/>
      <c r="B56" s="178"/>
      <c r="C56" s="156"/>
      <c r="D56" s="149"/>
      <c r="E56" s="127"/>
      <c r="F56" s="149"/>
      <c r="G56" s="149"/>
      <c r="H56" s="149"/>
      <c r="I56" s="149"/>
      <c r="J56" s="149"/>
      <c r="K56" s="128"/>
    </row>
    <row r="57" spans="1:11" ht="15.75">
      <c r="A57" s="4"/>
      <c r="B57" s="14"/>
      <c r="C57" s="156"/>
      <c r="D57" s="149"/>
      <c r="E57" s="154"/>
      <c r="F57" s="82"/>
      <c r="G57" s="82"/>
      <c r="H57" s="82"/>
      <c r="I57" s="82"/>
      <c r="J57" s="82"/>
      <c r="K57" s="160"/>
    </row>
    <row r="58" spans="1:11" ht="15.75">
      <c r="A58" s="4"/>
      <c r="B58" s="178"/>
      <c r="C58" s="702" t="s">
        <v>853</v>
      </c>
      <c r="D58" s="703"/>
      <c r="E58" s="157"/>
      <c r="F58" s="157"/>
      <c r="G58" s="157"/>
      <c r="H58" s="157"/>
      <c r="I58" s="127"/>
      <c r="J58" s="237"/>
      <c r="K58" s="193"/>
    </row>
    <row r="59" spans="1:11" ht="15.75">
      <c r="A59" s="4"/>
      <c r="B59" s="178"/>
      <c r="C59" s="702" t="s">
        <v>799</v>
      </c>
      <c r="D59" s="703"/>
      <c r="E59" s="157" t="s">
        <v>855</v>
      </c>
      <c r="F59" s="157" t="s">
        <v>856</v>
      </c>
      <c r="G59" s="157" t="s">
        <v>857</v>
      </c>
      <c r="H59" s="157" t="s">
        <v>858</v>
      </c>
      <c r="I59" s="127" t="s">
        <v>859</v>
      </c>
      <c r="J59" s="157" t="s">
        <v>860</v>
      </c>
      <c r="K59" s="193" t="s">
        <v>861</v>
      </c>
    </row>
    <row r="60" spans="1:11" ht="15.75">
      <c r="A60" s="4"/>
      <c r="B60" s="178"/>
      <c r="C60" s="702" t="s">
        <v>800</v>
      </c>
      <c r="D60" s="703"/>
      <c r="E60" s="157"/>
      <c r="F60" s="243"/>
      <c r="G60" s="243"/>
      <c r="H60" s="243"/>
      <c r="I60" s="482"/>
      <c r="J60" s="243"/>
      <c r="K60" s="244"/>
    </row>
    <row r="61" spans="1:11" ht="15.75">
      <c r="A61" s="4"/>
      <c r="B61" s="178"/>
      <c r="C61" s="666">
        <v>1</v>
      </c>
      <c r="D61" s="667"/>
      <c r="E61" s="668">
        <f>+'Adjusted Rate Elements'!$D$15+$C61*'Adjusted Rate Elements'!E$15</f>
        <v>1.5310000000000001</v>
      </c>
      <c r="F61" s="668">
        <f>+'Adjusted Rate Elements'!$D$15+$C61*'Adjusted Rate Elements'!F$15</f>
        <v>1.557</v>
      </c>
      <c r="G61" s="668">
        <f>+'Adjusted Rate Elements'!$D$15+$C61*'Adjusted Rate Elements'!G$15</f>
        <v>1.605</v>
      </c>
      <c r="H61" s="668">
        <f>+'Adjusted Rate Elements'!$D$15+$C61*'Adjusted Rate Elements'!H$15</f>
        <v>1.6600000000000001</v>
      </c>
      <c r="I61" s="668">
        <f>+'Adjusted Rate Elements'!$D$15+$C61*'Adjusted Rate Elements'!I$15</f>
        <v>1.723</v>
      </c>
      <c r="J61" s="668">
        <f>+'Adjusted Rate Elements'!$D$15+$C61*'Adjusted Rate Elements'!J$15</f>
        <v>1.772</v>
      </c>
      <c r="K61" s="669">
        <f>+'Adjusted Rate Elements'!$D$15+$C61*'Adjusted Rate Elements'!K$15</f>
        <v>1.893</v>
      </c>
    </row>
    <row r="62" spans="1:11" ht="15.75">
      <c r="A62" s="4"/>
      <c r="B62" s="178"/>
      <c r="C62" s="396">
        <v>1.5</v>
      </c>
      <c r="D62" s="397"/>
      <c r="E62" s="239">
        <f>+'Adjusted Rate Elements'!$D$15+$C62*'Adjusted Rate Elements'!E$15</f>
        <v>1.596</v>
      </c>
      <c r="F62" s="239">
        <f>+'Adjusted Rate Elements'!$D$15+$C62*'Adjusted Rate Elements'!F$15</f>
        <v>1.635</v>
      </c>
      <c r="G62" s="239">
        <f>+'Adjusted Rate Elements'!$D$15+$C62*'Adjusted Rate Elements'!G$15</f>
        <v>1.707</v>
      </c>
      <c r="H62" s="239">
        <f>+'Adjusted Rate Elements'!$D$15+$C62*'Adjusted Rate Elements'!H$15</f>
        <v>1.7895</v>
      </c>
      <c r="I62" s="239">
        <f>+'Adjusted Rate Elements'!$D$15+$C62*'Adjusted Rate Elements'!I$15</f>
        <v>1.884</v>
      </c>
      <c r="J62" s="239">
        <f>+'Adjusted Rate Elements'!$D$15+$C62*'Adjusted Rate Elements'!J$15</f>
        <v>1.9575</v>
      </c>
      <c r="K62" s="388">
        <f>+'Adjusted Rate Elements'!$D$15+$C62*'Adjusted Rate Elements'!K$15</f>
        <v>2.1390000000000002</v>
      </c>
    </row>
    <row r="63" spans="1:11" ht="15.75">
      <c r="A63" s="4"/>
      <c r="B63" s="74"/>
      <c r="C63" s="396">
        <v>2</v>
      </c>
      <c r="D63" s="397"/>
      <c r="E63" s="239">
        <f>+'Adjusted Rate Elements'!$D$15+$C63*'Adjusted Rate Elements'!E$15</f>
        <v>1.661</v>
      </c>
      <c r="F63" s="239">
        <f>+'Adjusted Rate Elements'!$D$15+$C63*'Adjusted Rate Elements'!F$15</f>
        <v>1.713</v>
      </c>
      <c r="G63" s="239">
        <f>+'Adjusted Rate Elements'!$D$15+$C63*'Adjusted Rate Elements'!G$15</f>
        <v>1.809</v>
      </c>
      <c r="H63" s="239">
        <f>+'Adjusted Rate Elements'!$D$15+$C63*'Adjusted Rate Elements'!H$15</f>
        <v>1.919</v>
      </c>
      <c r="I63" s="239">
        <f>+'Adjusted Rate Elements'!$D$15+$C63*'Adjusted Rate Elements'!I$15</f>
        <v>2.045</v>
      </c>
      <c r="J63" s="239">
        <f>+'Adjusted Rate Elements'!$D$15+$C63*'Adjusted Rate Elements'!J$15</f>
        <v>2.143</v>
      </c>
      <c r="K63" s="388">
        <f>+'Adjusted Rate Elements'!$D$15+$C63*'Adjusted Rate Elements'!K$15</f>
        <v>2.385</v>
      </c>
    </row>
    <row r="64" spans="1:11" ht="15.75">
      <c r="A64" s="4"/>
      <c r="B64" s="74"/>
      <c r="C64" s="398">
        <v>2.5</v>
      </c>
      <c r="D64" s="399"/>
      <c r="E64" s="239">
        <f>+'Adjusted Rate Elements'!$D$15+$C64*'Adjusted Rate Elements'!E$15</f>
        <v>1.726</v>
      </c>
      <c r="F64" s="239">
        <f>+'Adjusted Rate Elements'!$D$15+$C64*'Adjusted Rate Elements'!F$15</f>
        <v>1.791</v>
      </c>
      <c r="G64" s="239">
        <f>+'Adjusted Rate Elements'!$D$15+$C64*'Adjusted Rate Elements'!G$15</f>
        <v>1.911</v>
      </c>
      <c r="H64" s="239">
        <f>+'Adjusted Rate Elements'!$D$15+$C64*'Adjusted Rate Elements'!H$15</f>
        <v>2.0484999999999998</v>
      </c>
      <c r="I64" s="239">
        <f>+'Adjusted Rate Elements'!$D$15+$C64*'Adjusted Rate Elements'!I$15</f>
        <v>2.206</v>
      </c>
      <c r="J64" s="239">
        <f>+'Adjusted Rate Elements'!$D$15+$C64*'Adjusted Rate Elements'!J$15</f>
        <v>2.3285</v>
      </c>
      <c r="K64" s="388">
        <f>+'Adjusted Rate Elements'!$D$15+$C64*'Adjusted Rate Elements'!K$15</f>
        <v>2.6310000000000002</v>
      </c>
    </row>
    <row r="65" spans="1:11" ht="15.75">
      <c r="A65" s="4"/>
      <c r="B65" s="74"/>
      <c r="C65" s="398">
        <v>3</v>
      </c>
      <c r="D65" s="399"/>
      <c r="E65" s="239">
        <f>+'Adjusted Rate Elements'!$D$15+$C65*'Adjusted Rate Elements'!E$15</f>
        <v>1.791</v>
      </c>
      <c r="F65" s="239">
        <f>+'Adjusted Rate Elements'!$D$15+$C65*'Adjusted Rate Elements'!F$15</f>
        <v>1.869</v>
      </c>
      <c r="G65" s="239">
        <f>+'Adjusted Rate Elements'!$D$15+$C65*'Adjusted Rate Elements'!G$15</f>
        <v>2.013</v>
      </c>
      <c r="H65" s="239">
        <f>+'Adjusted Rate Elements'!$D$15+$C65*'Adjusted Rate Elements'!H$15</f>
        <v>2.178</v>
      </c>
      <c r="I65" s="239">
        <f>+'Adjusted Rate Elements'!$D$15+$C65*'Adjusted Rate Elements'!I$15</f>
        <v>2.367</v>
      </c>
      <c r="J65" s="239">
        <f>+'Adjusted Rate Elements'!$D$15+$C65*'Adjusted Rate Elements'!J$15</f>
        <v>2.5140000000000002</v>
      </c>
      <c r="K65" s="388">
        <f>+'Adjusted Rate Elements'!$D$15+$C65*'Adjusted Rate Elements'!K$15</f>
        <v>2.877</v>
      </c>
    </row>
    <row r="66" spans="1:11" ht="15.75">
      <c r="A66" s="4"/>
      <c r="B66" s="74"/>
      <c r="C66" s="398">
        <v>3.5</v>
      </c>
      <c r="D66" s="399"/>
      <c r="E66" s="239">
        <f>+'Adjusted Rate Elements'!$D$15+$C66*'Adjusted Rate Elements'!E$15</f>
        <v>1.856</v>
      </c>
      <c r="F66" s="239">
        <f>+'Adjusted Rate Elements'!$D$15+$C66*'Adjusted Rate Elements'!F$15</f>
        <v>1.947</v>
      </c>
      <c r="G66" s="239">
        <f>+'Adjusted Rate Elements'!$D$15+$C66*'Adjusted Rate Elements'!G$15</f>
        <v>2.115</v>
      </c>
      <c r="H66" s="239">
        <f>+'Adjusted Rate Elements'!$D$15+$C66*'Adjusted Rate Elements'!H$15</f>
        <v>2.3075</v>
      </c>
      <c r="I66" s="239">
        <f>+'Adjusted Rate Elements'!$D$15+$C66*'Adjusted Rate Elements'!I$15</f>
        <v>2.528</v>
      </c>
      <c r="J66" s="239">
        <f>+'Adjusted Rate Elements'!$D$15+$C66*'Adjusted Rate Elements'!J$15</f>
        <v>2.6995</v>
      </c>
      <c r="K66" s="388">
        <f>+'Adjusted Rate Elements'!$D$15+$C66*'Adjusted Rate Elements'!K$15</f>
        <v>3.123</v>
      </c>
    </row>
    <row r="67" spans="1:11" ht="15.75">
      <c r="A67" s="4"/>
      <c r="B67" s="74"/>
      <c r="C67" s="398">
        <v>4</v>
      </c>
      <c r="D67" s="399"/>
      <c r="E67" s="239">
        <f>+'Adjusted Rate Elements'!$D$15+$C67*'Adjusted Rate Elements'!E$15</f>
        <v>1.921</v>
      </c>
      <c r="F67" s="239">
        <f>+'Adjusted Rate Elements'!$D$15+$C67*'Adjusted Rate Elements'!F$15</f>
        <v>2.025</v>
      </c>
      <c r="G67" s="239">
        <f>+'Adjusted Rate Elements'!$D$15+$C67*'Adjusted Rate Elements'!G$15</f>
        <v>2.217</v>
      </c>
      <c r="H67" s="239">
        <f>+'Adjusted Rate Elements'!$D$15+$C67*'Adjusted Rate Elements'!H$15</f>
        <v>2.4370000000000003</v>
      </c>
      <c r="I67" s="239">
        <f>+'Adjusted Rate Elements'!$D$15+$C67*'Adjusted Rate Elements'!I$15</f>
        <v>2.689</v>
      </c>
      <c r="J67" s="239">
        <f>+'Adjusted Rate Elements'!$D$15+$C67*'Adjusted Rate Elements'!J$15</f>
        <v>2.885</v>
      </c>
      <c r="K67" s="388">
        <f>+'Adjusted Rate Elements'!$D$15+$C67*'Adjusted Rate Elements'!K$15</f>
        <v>3.3689999999999998</v>
      </c>
    </row>
    <row r="68" spans="1:11" ht="15.75">
      <c r="A68" s="4"/>
      <c r="B68" s="74"/>
      <c r="C68" s="398">
        <v>4.5</v>
      </c>
      <c r="D68" s="399"/>
      <c r="E68" s="239">
        <f>+'Adjusted Rate Elements'!$D$15+$C68*'Adjusted Rate Elements'!E$15</f>
        <v>1.986</v>
      </c>
      <c r="F68" s="239">
        <f>+'Adjusted Rate Elements'!$D$15+$C68*'Adjusted Rate Elements'!F$15</f>
        <v>2.1029999999999998</v>
      </c>
      <c r="G68" s="239">
        <f>+'Adjusted Rate Elements'!$D$15+$C68*'Adjusted Rate Elements'!G$15</f>
        <v>2.319</v>
      </c>
      <c r="H68" s="239">
        <f>+'Adjusted Rate Elements'!$D$15+$C68*'Adjusted Rate Elements'!H$15</f>
        <v>2.5665</v>
      </c>
      <c r="I68" s="239">
        <f>+'Adjusted Rate Elements'!$D$15+$C68*'Adjusted Rate Elements'!I$15</f>
        <v>2.85</v>
      </c>
      <c r="J68" s="239">
        <f>+'Adjusted Rate Elements'!$D$15+$C68*'Adjusted Rate Elements'!J$15</f>
        <v>3.0705</v>
      </c>
      <c r="K68" s="388">
        <f>+'Adjusted Rate Elements'!$D$15+$C68*'Adjusted Rate Elements'!K$15</f>
        <v>3.615</v>
      </c>
    </row>
    <row r="69" spans="1:11" ht="15.75">
      <c r="A69" s="4"/>
      <c r="B69" s="74"/>
      <c r="C69" s="398">
        <v>5</v>
      </c>
      <c r="D69" s="399"/>
      <c r="E69" s="239">
        <f>+'Adjusted Rate Elements'!$D$15+$C69*'Adjusted Rate Elements'!E$15</f>
        <v>2.051</v>
      </c>
      <c r="F69" s="239">
        <f>+'Adjusted Rate Elements'!$D$15+$C69*'Adjusted Rate Elements'!F$15</f>
        <v>2.181</v>
      </c>
      <c r="G69" s="239">
        <f>+'Adjusted Rate Elements'!$D$15+$C69*'Adjusted Rate Elements'!G$15</f>
        <v>2.4210000000000003</v>
      </c>
      <c r="H69" s="239">
        <f>+'Adjusted Rate Elements'!$D$15+$C69*'Adjusted Rate Elements'!H$15</f>
        <v>2.6959999999999997</v>
      </c>
      <c r="I69" s="239">
        <f>+'Adjusted Rate Elements'!$D$15+$C69*'Adjusted Rate Elements'!I$15</f>
        <v>3.011</v>
      </c>
      <c r="J69" s="239">
        <f>+'Adjusted Rate Elements'!$D$15+$C69*'Adjusted Rate Elements'!J$15</f>
        <v>3.2560000000000002</v>
      </c>
      <c r="K69" s="388">
        <f>+'Adjusted Rate Elements'!$D$15+$C69*'Adjusted Rate Elements'!K$15</f>
        <v>3.8609999999999998</v>
      </c>
    </row>
    <row r="70" spans="1:11" ht="15.75">
      <c r="A70" s="4"/>
      <c r="B70" s="74"/>
      <c r="C70" s="398">
        <v>6</v>
      </c>
      <c r="D70" s="399"/>
      <c r="E70" s="239">
        <f>+'Adjusted Rate Elements'!$D$15+$C70*'Adjusted Rate Elements'!E$15</f>
        <v>2.181</v>
      </c>
      <c r="F70" s="239">
        <f>+'Adjusted Rate Elements'!$D$15+$C70*'Adjusted Rate Elements'!F$15</f>
        <v>2.3369999999999997</v>
      </c>
      <c r="G70" s="239">
        <f>+'Adjusted Rate Elements'!$D$15+$C70*'Adjusted Rate Elements'!G$15</f>
        <v>2.625</v>
      </c>
      <c r="H70" s="239">
        <f>+'Adjusted Rate Elements'!$D$15+$C70*'Adjusted Rate Elements'!H$15</f>
        <v>2.955</v>
      </c>
      <c r="I70" s="239">
        <f>+'Adjusted Rate Elements'!$D$15+$C70*'Adjusted Rate Elements'!I$15</f>
        <v>3.333</v>
      </c>
      <c r="J70" s="239">
        <f>+'Adjusted Rate Elements'!$D$15+$C70*'Adjusted Rate Elements'!J$15</f>
        <v>3.627</v>
      </c>
      <c r="K70" s="388">
        <f>+'Adjusted Rate Elements'!$D$15+$C70*'Adjusted Rate Elements'!K$15</f>
        <v>4.353</v>
      </c>
    </row>
    <row r="71" spans="1:11" ht="15.75">
      <c r="A71" s="4"/>
      <c r="B71" s="74"/>
      <c r="C71" s="398">
        <v>7</v>
      </c>
      <c r="D71" s="399"/>
      <c r="E71" s="239">
        <f>+'Adjusted Rate Elements'!$D$15+$C71*'Adjusted Rate Elements'!E$15</f>
        <v>2.311</v>
      </c>
      <c r="F71" s="239">
        <f>+'Adjusted Rate Elements'!$D$15+$C71*'Adjusted Rate Elements'!F$15</f>
        <v>2.4930000000000003</v>
      </c>
      <c r="G71" s="239">
        <f>+'Adjusted Rate Elements'!$D$15+$C71*'Adjusted Rate Elements'!G$15</f>
        <v>2.8289999999999997</v>
      </c>
      <c r="H71" s="239">
        <f>+'Adjusted Rate Elements'!$D$15+$C71*'Adjusted Rate Elements'!H$15</f>
        <v>3.2140000000000004</v>
      </c>
      <c r="I71" s="239">
        <f>+'Adjusted Rate Elements'!$D$15+$C71*'Adjusted Rate Elements'!I$15</f>
        <v>3.6550000000000002</v>
      </c>
      <c r="J71" s="239">
        <f>+'Adjusted Rate Elements'!$D$15+$C71*'Adjusted Rate Elements'!J$15</f>
        <v>3.998</v>
      </c>
      <c r="K71" s="388">
        <f>+'Adjusted Rate Elements'!$D$15+$C71*'Adjusted Rate Elements'!K$15</f>
        <v>4.845</v>
      </c>
    </row>
    <row r="72" spans="1:11" ht="15.75">
      <c r="A72" s="4"/>
      <c r="B72" s="74"/>
      <c r="C72" s="398">
        <v>8</v>
      </c>
      <c r="D72" s="399"/>
      <c r="E72" s="239">
        <f>+'Adjusted Rate Elements'!$D$15+$C72*'Adjusted Rate Elements'!E$15</f>
        <v>2.441</v>
      </c>
      <c r="F72" s="239">
        <f>+'Adjusted Rate Elements'!$D$15+$C72*'Adjusted Rate Elements'!F$15</f>
        <v>2.649</v>
      </c>
      <c r="G72" s="239">
        <f>+'Adjusted Rate Elements'!$D$15+$C72*'Adjusted Rate Elements'!G$15</f>
        <v>3.033</v>
      </c>
      <c r="H72" s="239">
        <f>+'Adjusted Rate Elements'!$D$15+$C72*'Adjusted Rate Elements'!H$15</f>
        <v>3.473</v>
      </c>
      <c r="I72" s="239">
        <f>+'Adjusted Rate Elements'!$D$15+$C72*'Adjusted Rate Elements'!I$15</f>
        <v>3.9770000000000003</v>
      </c>
      <c r="J72" s="239">
        <f>+'Adjusted Rate Elements'!$D$15+$C72*'Adjusted Rate Elements'!J$15</f>
        <v>4.369</v>
      </c>
      <c r="K72" s="388">
        <f>+'Adjusted Rate Elements'!$D$15+$C72*'Adjusted Rate Elements'!K$15</f>
        <v>5.337</v>
      </c>
    </row>
    <row r="73" spans="1:11" ht="15.75">
      <c r="A73" s="4"/>
      <c r="B73" s="74"/>
      <c r="C73" s="398">
        <v>9</v>
      </c>
      <c r="D73" s="399"/>
      <c r="E73" s="239">
        <f>+'Adjusted Rate Elements'!$D$15+$C73*'Adjusted Rate Elements'!E$15</f>
        <v>2.5709999999999997</v>
      </c>
      <c r="F73" s="239">
        <f>+'Adjusted Rate Elements'!$D$15+$C73*'Adjusted Rate Elements'!F$15</f>
        <v>2.8049999999999997</v>
      </c>
      <c r="G73" s="239">
        <f>+'Adjusted Rate Elements'!$D$15+$C73*'Adjusted Rate Elements'!G$15</f>
        <v>3.237</v>
      </c>
      <c r="H73" s="239">
        <f>+'Adjusted Rate Elements'!$D$15+$C73*'Adjusted Rate Elements'!H$15</f>
        <v>3.732</v>
      </c>
      <c r="I73" s="239">
        <f>+'Adjusted Rate Elements'!$D$15+$C73*'Adjusted Rate Elements'!I$15</f>
        <v>4.299</v>
      </c>
      <c r="J73" s="239">
        <f>+'Adjusted Rate Elements'!$D$15+$C73*'Adjusted Rate Elements'!J$15</f>
        <v>4.74</v>
      </c>
      <c r="K73" s="388">
        <f>+'Adjusted Rate Elements'!$D$15+$C73*'Adjusted Rate Elements'!K$15</f>
        <v>5.829</v>
      </c>
    </row>
    <row r="74" spans="1:11" ht="15.75">
      <c r="A74" s="4"/>
      <c r="B74" s="74"/>
      <c r="C74" s="398">
        <v>10</v>
      </c>
      <c r="D74" s="399"/>
      <c r="E74" s="239">
        <f>+'Adjusted Rate Elements'!$D$15+$C74*'Adjusted Rate Elements'!E$15</f>
        <v>2.701</v>
      </c>
      <c r="F74" s="239">
        <f>+'Adjusted Rate Elements'!$D$15+$C74*'Adjusted Rate Elements'!F$15</f>
        <v>2.9610000000000003</v>
      </c>
      <c r="G74" s="239">
        <f>+'Adjusted Rate Elements'!$D$15+$C74*'Adjusted Rate Elements'!G$15</f>
        <v>3.441</v>
      </c>
      <c r="H74" s="239">
        <f>+'Adjusted Rate Elements'!$D$15+$C74*'Adjusted Rate Elements'!H$15</f>
        <v>3.9909999999999997</v>
      </c>
      <c r="I74" s="239">
        <f>+'Adjusted Rate Elements'!$D$15+$C74*'Adjusted Rate Elements'!I$15</f>
        <v>4.621</v>
      </c>
      <c r="J74" s="239">
        <f>+'Adjusted Rate Elements'!$D$15+$C74*'Adjusted Rate Elements'!J$15</f>
        <v>5.111</v>
      </c>
      <c r="K74" s="388">
        <f>+'Adjusted Rate Elements'!$D$15+$C74*'Adjusted Rate Elements'!K$15</f>
        <v>6.321</v>
      </c>
    </row>
    <row r="75" spans="1:11" ht="15.75">
      <c r="A75" s="4"/>
      <c r="B75" s="74"/>
      <c r="C75" s="398">
        <v>11</v>
      </c>
      <c r="D75" s="399"/>
      <c r="E75" s="239">
        <f>+'Adjusted Rate Elements'!$D$15+$C75*'Adjusted Rate Elements'!E$15</f>
        <v>2.8310000000000004</v>
      </c>
      <c r="F75" s="239">
        <f>+'Adjusted Rate Elements'!$D$15+$C75*'Adjusted Rate Elements'!F$15</f>
        <v>3.117</v>
      </c>
      <c r="G75" s="239">
        <f>+'Adjusted Rate Elements'!$D$15+$C75*'Adjusted Rate Elements'!G$15</f>
        <v>3.6449999999999996</v>
      </c>
      <c r="H75" s="239">
        <f>+'Adjusted Rate Elements'!$D$15+$C75*'Adjusted Rate Elements'!H$15</f>
        <v>4.25</v>
      </c>
      <c r="I75" s="239">
        <f>+'Adjusted Rate Elements'!$D$15+$C75*'Adjusted Rate Elements'!I$15</f>
        <v>4.9430000000000005</v>
      </c>
      <c r="J75" s="239">
        <f>+'Adjusted Rate Elements'!$D$15+$C75*'Adjusted Rate Elements'!J$15</f>
        <v>5.481999999999999</v>
      </c>
      <c r="K75" s="388">
        <f>+'Adjusted Rate Elements'!$D$15+$C75*'Adjusted Rate Elements'!K$15</f>
        <v>6.813</v>
      </c>
    </row>
    <row r="76" spans="1:11" ht="15.75">
      <c r="A76" s="4"/>
      <c r="B76" s="74"/>
      <c r="C76" s="398">
        <v>12</v>
      </c>
      <c r="D76" s="399"/>
      <c r="E76" s="239">
        <f>+'Adjusted Rate Elements'!$D$15+$C76*'Adjusted Rate Elements'!E$15</f>
        <v>2.9610000000000003</v>
      </c>
      <c r="F76" s="239">
        <f>+'Adjusted Rate Elements'!$D$15+$C76*'Adjusted Rate Elements'!F$15</f>
        <v>3.2729999999999997</v>
      </c>
      <c r="G76" s="239">
        <f>+'Adjusted Rate Elements'!$D$15+$C76*'Adjusted Rate Elements'!G$15</f>
        <v>3.849</v>
      </c>
      <c r="H76" s="239">
        <f>+'Adjusted Rate Elements'!$D$15+$C76*'Adjusted Rate Elements'!H$15</f>
        <v>4.509</v>
      </c>
      <c r="I76" s="239">
        <f>+'Adjusted Rate Elements'!$D$15+$C76*'Adjusted Rate Elements'!I$15</f>
        <v>5.265</v>
      </c>
      <c r="J76" s="239">
        <f>+'Adjusted Rate Elements'!$D$15+$C76*'Adjusted Rate Elements'!J$15</f>
        <v>5.853</v>
      </c>
      <c r="K76" s="388">
        <f>+'Adjusted Rate Elements'!$D$15+$C76*'Adjusted Rate Elements'!K$15</f>
        <v>7.305</v>
      </c>
    </row>
    <row r="77" spans="1:11" ht="15.75">
      <c r="A77" s="4"/>
      <c r="B77" s="74"/>
      <c r="C77" s="398">
        <v>13</v>
      </c>
      <c r="D77" s="399"/>
      <c r="E77" s="239">
        <f>+'Adjusted Rate Elements'!$D$15+$C77*'Adjusted Rate Elements'!E$15</f>
        <v>3.091</v>
      </c>
      <c r="F77" s="239">
        <f>+'Adjusted Rate Elements'!$D$15+$C77*'Adjusted Rate Elements'!F$15</f>
        <v>3.4290000000000003</v>
      </c>
      <c r="G77" s="239">
        <f>+'Adjusted Rate Elements'!$D$15+$C77*'Adjusted Rate Elements'!G$15</f>
        <v>4.053</v>
      </c>
      <c r="H77" s="239">
        <f>+'Adjusted Rate Elements'!$D$15+$C77*'Adjusted Rate Elements'!H$15</f>
        <v>4.768</v>
      </c>
      <c r="I77" s="239">
        <f>+'Adjusted Rate Elements'!$D$15+$C77*'Adjusted Rate Elements'!I$15</f>
        <v>5.587</v>
      </c>
      <c r="J77" s="239">
        <f>+'Adjusted Rate Elements'!$D$15+$C77*'Adjusted Rate Elements'!J$15</f>
        <v>6.224</v>
      </c>
      <c r="K77" s="388">
        <f>+'Adjusted Rate Elements'!$D$15+$C77*'Adjusted Rate Elements'!K$15</f>
        <v>7.797</v>
      </c>
    </row>
    <row r="78" spans="1:11" ht="15.75">
      <c r="A78" s="4"/>
      <c r="B78" s="74"/>
      <c r="C78" s="398">
        <v>14</v>
      </c>
      <c r="D78" s="399"/>
      <c r="E78" s="239">
        <f>+'Adjusted Rate Elements'!$D$15+$C78*'Adjusted Rate Elements'!E$15</f>
        <v>3.221</v>
      </c>
      <c r="F78" s="239">
        <f>+'Adjusted Rate Elements'!$D$15+$C78*'Adjusted Rate Elements'!F$15</f>
        <v>3.585</v>
      </c>
      <c r="G78" s="239">
        <f>+'Adjusted Rate Elements'!$D$15+$C78*'Adjusted Rate Elements'!G$15</f>
        <v>4.257</v>
      </c>
      <c r="H78" s="239">
        <f>+'Adjusted Rate Elements'!$D$15+$C78*'Adjusted Rate Elements'!H$15</f>
        <v>5.027</v>
      </c>
      <c r="I78" s="239">
        <f>+'Adjusted Rate Elements'!$D$15+$C78*'Adjusted Rate Elements'!I$15</f>
        <v>5.909</v>
      </c>
      <c r="J78" s="239">
        <f>+'Adjusted Rate Elements'!$D$15+$C78*'Adjusted Rate Elements'!J$15</f>
        <v>6.595</v>
      </c>
      <c r="K78" s="388">
        <f>+'Adjusted Rate Elements'!$D$15+$C78*'Adjusted Rate Elements'!K$15</f>
        <v>8.289</v>
      </c>
    </row>
    <row r="79" spans="1:11" ht="15.75">
      <c r="A79" s="4"/>
      <c r="B79" s="74"/>
      <c r="C79" s="398">
        <v>15</v>
      </c>
      <c r="D79" s="399"/>
      <c r="E79" s="239">
        <f>+'Adjusted Rate Elements'!$D$15+$C79*'Adjusted Rate Elements'!E$15</f>
        <v>3.351</v>
      </c>
      <c r="F79" s="239">
        <f>+'Adjusted Rate Elements'!$D$15+$C79*'Adjusted Rate Elements'!F$15</f>
        <v>3.7409999999999997</v>
      </c>
      <c r="G79" s="239">
        <f>+'Adjusted Rate Elements'!$D$15+$C79*'Adjusted Rate Elements'!G$15</f>
        <v>4.460999999999999</v>
      </c>
      <c r="H79" s="239">
        <f>+'Adjusted Rate Elements'!$D$15+$C79*'Adjusted Rate Elements'!H$15</f>
        <v>5.2860000000000005</v>
      </c>
      <c r="I79" s="239">
        <f>+'Adjusted Rate Elements'!$D$15+$C79*'Adjusted Rate Elements'!I$15</f>
        <v>6.231</v>
      </c>
      <c r="J79" s="239">
        <f>+'Adjusted Rate Elements'!$D$15+$C79*'Adjusted Rate Elements'!J$15</f>
        <v>6.965999999999999</v>
      </c>
      <c r="K79" s="388">
        <f>+'Adjusted Rate Elements'!$D$15+$C79*'Adjusted Rate Elements'!K$15</f>
        <v>8.781</v>
      </c>
    </row>
    <row r="80" spans="1:11" ht="15.75">
      <c r="A80" s="4"/>
      <c r="B80" s="74"/>
      <c r="C80" s="550"/>
      <c r="D80" s="670"/>
      <c r="E80" s="671"/>
      <c r="F80" s="672"/>
      <c r="G80" s="672"/>
      <c r="H80" s="672"/>
      <c r="I80" s="672"/>
      <c r="J80" s="672"/>
      <c r="K80" s="551"/>
    </row>
    <row r="81" spans="1:11" ht="15.75">
      <c r="A81" s="4"/>
      <c r="B81" s="10"/>
      <c r="C81" s="398"/>
      <c r="D81" s="399"/>
      <c r="E81" s="553"/>
      <c r="F81" s="553"/>
      <c r="G81" s="553"/>
      <c r="H81" s="553"/>
      <c r="I81" s="553"/>
      <c r="J81" s="553"/>
      <c r="K81" s="228"/>
    </row>
    <row r="82" spans="1:11" ht="18.75">
      <c r="A82" s="4"/>
      <c r="B82" s="10"/>
      <c r="C82" s="401" t="s">
        <v>496</v>
      </c>
      <c r="D82" s="400"/>
      <c r="E82" s="538"/>
      <c r="F82" s="538"/>
      <c r="G82" s="553"/>
      <c r="H82" s="553"/>
      <c r="I82" s="553"/>
      <c r="J82" s="553"/>
      <c r="K82" s="228"/>
    </row>
    <row r="83" spans="1:11" ht="15.75">
      <c r="A83" s="4"/>
      <c r="B83" s="10"/>
      <c r="C83" s="401" t="s">
        <v>631</v>
      </c>
      <c r="D83" s="400"/>
      <c r="E83" s="538"/>
      <c r="F83" s="538">
        <f>+'Adjusted Rate Elements'!$D$35</f>
        <v>0.03</v>
      </c>
      <c r="G83" s="555"/>
      <c r="H83" s="555"/>
      <c r="I83" s="555"/>
      <c r="J83" s="555"/>
      <c r="K83" s="228"/>
    </row>
    <row r="84" spans="1:11" ht="15.75">
      <c r="A84" s="4"/>
      <c r="B84" s="10"/>
      <c r="C84" s="401" t="s">
        <v>434</v>
      </c>
      <c r="D84" s="400"/>
      <c r="E84" s="538"/>
      <c r="F84" s="538">
        <f>+'Adjusted Rate Elements'!$D$36</f>
        <v>0.03</v>
      </c>
      <c r="G84" s="554"/>
      <c r="H84" s="555"/>
      <c r="I84" s="555"/>
      <c r="J84" s="555"/>
      <c r="K84" s="228"/>
    </row>
    <row r="85" spans="1:11" ht="15.75">
      <c r="A85" s="4"/>
      <c r="B85" s="10"/>
      <c r="C85" s="401"/>
      <c r="D85" s="400"/>
      <c r="E85" s="538"/>
      <c r="F85" s="538"/>
      <c r="G85" s="554"/>
      <c r="H85" s="555"/>
      <c r="I85" s="555"/>
      <c r="J85" s="555"/>
      <c r="K85" s="228"/>
    </row>
    <row r="86" spans="1:11" ht="18.75">
      <c r="A86" s="4"/>
      <c r="B86" s="10"/>
      <c r="C86" s="401" t="s">
        <v>497</v>
      </c>
      <c r="D86" s="400"/>
      <c r="E86" s="538"/>
      <c r="F86" s="554">
        <f>+'Adjusted Rate Elements'!$D$32</f>
        <v>0.156</v>
      </c>
      <c r="G86" s="554"/>
      <c r="H86" s="555"/>
      <c r="I86" s="555"/>
      <c r="J86" s="555"/>
      <c r="K86" s="228"/>
    </row>
    <row r="87" spans="1:11" ht="16.5" thickBot="1">
      <c r="A87" s="179"/>
      <c r="B87" s="552"/>
      <c r="C87" s="556"/>
      <c r="D87" s="557"/>
      <c r="E87" s="557"/>
      <c r="F87" s="557"/>
      <c r="G87" s="557"/>
      <c r="H87" s="557"/>
      <c r="I87" s="557"/>
      <c r="J87" s="557"/>
      <c r="K87" s="234"/>
    </row>
    <row r="88" spans="1:11" ht="12.75">
      <c r="A88" s="62"/>
      <c r="B88" s="39"/>
      <c r="C88" s="227"/>
      <c r="D88" s="227"/>
      <c r="E88" s="227"/>
      <c r="F88" s="227"/>
      <c r="G88" s="227"/>
      <c r="H88" s="227"/>
      <c r="I88" s="227"/>
      <c r="J88" s="227"/>
      <c r="K88" s="228"/>
    </row>
    <row r="89" spans="1:11" ht="15.75">
      <c r="A89" s="63"/>
      <c r="B89" s="41"/>
      <c r="C89" s="203" t="s">
        <v>811</v>
      </c>
      <c r="D89" s="203"/>
      <c r="E89" s="227"/>
      <c r="F89" s="227"/>
      <c r="G89" s="227"/>
      <c r="H89" s="309"/>
      <c r="I89" s="227"/>
      <c r="J89" s="227"/>
      <c r="K89" s="228"/>
    </row>
    <row r="90" spans="1:11" ht="13.5" thickBot="1">
      <c r="A90" s="63"/>
      <c r="B90" s="41"/>
      <c r="C90" s="229"/>
      <c r="D90" s="404"/>
      <c r="E90" s="230"/>
      <c r="F90" s="230"/>
      <c r="G90" s="230"/>
      <c r="H90" s="230"/>
      <c r="I90" s="230"/>
      <c r="J90" s="230"/>
      <c r="K90" s="231"/>
    </row>
    <row r="91" spans="1:11" ht="13.5" thickTop="1">
      <c r="A91" s="63"/>
      <c r="B91" s="41"/>
      <c r="C91" s="227" t="s">
        <v>224</v>
      </c>
      <c r="D91" s="227"/>
      <c r="E91" s="227"/>
      <c r="F91" s="227"/>
      <c r="G91" s="227"/>
      <c r="H91" s="227"/>
      <c r="I91" s="227"/>
      <c r="J91" s="227"/>
      <c r="K91" s="228"/>
    </row>
    <row r="92" spans="1:11" ht="12.75">
      <c r="A92" s="63"/>
      <c r="B92" s="41"/>
      <c r="C92" s="227" t="s">
        <v>907</v>
      </c>
      <c r="D92" s="227"/>
      <c r="E92" s="227"/>
      <c r="F92" s="227"/>
      <c r="G92" s="227"/>
      <c r="H92" s="227"/>
      <c r="I92" s="227"/>
      <c r="J92" s="227"/>
      <c r="K92" s="228"/>
    </row>
    <row r="93" spans="1:11" ht="12.75">
      <c r="A93" s="63"/>
      <c r="B93" s="41"/>
      <c r="C93" s="227" t="s">
        <v>498</v>
      </c>
      <c r="D93" s="227"/>
      <c r="E93" s="227"/>
      <c r="F93" s="227"/>
      <c r="G93" s="227"/>
      <c r="H93" s="227"/>
      <c r="I93" s="227"/>
      <c r="J93" s="227"/>
      <c r="K93" s="228"/>
    </row>
    <row r="94" spans="1:11" ht="12.75">
      <c r="A94" s="63"/>
      <c r="B94" s="41"/>
      <c r="C94" s="227" t="s">
        <v>481</v>
      </c>
      <c r="D94" s="227"/>
      <c r="E94" s="227"/>
      <c r="F94" s="227"/>
      <c r="G94" s="227"/>
      <c r="H94" s="227"/>
      <c r="I94" s="227"/>
      <c r="J94" s="227"/>
      <c r="K94" s="228"/>
    </row>
    <row r="95" spans="1:11" ht="12.75">
      <c r="A95" s="63"/>
      <c r="B95" s="41"/>
      <c r="C95" s="227" t="s">
        <v>495</v>
      </c>
      <c r="D95" s="227"/>
      <c r="E95" s="227"/>
      <c r="F95" s="227"/>
      <c r="G95" s="227"/>
      <c r="H95" s="227"/>
      <c r="I95" s="227"/>
      <c r="J95" s="227"/>
      <c r="K95" s="228"/>
    </row>
    <row r="96" spans="1:11" ht="12.75">
      <c r="A96" s="63"/>
      <c r="B96" s="41"/>
      <c r="C96" s="227" t="s">
        <v>499</v>
      </c>
      <c r="D96" s="227"/>
      <c r="E96" s="227"/>
      <c r="F96" s="227"/>
      <c r="G96" s="227"/>
      <c r="H96" s="227"/>
      <c r="I96" s="227"/>
      <c r="J96" s="227"/>
      <c r="K96" s="228"/>
    </row>
    <row r="97" spans="1:11" ht="12.75">
      <c r="A97" s="63"/>
      <c r="B97" s="41"/>
      <c r="C97" s="227" t="s">
        <v>500</v>
      </c>
      <c r="D97" s="227"/>
      <c r="E97" s="227"/>
      <c r="F97" s="227"/>
      <c r="G97" s="227"/>
      <c r="H97" s="227"/>
      <c r="I97" s="227"/>
      <c r="J97" s="227"/>
      <c r="K97" s="228"/>
    </row>
    <row r="98" spans="1:11" ht="13.5" thickBot="1">
      <c r="A98" s="21"/>
      <c r="B98" s="43"/>
      <c r="C98" s="233"/>
      <c r="D98" s="233"/>
      <c r="E98" s="233"/>
      <c r="F98" s="233"/>
      <c r="G98" s="233"/>
      <c r="H98" s="233"/>
      <c r="I98" s="233"/>
      <c r="J98" s="233"/>
      <c r="K98" s="234"/>
    </row>
    <row r="101" ht="13.5" thickBot="1"/>
    <row r="102" spans="1:10" ht="15">
      <c r="A102" s="173"/>
      <c r="B102" s="174"/>
      <c r="C102" s="175"/>
      <c r="D102" s="175"/>
      <c r="E102" s="175"/>
      <c r="F102" s="175"/>
      <c r="G102" s="175"/>
      <c r="H102" s="175"/>
      <c r="I102" s="175"/>
      <c r="J102" s="176"/>
    </row>
    <row r="103" spans="1:10" ht="15.75">
      <c r="A103" s="4"/>
      <c r="B103" s="5"/>
      <c r="C103" s="23"/>
      <c r="D103" s="23"/>
      <c r="E103" s="23"/>
      <c r="F103" s="23"/>
      <c r="G103" s="23"/>
      <c r="H103" s="36"/>
      <c r="I103" s="36"/>
      <c r="J103" s="665" t="s">
        <v>591</v>
      </c>
    </row>
    <row r="104" spans="1:10" ht="15.75">
      <c r="A104" s="4"/>
      <c r="B104" s="5"/>
      <c r="C104" s="23"/>
      <c r="D104" s="23"/>
      <c r="E104" s="23"/>
      <c r="F104" s="23"/>
      <c r="G104" s="23"/>
      <c r="H104" s="36"/>
      <c r="I104" s="36"/>
      <c r="J104" s="665" t="s">
        <v>803</v>
      </c>
    </row>
    <row r="105" spans="1:10" ht="21">
      <c r="A105" s="692" t="s">
        <v>804</v>
      </c>
      <c r="B105" s="693"/>
      <c r="C105" s="693"/>
      <c r="D105" s="693"/>
      <c r="E105" s="693"/>
      <c r="F105" s="693"/>
      <c r="G105" s="693"/>
      <c r="H105" s="693"/>
      <c r="I105" s="693"/>
      <c r="J105" s="694"/>
    </row>
    <row r="106" spans="1:10" ht="15.75" thickBot="1">
      <c r="A106" s="15"/>
      <c r="B106" s="11"/>
      <c r="C106" s="11"/>
      <c r="D106" s="11"/>
      <c r="E106" s="11"/>
      <c r="F106" s="11"/>
      <c r="G106" s="11"/>
      <c r="H106" s="11"/>
      <c r="I106" s="11"/>
      <c r="J106" s="13"/>
    </row>
    <row r="107" spans="1:10" ht="16.5" thickTop="1">
      <c r="A107" s="4"/>
      <c r="B107" s="178"/>
      <c r="C107" s="156"/>
      <c r="D107" s="149"/>
      <c r="E107" s="127"/>
      <c r="F107" s="149"/>
      <c r="G107" s="149"/>
      <c r="H107" s="149"/>
      <c r="I107" s="157"/>
      <c r="J107" s="193"/>
    </row>
    <row r="108" spans="1:10" ht="15.75">
      <c r="A108" s="4"/>
      <c r="B108" s="14"/>
      <c r="C108" s="156"/>
      <c r="D108" s="149"/>
      <c r="E108" s="697" t="s">
        <v>805</v>
      </c>
      <c r="F108" s="719"/>
      <c r="G108" s="719"/>
      <c r="H108" s="720"/>
      <c r="I108" s="157"/>
      <c r="J108" s="193"/>
    </row>
    <row r="109" spans="1:10" ht="15.75">
      <c r="A109" s="4"/>
      <c r="B109" s="178"/>
      <c r="C109" s="702" t="s">
        <v>853</v>
      </c>
      <c r="D109" s="703"/>
      <c r="E109" s="157"/>
      <c r="F109" s="157"/>
      <c r="G109" s="157"/>
      <c r="H109" s="127"/>
      <c r="I109" s="157" t="s">
        <v>958</v>
      </c>
      <c r="J109" s="193" t="s">
        <v>959</v>
      </c>
    </row>
    <row r="110" spans="1:10" ht="15.75">
      <c r="A110" s="4"/>
      <c r="B110" s="178"/>
      <c r="C110" s="702" t="s">
        <v>799</v>
      </c>
      <c r="D110" s="703"/>
      <c r="E110" s="157" t="s">
        <v>855</v>
      </c>
      <c r="F110" s="157" t="s">
        <v>856</v>
      </c>
      <c r="G110" s="157" t="s">
        <v>857</v>
      </c>
      <c r="H110" s="127" t="s">
        <v>858</v>
      </c>
      <c r="I110" s="157"/>
      <c r="J110" s="193"/>
    </row>
    <row r="111" spans="1:10" ht="15.75">
      <c r="A111" s="4"/>
      <c r="B111" s="178"/>
      <c r="C111" s="718" t="s">
        <v>800</v>
      </c>
      <c r="D111" s="720"/>
      <c r="E111" s="269"/>
      <c r="F111" s="158"/>
      <c r="G111" s="158"/>
      <c r="H111" s="159"/>
      <c r="I111" s="158"/>
      <c r="J111" s="194"/>
    </row>
    <row r="112" spans="1:10" ht="15.75">
      <c r="A112" s="4"/>
      <c r="B112" s="178"/>
      <c r="C112" s="396">
        <v>1</v>
      </c>
      <c r="D112" s="397"/>
      <c r="E112" s="239">
        <f>+'Adjusted Rate Elements'!$D$17+$C112*'Adjusted Rate Elements'!E$17</f>
        <v>1.1860000000000002</v>
      </c>
      <c r="F112" s="386">
        <f>+'Adjusted Rate Elements'!$D$17+$C112*'Adjusted Rate Elements'!F$17</f>
        <v>1.226</v>
      </c>
      <c r="G112" s="387">
        <f>+'Adjusted Rate Elements'!$D$17+$C112*'Adjusted Rate Elements'!G$17</f>
        <v>1.268</v>
      </c>
      <c r="H112" s="240">
        <f>+'Adjusted Rate Elements'!$D$17+$C112*'Adjusted Rate Elements'!H$17</f>
        <v>1.3250000000000002</v>
      </c>
      <c r="I112" s="240">
        <f>+'Adjusted Rate Elements'!$D$19+$C112*'Adjusted Rate Elements'!E$19</f>
        <v>0.841</v>
      </c>
      <c r="J112" s="388">
        <f>+'Adjusted Rate Elements'!$D$21+$C112*'Adjusted Rate Elements'!E$21</f>
        <v>0.7260000000000001</v>
      </c>
    </row>
    <row r="113" spans="1:10" ht="15.75">
      <c r="A113" s="4"/>
      <c r="B113" s="178"/>
      <c r="C113" s="396">
        <v>1.5</v>
      </c>
      <c r="D113" s="397"/>
      <c r="E113" s="239">
        <f>+'Adjusted Rate Elements'!$D$17+$C113*'Adjusted Rate Elements'!E$17</f>
        <v>1.231</v>
      </c>
      <c r="F113" s="239">
        <f>+'Adjusted Rate Elements'!$D$17+$C113*'Adjusted Rate Elements'!F$17</f>
        <v>1.2910000000000001</v>
      </c>
      <c r="G113" s="239">
        <f>+'Adjusted Rate Elements'!$D$17+$C113*'Adjusted Rate Elements'!G$17</f>
        <v>1.354</v>
      </c>
      <c r="H113" s="239">
        <f>+'Adjusted Rate Elements'!$D$17+$C113*'Adjusted Rate Elements'!H$17</f>
        <v>1.4395000000000002</v>
      </c>
      <c r="I113" s="239">
        <f>+'Adjusted Rate Elements'!$D$19+$C113*'Adjusted Rate Elements'!E$19</f>
        <v>0.884</v>
      </c>
      <c r="J113" s="388">
        <f>+'Adjusted Rate Elements'!$D$21+$C113*'Adjusted Rate Elements'!E$21</f>
        <v>0.7470000000000001</v>
      </c>
    </row>
    <row r="114" spans="1:10" ht="15.75">
      <c r="A114" s="4"/>
      <c r="B114" s="74"/>
      <c r="C114" s="396">
        <v>2</v>
      </c>
      <c r="D114" s="397"/>
      <c r="E114" s="239">
        <f>+'Adjusted Rate Elements'!$D$17+$C114*'Adjusted Rate Elements'!E$17</f>
        <v>1.276</v>
      </c>
      <c r="F114" s="239">
        <f>+'Adjusted Rate Elements'!$D$17+$C114*'Adjusted Rate Elements'!F$17</f>
        <v>1.356</v>
      </c>
      <c r="G114" s="239">
        <f>+'Adjusted Rate Elements'!$D$17+$C114*'Adjusted Rate Elements'!G$17</f>
        <v>1.44</v>
      </c>
      <c r="H114" s="239">
        <f>+'Adjusted Rate Elements'!$D$17+$C114*'Adjusted Rate Elements'!H$17</f>
        <v>1.554</v>
      </c>
      <c r="I114" s="239">
        <f>+'Adjusted Rate Elements'!$D$19+$C114*'Adjusted Rate Elements'!E$19</f>
        <v>0.927</v>
      </c>
      <c r="J114" s="388">
        <f>+'Adjusted Rate Elements'!$D$21+$C114*'Adjusted Rate Elements'!E$21</f>
        <v>0.768</v>
      </c>
    </row>
    <row r="115" spans="1:10" ht="15.75">
      <c r="A115" s="4"/>
      <c r="B115" s="74"/>
      <c r="C115" s="398">
        <v>2.5</v>
      </c>
      <c r="D115" s="399"/>
      <c r="E115" s="239">
        <f>+'Adjusted Rate Elements'!$D$17+$C115*'Adjusted Rate Elements'!E$17</f>
        <v>1.3210000000000002</v>
      </c>
      <c r="F115" s="239">
        <f>+'Adjusted Rate Elements'!$D$17+$C115*'Adjusted Rate Elements'!F$17</f>
        <v>1.421</v>
      </c>
      <c r="G115" s="239">
        <f>+'Adjusted Rate Elements'!$D$17+$C115*'Adjusted Rate Elements'!G$17</f>
        <v>1.526</v>
      </c>
      <c r="H115" s="239">
        <f>+'Adjusted Rate Elements'!$D$17+$C115*'Adjusted Rate Elements'!H$17</f>
        <v>1.6685</v>
      </c>
      <c r="I115" s="239">
        <f>+'Adjusted Rate Elements'!$D$19+$C115*'Adjusted Rate Elements'!E$19</f>
        <v>0.97</v>
      </c>
      <c r="J115" s="388">
        <f>+'Adjusted Rate Elements'!$D$21+$C115*'Adjusted Rate Elements'!E$21</f>
        <v>0.789</v>
      </c>
    </row>
    <row r="116" spans="1:10" ht="15.75">
      <c r="A116" s="4"/>
      <c r="B116" s="74"/>
      <c r="C116" s="398">
        <v>3</v>
      </c>
      <c r="D116" s="399"/>
      <c r="E116" s="239">
        <f>+'Adjusted Rate Elements'!$D$17+$C116*'Adjusted Rate Elements'!E$17</f>
        <v>1.366</v>
      </c>
      <c r="F116" s="239">
        <f>+'Adjusted Rate Elements'!$D$17+$C116*'Adjusted Rate Elements'!F$17</f>
        <v>1.4860000000000002</v>
      </c>
      <c r="G116" s="239">
        <f>+'Adjusted Rate Elements'!$D$17+$C116*'Adjusted Rate Elements'!G$17</f>
        <v>1.612</v>
      </c>
      <c r="H116" s="239">
        <f>+'Adjusted Rate Elements'!$D$17+$C116*'Adjusted Rate Elements'!H$17</f>
        <v>1.7830000000000001</v>
      </c>
      <c r="I116" s="239">
        <f>+'Adjusted Rate Elements'!$D$19+$C116*'Adjusted Rate Elements'!E$19</f>
        <v>1.013</v>
      </c>
      <c r="J116" s="388">
        <f>+'Adjusted Rate Elements'!$D$21+$C116*'Adjusted Rate Elements'!E$21</f>
        <v>0.81</v>
      </c>
    </row>
    <row r="117" spans="1:10" ht="15.75">
      <c r="A117" s="4"/>
      <c r="B117" s="74"/>
      <c r="C117" s="398">
        <v>3.5</v>
      </c>
      <c r="D117" s="399"/>
      <c r="E117" s="239">
        <f>+'Adjusted Rate Elements'!$D$17+$C117*'Adjusted Rate Elements'!E$17</f>
        <v>1.411</v>
      </c>
      <c r="F117" s="239">
        <f>+'Adjusted Rate Elements'!$D$17+$C117*'Adjusted Rate Elements'!F$17</f>
        <v>1.5510000000000002</v>
      </c>
      <c r="G117" s="239">
        <f>+'Adjusted Rate Elements'!$D$17+$C117*'Adjusted Rate Elements'!G$17</f>
        <v>1.698</v>
      </c>
      <c r="H117" s="239">
        <f>+'Adjusted Rate Elements'!$D$17+$C117*'Adjusted Rate Elements'!H$17</f>
        <v>1.8975</v>
      </c>
      <c r="I117" s="239">
        <f>+'Adjusted Rate Elements'!$D$19+$C117*'Adjusted Rate Elements'!E$19</f>
        <v>1.056</v>
      </c>
      <c r="J117" s="388">
        <f>+'Adjusted Rate Elements'!$D$21+$C117*'Adjusted Rate Elements'!E$21</f>
        <v>0.8310000000000001</v>
      </c>
    </row>
    <row r="118" spans="1:10" ht="15.75">
      <c r="A118" s="4"/>
      <c r="B118" s="74"/>
      <c r="C118" s="398">
        <v>4</v>
      </c>
      <c r="D118" s="399"/>
      <c r="E118" s="239">
        <f>+'Adjusted Rate Elements'!$D$17+$C118*'Adjusted Rate Elements'!E$17</f>
        <v>1.456</v>
      </c>
      <c r="F118" s="239">
        <f>+'Adjusted Rate Elements'!$D$17+$C118*'Adjusted Rate Elements'!F$17</f>
        <v>1.616</v>
      </c>
      <c r="G118" s="239">
        <f>+'Adjusted Rate Elements'!$D$17+$C118*'Adjusted Rate Elements'!G$17</f>
        <v>1.784</v>
      </c>
      <c r="H118" s="239">
        <f>+'Adjusted Rate Elements'!$D$17+$C118*'Adjusted Rate Elements'!H$17</f>
        <v>2.012</v>
      </c>
      <c r="I118" s="239">
        <f>+'Adjusted Rate Elements'!$D$19+$C118*'Adjusted Rate Elements'!E$19</f>
        <v>1.099</v>
      </c>
      <c r="J118" s="388">
        <f>+'Adjusted Rate Elements'!$D$21+$C118*'Adjusted Rate Elements'!E$21</f>
        <v>0.8520000000000001</v>
      </c>
    </row>
    <row r="119" spans="1:10" ht="15.75">
      <c r="A119" s="4"/>
      <c r="B119" s="74"/>
      <c r="C119" s="398">
        <v>4.5</v>
      </c>
      <c r="D119" s="399"/>
      <c r="E119" s="239">
        <f>+'Adjusted Rate Elements'!$D$17+$C119*'Adjusted Rate Elements'!E$17</f>
        <v>1.5010000000000001</v>
      </c>
      <c r="F119" s="239">
        <f>+'Adjusted Rate Elements'!$D$17+$C119*'Adjusted Rate Elements'!F$17</f>
        <v>1.681</v>
      </c>
      <c r="G119" s="239">
        <f>+'Adjusted Rate Elements'!$D$17+$C119*'Adjusted Rate Elements'!G$17</f>
        <v>1.87</v>
      </c>
      <c r="H119" s="239">
        <f>+'Adjusted Rate Elements'!$D$17+$C119*'Adjusted Rate Elements'!H$17</f>
        <v>2.1265</v>
      </c>
      <c r="I119" s="239">
        <f>+'Adjusted Rate Elements'!$D$19+$C119*'Adjusted Rate Elements'!E$19</f>
        <v>1.142</v>
      </c>
      <c r="J119" s="388">
        <f>+'Adjusted Rate Elements'!$D$21+$C119*'Adjusted Rate Elements'!E$21</f>
        <v>0.873</v>
      </c>
    </row>
    <row r="120" spans="1:10" ht="15.75">
      <c r="A120" s="4"/>
      <c r="B120" s="74"/>
      <c r="C120" s="398">
        <v>5</v>
      </c>
      <c r="D120" s="399"/>
      <c r="E120" s="239">
        <f>+'Adjusted Rate Elements'!$D$17+$C120*'Adjusted Rate Elements'!E$17</f>
        <v>1.546</v>
      </c>
      <c r="F120" s="239">
        <f>+'Adjusted Rate Elements'!$D$17+$C120*'Adjusted Rate Elements'!F$17</f>
        <v>1.746</v>
      </c>
      <c r="G120" s="239">
        <f>+'Adjusted Rate Elements'!$D$17+$C120*'Adjusted Rate Elements'!G$17</f>
        <v>1.956</v>
      </c>
      <c r="H120" s="239">
        <f>+'Adjusted Rate Elements'!$D$17+$C120*'Adjusted Rate Elements'!H$17</f>
        <v>2.241</v>
      </c>
      <c r="I120" s="239">
        <f>+'Adjusted Rate Elements'!$D$19+$C120*'Adjusted Rate Elements'!E$19</f>
        <v>1.185</v>
      </c>
      <c r="J120" s="388">
        <f>+'Adjusted Rate Elements'!$D$21+$C120*'Adjusted Rate Elements'!E$21</f>
        <v>0.8940000000000001</v>
      </c>
    </row>
    <row r="121" spans="1:10" ht="15.75">
      <c r="A121" s="4"/>
      <c r="B121" s="74"/>
      <c r="C121" s="398">
        <v>6</v>
      </c>
      <c r="D121" s="399"/>
      <c r="E121" s="239">
        <f>+'Adjusted Rate Elements'!$D$17+$C121*'Adjusted Rate Elements'!E$17</f>
        <v>1.6360000000000001</v>
      </c>
      <c r="F121" s="239">
        <f>+'Adjusted Rate Elements'!$D$17+$C121*'Adjusted Rate Elements'!F$17</f>
        <v>1.8760000000000001</v>
      </c>
      <c r="G121" s="239">
        <f>+'Adjusted Rate Elements'!$D$17+$C121*'Adjusted Rate Elements'!G$17</f>
        <v>2.128</v>
      </c>
      <c r="H121" s="239">
        <f>+'Adjusted Rate Elements'!$D$17+$C121*'Adjusted Rate Elements'!H$17</f>
        <v>2.47</v>
      </c>
      <c r="I121" s="239">
        <f>+'Adjusted Rate Elements'!$D$19+$C121*'Adjusted Rate Elements'!E$19</f>
        <v>1.271</v>
      </c>
      <c r="J121" s="388">
        <f>+'Adjusted Rate Elements'!$D$21+$C121*'Adjusted Rate Elements'!E$21</f>
        <v>0.936</v>
      </c>
    </row>
    <row r="122" spans="1:10" ht="15.75">
      <c r="A122" s="4"/>
      <c r="B122" s="74"/>
      <c r="C122" s="398">
        <v>7</v>
      </c>
      <c r="D122" s="399"/>
      <c r="E122" s="239">
        <f>+'Adjusted Rate Elements'!$D$17+$C122*'Adjusted Rate Elements'!E$17</f>
        <v>1.726</v>
      </c>
      <c r="F122" s="239">
        <f>+'Adjusted Rate Elements'!$D$17+$C122*'Adjusted Rate Elements'!F$17</f>
        <v>2.0060000000000002</v>
      </c>
      <c r="G122" s="239">
        <f>+'Adjusted Rate Elements'!$D$17+$C122*'Adjusted Rate Elements'!G$17</f>
        <v>2.3</v>
      </c>
      <c r="H122" s="239">
        <f>+'Adjusted Rate Elements'!$D$17+$C122*'Adjusted Rate Elements'!H$17</f>
        <v>2.699</v>
      </c>
      <c r="I122" s="239">
        <f>+'Adjusted Rate Elements'!$D$19+$C122*'Adjusted Rate Elements'!E$19</f>
        <v>1.357</v>
      </c>
      <c r="J122" s="388">
        <f>+'Adjusted Rate Elements'!$D$21+$C122*'Adjusted Rate Elements'!E$21</f>
        <v>0.9780000000000001</v>
      </c>
    </row>
    <row r="123" spans="1:10" ht="15.75">
      <c r="A123" s="4"/>
      <c r="B123" s="74"/>
      <c r="C123" s="398">
        <v>8</v>
      </c>
      <c r="D123" s="399"/>
      <c r="E123" s="239">
        <f>+'Adjusted Rate Elements'!$D$17+$C123*'Adjusted Rate Elements'!E$17</f>
        <v>1.816</v>
      </c>
      <c r="F123" s="239">
        <f>+'Adjusted Rate Elements'!$D$17+$C123*'Adjusted Rate Elements'!F$17</f>
        <v>2.136</v>
      </c>
      <c r="G123" s="239">
        <f>+'Adjusted Rate Elements'!$D$17+$C123*'Adjusted Rate Elements'!G$17</f>
        <v>2.472</v>
      </c>
      <c r="H123" s="239">
        <f>+'Adjusted Rate Elements'!$D$17+$C123*'Adjusted Rate Elements'!H$17</f>
        <v>2.928</v>
      </c>
      <c r="I123" s="239">
        <f>+'Adjusted Rate Elements'!$D$19+$C123*'Adjusted Rate Elements'!E$19</f>
        <v>1.443</v>
      </c>
      <c r="J123" s="388">
        <f>+'Adjusted Rate Elements'!$D$21+$C123*'Adjusted Rate Elements'!E$21</f>
        <v>1.02</v>
      </c>
    </row>
    <row r="124" spans="1:10" ht="15.75">
      <c r="A124" s="4"/>
      <c r="B124" s="74"/>
      <c r="C124" s="398">
        <v>9</v>
      </c>
      <c r="D124" s="399"/>
      <c r="E124" s="239">
        <f>+'Adjusted Rate Elements'!$D$17+$C124*'Adjusted Rate Elements'!E$17</f>
        <v>1.9060000000000001</v>
      </c>
      <c r="F124" s="239">
        <f>+'Adjusted Rate Elements'!$D$17+$C124*'Adjusted Rate Elements'!F$17</f>
        <v>2.266</v>
      </c>
      <c r="G124" s="239">
        <f>+'Adjusted Rate Elements'!$D$17+$C124*'Adjusted Rate Elements'!G$17</f>
        <v>2.644</v>
      </c>
      <c r="H124" s="239">
        <f>+'Adjusted Rate Elements'!$D$17+$C124*'Adjusted Rate Elements'!H$17</f>
        <v>3.157</v>
      </c>
      <c r="I124" s="239">
        <f>+'Adjusted Rate Elements'!$D$19+$C124*'Adjusted Rate Elements'!E$19</f>
        <v>1.529</v>
      </c>
      <c r="J124" s="388">
        <f>+'Adjusted Rate Elements'!$D$21+$C124*'Adjusted Rate Elements'!E$21</f>
        <v>1.062</v>
      </c>
    </row>
    <row r="125" spans="1:10" ht="15.75">
      <c r="A125" s="4"/>
      <c r="B125" s="74"/>
      <c r="C125" s="398">
        <v>10</v>
      </c>
      <c r="D125" s="399"/>
      <c r="E125" s="239">
        <f>+'Adjusted Rate Elements'!$D$17+$C125*'Adjusted Rate Elements'!E$17</f>
        <v>1.996</v>
      </c>
      <c r="F125" s="239">
        <f>+'Adjusted Rate Elements'!$D$17+$C125*'Adjusted Rate Elements'!F$17</f>
        <v>2.396</v>
      </c>
      <c r="G125" s="239">
        <f>+'Adjusted Rate Elements'!$D$17+$C125*'Adjusted Rate Elements'!G$17</f>
        <v>2.816</v>
      </c>
      <c r="H125" s="239">
        <f>+'Adjusted Rate Elements'!$D$17+$C125*'Adjusted Rate Elements'!H$17</f>
        <v>3.386</v>
      </c>
      <c r="I125" s="239">
        <f>+'Adjusted Rate Elements'!$D$19+$C125*'Adjusted Rate Elements'!E$19</f>
        <v>1.6149999999999998</v>
      </c>
      <c r="J125" s="388">
        <f>+'Adjusted Rate Elements'!$D$21+$C125*'Adjusted Rate Elements'!E$21</f>
        <v>1.104</v>
      </c>
    </row>
    <row r="126" spans="1:10" ht="15.75">
      <c r="A126" s="4"/>
      <c r="B126" s="74"/>
      <c r="C126" s="398">
        <v>11</v>
      </c>
      <c r="D126" s="399"/>
      <c r="E126" s="239">
        <f>+'Adjusted Rate Elements'!$D$17+$C126*'Adjusted Rate Elements'!E$17</f>
        <v>2.0860000000000003</v>
      </c>
      <c r="F126" s="239">
        <f>+'Adjusted Rate Elements'!$D$17+$C126*'Adjusted Rate Elements'!F$17</f>
        <v>2.5260000000000002</v>
      </c>
      <c r="G126" s="239">
        <f>+'Adjusted Rate Elements'!$D$17+$C126*'Adjusted Rate Elements'!G$17</f>
        <v>2.988</v>
      </c>
      <c r="H126" s="239">
        <f>+'Adjusted Rate Elements'!$D$17+$C126*'Adjusted Rate Elements'!H$17</f>
        <v>3.615</v>
      </c>
      <c r="I126" s="239">
        <f>+'Adjusted Rate Elements'!$D$19+$C126*'Adjusted Rate Elements'!E$19</f>
        <v>1.701</v>
      </c>
      <c r="J126" s="388">
        <f>+'Adjusted Rate Elements'!$D$21+$C126*'Adjusted Rate Elements'!E$21</f>
        <v>1.1460000000000001</v>
      </c>
    </row>
    <row r="127" spans="1:10" ht="15.75">
      <c r="A127" s="4"/>
      <c r="B127" s="74"/>
      <c r="C127" s="398">
        <v>12</v>
      </c>
      <c r="D127" s="399"/>
      <c r="E127" s="239">
        <f>+'Adjusted Rate Elements'!$D$17+$C127*'Adjusted Rate Elements'!E$17</f>
        <v>2.176</v>
      </c>
      <c r="F127" s="239">
        <f>+'Adjusted Rate Elements'!$D$17+$C127*'Adjusted Rate Elements'!F$17</f>
        <v>2.656</v>
      </c>
      <c r="G127" s="239">
        <f>+'Adjusted Rate Elements'!$D$17+$C127*'Adjusted Rate Elements'!G$17</f>
        <v>3.16</v>
      </c>
      <c r="H127" s="239">
        <f>+'Adjusted Rate Elements'!$D$17+$C127*'Adjusted Rate Elements'!H$17</f>
        <v>3.8440000000000003</v>
      </c>
      <c r="I127" s="239">
        <f>+'Adjusted Rate Elements'!$D$19+$C127*'Adjusted Rate Elements'!E$19</f>
        <v>1.787</v>
      </c>
      <c r="J127" s="388">
        <f>+'Adjusted Rate Elements'!$D$21+$C127*'Adjusted Rate Elements'!E$21</f>
        <v>1.1880000000000002</v>
      </c>
    </row>
    <row r="128" spans="1:10" ht="15.75">
      <c r="A128" s="4"/>
      <c r="B128" s="74"/>
      <c r="C128" s="398">
        <v>13</v>
      </c>
      <c r="D128" s="399"/>
      <c r="E128" s="239">
        <f>+'Adjusted Rate Elements'!$D$17+$C128*'Adjusted Rate Elements'!E$17</f>
        <v>2.266</v>
      </c>
      <c r="F128" s="239">
        <f>+'Adjusted Rate Elements'!$D$17+$C128*'Adjusted Rate Elements'!F$17</f>
        <v>2.786</v>
      </c>
      <c r="G128" s="239">
        <f>+'Adjusted Rate Elements'!$D$17+$C128*'Adjusted Rate Elements'!G$17</f>
        <v>3.332</v>
      </c>
      <c r="H128" s="239">
        <f>+'Adjusted Rate Elements'!$D$17+$C128*'Adjusted Rate Elements'!H$17</f>
        <v>4.073</v>
      </c>
      <c r="I128" s="239">
        <f>+'Adjusted Rate Elements'!$D$19+$C128*'Adjusted Rate Elements'!E$19</f>
        <v>1.8729999999999998</v>
      </c>
      <c r="J128" s="388">
        <f>+'Adjusted Rate Elements'!$D$21+$C128*'Adjusted Rate Elements'!E$21</f>
        <v>1.23</v>
      </c>
    </row>
    <row r="129" spans="1:10" ht="15.75">
      <c r="A129" s="4"/>
      <c r="B129" s="74"/>
      <c r="C129" s="398">
        <v>14</v>
      </c>
      <c r="D129" s="399"/>
      <c r="E129" s="239">
        <f>+'Adjusted Rate Elements'!$D$17+$C129*'Adjusted Rate Elements'!E$17</f>
        <v>2.356</v>
      </c>
      <c r="F129" s="239">
        <f>+'Adjusted Rate Elements'!$D$17+$C129*'Adjusted Rate Elements'!F$17</f>
        <v>2.9160000000000004</v>
      </c>
      <c r="G129" s="239">
        <f>+'Adjusted Rate Elements'!$D$17+$C129*'Adjusted Rate Elements'!G$17</f>
        <v>3.504</v>
      </c>
      <c r="H129" s="239">
        <f>+'Adjusted Rate Elements'!$D$17+$C129*'Adjusted Rate Elements'!H$17</f>
        <v>4.302</v>
      </c>
      <c r="I129" s="239">
        <f>+'Adjusted Rate Elements'!$D$19+$C129*'Adjusted Rate Elements'!E$19</f>
        <v>1.959</v>
      </c>
      <c r="J129" s="388">
        <f>+'Adjusted Rate Elements'!$D$21+$C129*'Adjusted Rate Elements'!E$21</f>
        <v>1.2720000000000002</v>
      </c>
    </row>
    <row r="130" spans="1:10" ht="15.75">
      <c r="A130" s="4"/>
      <c r="B130" s="74"/>
      <c r="C130" s="398">
        <v>15</v>
      </c>
      <c r="D130" s="399"/>
      <c r="E130" s="239">
        <f>+'Adjusted Rate Elements'!$D$17+$C130*'Adjusted Rate Elements'!E$17</f>
        <v>2.4459999999999997</v>
      </c>
      <c r="F130" s="239">
        <f>+'Adjusted Rate Elements'!$D$17+$C130*'Adjusted Rate Elements'!F$17</f>
        <v>3.0460000000000003</v>
      </c>
      <c r="G130" s="239">
        <f>+'Adjusted Rate Elements'!$D$17+$C130*'Adjusted Rate Elements'!G$17</f>
        <v>3.6759999999999997</v>
      </c>
      <c r="H130" s="239">
        <f>+'Adjusted Rate Elements'!$D$17+$C130*'Adjusted Rate Elements'!H$17</f>
        <v>4.531000000000001</v>
      </c>
      <c r="I130" s="239">
        <f>+'Adjusted Rate Elements'!$D$19+$C130*'Adjusted Rate Elements'!E$19</f>
        <v>2.045</v>
      </c>
      <c r="J130" s="388">
        <f>+'Adjusted Rate Elements'!$D$21+$C130*'Adjusted Rate Elements'!E$21</f>
        <v>1.314</v>
      </c>
    </row>
    <row r="131" spans="1:10" ht="15.75">
      <c r="A131" s="4"/>
      <c r="B131" s="74"/>
      <c r="C131" s="284"/>
      <c r="D131" s="400"/>
      <c r="E131" s="386"/>
      <c r="F131" s="285"/>
      <c r="G131" s="285"/>
      <c r="H131" s="285"/>
      <c r="I131" s="285"/>
      <c r="J131" s="390"/>
    </row>
    <row r="132" spans="1:10" ht="15.75">
      <c r="A132" s="4"/>
      <c r="B132" s="74"/>
      <c r="C132" s="348"/>
      <c r="D132" s="534"/>
      <c r="E132" s="535"/>
      <c r="F132" s="536"/>
      <c r="G132" s="536"/>
      <c r="H132" s="536"/>
      <c r="I132" s="536"/>
      <c r="J132" s="537"/>
    </row>
    <row r="133" spans="1:10" ht="15.75">
      <c r="A133" s="4"/>
      <c r="B133" s="74"/>
      <c r="C133" s="227"/>
      <c r="D133" s="400"/>
      <c r="E133" s="554"/>
      <c r="F133" s="555"/>
      <c r="G133" s="555"/>
      <c r="H133" s="555"/>
      <c r="I133" s="555"/>
      <c r="J133" s="228"/>
    </row>
    <row r="134" spans="1:10" ht="18.75">
      <c r="A134" s="4"/>
      <c r="B134" s="74"/>
      <c r="C134" s="401" t="s">
        <v>496</v>
      </c>
      <c r="D134" s="400"/>
      <c r="E134" s="538"/>
      <c r="F134" s="538"/>
      <c r="G134" s="555"/>
      <c r="H134" s="555"/>
      <c r="I134" s="555"/>
      <c r="J134" s="228"/>
    </row>
    <row r="135" spans="1:10" ht="15.75">
      <c r="A135" s="4"/>
      <c r="B135" s="74"/>
      <c r="C135" s="401" t="s">
        <v>631</v>
      </c>
      <c r="D135" s="400"/>
      <c r="E135" s="538"/>
      <c r="F135" s="538">
        <f>+'Adjusted Rate Elements'!$D$35</f>
        <v>0.03</v>
      </c>
      <c r="G135" s="555"/>
      <c r="H135" s="555"/>
      <c r="I135" s="555"/>
      <c r="J135" s="228"/>
    </row>
    <row r="136" spans="1:10" ht="15.75">
      <c r="A136" s="4"/>
      <c r="B136" s="74"/>
      <c r="C136" s="401" t="s">
        <v>434</v>
      </c>
      <c r="D136" s="400"/>
      <c r="E136" s="538"/>
      <c r="F136" s="538">
        <f>+'Adjusted Rate Elements'!$D$36</f>
        <v>0.03</v>
      </c>
      <c r="G136" s="554"/>
      <c r="H136" s="555"/>
      <c r="I136" s="555"/>
      <c r="J136" s="228"/>
    </row>
    <row r="137" spans="1:10" ht="15.75">
      <c r="A137" s="4"/>
      <c r="B137" s="74"/>
      <c r="C137" s="401"/>
      <c r="D137" s="400"/>
      <c r="E137" s="538"/>
      <c r="F137" s="538"/>
      <c r="G137" s="554"/>
      <c r="H137" s="555"/>
      <c r="I137" s="555"/>
      <c r="J137" s="228"/>
    </row>
    <row r="138" spans="1:10" ht="18.75">
      <c r="A138" s="4"/>
      <c r="B138" s="74"/>
      <c r="C138" s="401" t="s">
        <v>497</v>
      </c>
      <c r="D138" s="400"/>
      <c r="E138" s="538"/>
      <c r="F138" s="554">
        <f>+'Adjusted Rate Elements'!$D$32</f>
        <v>0.156</v>
      </c>
      <c r="G138" s="554"/>
      <c r="H138" s="555"/>
      <c r="I138" s="555"/>
      <c r="J138" s="228"/>
    </row>
    <row r="139" spans="1:10" ht="16.5" thickBot="1">
      <c r="A139" s="179"/>
      <c r="B139" s="74"/>
      <c r="C139" s="335"/>
      <c r="D139" s="403"/>
      <c r="E139" s="557"/>
      <c r="F139" s="557"/>
      <c r="G139" s="557"/>
      <c r="H139" s="558"/>
      <c r="I139" s="558"/>
      <c r="J139" s="234"/>
    </row>
    <row r="140" spans="1:10" ht="12.75">
      <c r="A140" s="62"/>
      <c r="B140" s="39"/>
      <c r="C140" s="227"/>
      <c r="D140" s="227"/>
      <c r="E140" s="227"/>
      <c r="F140" s="227"/>
      <c r="G140" s="227"/>
      <c r="H140" s="227"/>
      <c r="I140" s="227"/>
      <c r="J140" s="228"/>
    </row>
    <row r="141" spans="1:10" ht="15.75">
      <c r="A141" s="63"/>
      <c r="B141" s="41"/>
      <c r="C141" s="203" t="s">
        <v>811</v>
      </c>
      <c r="D141" s="203"/>
      <c r="E141" s="227"/>
      <c r="F141" s="227"/>
      <c r="G141" s="227"/>
      <c r="H141" s="309"/>
      <c r="I141" s="227"/>
      <c r="J141" s="228"/>
    </row>
    <row r="142" spans="1:10" ht="13.5" thickBot="1">
      <c r="A142" s="63"/>
      <c r="B142" s="41"/>
      <c r="C142" s="229"/>
      <c r="D142" s="404"/>
      <c r="E142" s="230"/>
      <c r="F142" s="230"/>
      <c r="G142" s="230"/>
      <c r="H142" s="230"/>
      <c r="I142" s="230"/>
      <c r="J142" s="231"/>
    </row>
    <row r="143" spans="1:10" ht="13.5" thickTop="1">
      <c r="A143" s="63"/>
      <c r="B143" s="41"/>
      <c r="C143" s="227" t="s">
        <v>225</v>
      </c>
      <c r="D143" s="227"/>
      <c r="E143" s="227"/>
      <c r="F143" s="227"/>
      <c r="G143" s="227"/>
      <c r="H143" s="227"/>
      <c r="I143" s="227"/>
      <c r="J143" s="228"/>
    </row>
    <row r="144" spans="1:10" ht="12.75">
      <c r="A144" s="63"/>
      <c r="B144" s="41"/>
      <c r="C144" s="227" t="s">
        <v>907</v>
      </c>
      <c r="D144" s="227"/>
      <c r="E144" s="227"/>
      <c r="F144" s="227"/>
      <c r="G144" s="227"/>
      <c r="H144" s="227"/>
      <c r="I144" s="227"/>
      <c r="J144" s="228"/>
    </row>
    <row r="145" spans="1:10" ht="12.75">
      <c r="A145" s="63"/>
      <c r="B145" s="41"/>
      <c r="C145" s="227" t="s">
        <v>501</v>
      </c>
      <c r="D145" s="227"/>
      <c r="E145" s="227"/>
      <c r="F145" s="227"/>
      <c r="G145" s="227"/>
      <c r="H145" s="227"/>
      <c r="I145" s="227"/>
      <c r="J145" s="228"/>
    </row>
    <row r="146" spans="1:10" ht="12.75">
      <c r="A146" s="63"/>
      <c r="B146" s="41"/>
      <c r="C146" s="227" t="s">
        <v>502</v>
      </c>
      <c r="D146" s="227"/>
      <c r="E146" s="227"/>
      <c r="F146" s="227"/>
      <c r="G146" s="227"/>
      <c r="H146" s="227"/>
      <c r="I146" s="227"/>
      <c r="J146" s="228"/>
    </row>
    <row r="147" spans="1:10" ht="12.75">
      <c r="A147" s="63"/>
      <c r="B147" s="41"/>
      <c r="C147" s="227" t="s">
        <v>909</v>
      </c>
      <c r="D147" s="227"/>
      <c r="E147" s="227"/>
      <c r="F147" s="227"/>
      <c r="G147" s="227"/>
      <c r="H147" s="227"/>
      <c r="I147" s="227"/>
      <c r="J147" s="228"/>
    </row>
    <row r="148" spans="1:10" ht="12.75">
      <c r="A148" s="63"/>
      <c r="B148" s="41"/>
      <c r="C148" s="227" t="s">
        <v>503</v>
      </c>
      <c r="D148" s="227"/>
      <c r="E148" s="227"/>
      <c r="F148" s="227"/>
      <c r="G148" s="227"/>
      <c r="H148" s="227"/>
      <c r="I148" s="227"/>
      <c r="J148" s="228"/>
    </row>
    <row r="149" spans="1:10" ht="12.75">
      <c r="A149" s="63"/>
      <c r="B149" s="41"/>
      <c r="C149" s="227" t="s">
        <v>504</v>
      </c>
      <c r="D149" s="227"/>
      <c r="E149" s="227"/>
      <c r="F149" s="227"/>
      <c r="G149" s="227"/>
      <c r="H149" s="227"/>
      <c r="I149" s="227"/>
      <c r="J149" s="228"/>
    </row>
    <row r="150" spans="1:10" ht="12.75">
      <c r="A150" s="63"/>
      <c r="B150" s="41"/>
      <c r="C150" s="227" t="s">
        <v>910</v>
      </c>
      <c r="D150" s="227"/>
      <c r="E150" s="227"/>
      <c r="F150" s="227"/>
      <c r="G150" s="227"/>
      <c r="H150" s="227"/>
      <c r="I150" s="227"/>
      <c r="J150" s="228"/>
    </row>
    <row r="151" spans="1:10" ht="12.75">
      <c r="A151" s="63"/>
      <c r="B151" s="41"/>
      <c r="C151" s="227" t="s">
        <v>505</v>
      </c>
      <c r="D151" s="227"/>
      <c r="E151" s="227"/>
      <c r="F151" s="227"/>
      <c r="G151" s="227"/>
      <c r="H151" s="227"/>
      <c r="I151" s="227"/>
      <c r="J151" s="228"/>
    </row>
    <row r="152" spans="1:10" ht="12.75">
      <c r="A152" s="63"/>
      <c r="B152" s="41"/>
      <c r="C152" s="227" t="s">
        <v>506</v>
      </c>
      <c r="D152" s="227"/>
      <c r="E152" s="227"/>
      <c r="F152" s="227"/>
      <c r="G152" s="227"/>
      <c r="H152" s="227"/>
      <c r="I152" s="227"/>
      <c r="J152" s="228"/>
    </row>
    <row r="153" spans="1:10" ht="12.75">
      <c r="A153" s="63"/>
      <c r="B153" s="41"/>
      <c r="C153" s="227" t="s">
        <v>911</v>
      </c>
      <c r="D153" s="227"/>
      <c r="E153" s="227"/>
      <c r="F153" s="227"/>
      <c r="G153" s="227"/>
      <c r="H153" s="227"/>
      <c r="I153" s="227"/>
      <c r="J153" s="228"/>
    </row>
    <row r="154" spans="1:10" ht="12.75">
      <c r="A154" s="63"/>
      <c r="B154" s="41"/>
      <c r="C154" s="227" t="s">
        <v>507</v>
      </c>
      <c r="D154" s="227"/>
      <c r="E154" s="227"/>
      <c r="F154" s="227"/>
      <c r="G154" s="227"/>
      <c r="H154" s="227"/>
      <c r="I154" s="227"/>
      <c r="J154" s="228"/>
    </row>
    <row r="155" spans="1:10" ht="12.75">
      <c r="A155" s="63"/>
      <c r="B155" s="41"/>
      <c r="C155" s="227" t="s">
        <v>508</v>
      </c>
      <c r="D155" s="227"/>
      <c r="E155" s="227"/>
      <c r="F155" s="227"/>
      <c r="G155" s="227"/>
      <c r="H155" s="227"/>
      <c r="I155" s="227"/>
      <c r="J155" s="228"/>
    </row>
    <row r="156" spans="1:10" ht="12.75">
      <c r="A156" s="63"/>
      <c r="B156" s="41"/>
      <c r="C156" s="227" t="s">
        <v>499</v>
      </c>
      <c r="D156" s="227"/>
      <c r="E156" s="227"/>
      <c r="F156" s="227"/>
      <c r="G156" s="227"/>
      <c r="H156" s="227"/>
      <c r="I156" s="227"/>
      <c r="J156" s="228"/>
    </row>
    <row r="157" spans="1:10" ht="12.75">
      <c r="A157" s="63"/>
      <c r="B157" s="41"/>
      <c r="C157" s="227" t="s">
        <v>510</v>
      </c>
      <c r="D157" s="227"/>
      <c r="E157" s="227"/>
      <c r="F157" s="227"/>
      <c r="G157" s="227"/>
      <c r="H157" s="227"/>
      <c r="I157" s="227"/>
      <c r="J157" s="228"/>
    </row>
    <row r="158" spans="1:10" ht="12.75">
      <c r="A158" s="63"/>
      <c r="B158" s="41"/>
      <c r="C158" s="227" t="s">
        <v>509</v>
      </c>
      <c r="D158" s="227"/>
      <c r="E158" s="227"/>
      <c r="F158" s="227"/>
      <c r="G158" s="227"/>
      <c r="H158" s="227"/>
      <c r="I158" s="227"/>
      <c r="J158" s="228"/>
    </row>
    <row r="159" spans="1:10" ht="13.5" thickBot="1">
      <c r="A159" s="21"/>
      <c r="B159" s="43"/>
      <c r="C159" s="233"/>
      <c r="D159" s="233"/>
      <c r="E159" s="233"/>
      <c r="F159" s="233"/>
      <c r="G159" s="233"/>
      <c r="H159" s="233"/>
      <c r="I159" s="233"/>
      <c r="J159" s="234"/>
    </row>
    <row r="162" ht="13.5" thickBot="1"/>
    <row r="163" spans="1:11" ht="15">
      <c r="A163" s="173"/>
      <c r="B163" s="174"/>
      <c r="C163" s="175"/>
      <c r="D163" s="175"/>
      <c r="E163" s="175"/>
      <c r="F163" s="175"/>
      <c r="G163" s="175"/>
      <c r="H163" s="175"/>
      <c r="I163" s="175"/>
      <c r="J163" s="175"/>
      <c r="K163" s="176"/>
    </row>
    <row r="164" spans="1:11" ht="15.75">
      <c r="A164" s="4"/>
      <c r="B164" s="5"/>
      <c r="C164" s="23"/>
      <c r="D164" s="23"/>
      <c r="E164" s="23"/>
      <c r="F164" s="23"/>
      <c r="G164" s="23"/>
      <c r="H164" s="23"/>
      <c r="I164" s="23"/>
      <c r="J164" s="36"/>
      <c r="K164" s="665" t="s">
        <v>591</v>
      </c>
    </row>
    <row r="165" spans="1:11" ht="15.75">
      <c r="A165" s="4"/>
      <c r="B165" s="5"/>
      <c r="C165" s="23"/>
      <c r="D165" s="23"/>
      <c r="E165" s="23"/>
      <c r="F165" s="23"/>
      <c r="G165" s="23"/>
      <c r="H165" s="23"/>
      <c r="I165" s="23"/>
      <c r="J165" s="36"/>
      <c r="K165" s="665" t="s">
        <v>806</v>
      </c>
    </row>
    <row r="166" spans="1:11" ht="21">
      <c r="A166" s="692" t="s">
        <v>912</v>
      </c>
      <c r="B166" s="693"/>
      <c r="C166" s="693"/>
      <c r="D166" s="693"/>
      <c r="E166" s="693"/>
      <c r="F166" s="693"/>
      <c r="G166" s="693"/>
      <c r="H166" s="693"/>
      <c r="I166" s="693"/>
      <c r="J166" s="693"/>
      <c r="K166" s="694"/>
    </row>
    <row r="167" spans="1:11" ht="15.75" thickBot="1">
      <c r="A167" s="15"/>
      <c r="B167" s="11"/>
      <c r="C167" s="11"/>
      <c r="D167" s="11"/>
      <c r="E167" s="11"/>
      <c r="F167" s="11"/>
      <c r="G167" s="11"/>
      <c r="H167" s="11"/>
      <c r="I167" s="11"/>
      <c r="J167" s="11"/>
      <c r="K167" s="13"/>
    </row>
    <row r="168" spans="1:11" ht="16.5" thickTop="1">
      <c r="A168" s="4"/>
      <c r="B168" s="178"/>
      <c r="C168" s="156"/>
      <c r="D168" s="149"/>
      <c r="E168" s="127"/>
      <c r="F168" s="149"/>
      <c r="G168" s="149"/>
      <c r="H168" s="149"/>
      <c r="I168" s="149"/>
      <c r="J168" s="149"/>
      <c r="K168" s="128"/>
    </row>
    <row r="169" spans="1:11" ht="15.75">
      <c r="A169" s="4"/>
      <c r="B169" s="14"/>
      <c r="C169" s="156"/>
      <c r="D169" s="149"/>
      <c r="E169" s="154"/>
      <c r="F169" s="82"/>
      <c r="G169" s="82"/>
      <c r="H169" s="82"/>
      <c r="I169" s="82"/>
      <c r="J169" s="82"/>
      <c r="K169" s="160"/>
    </row>
    <row r="170" spans="1:11" ht="15.75">
      <c r="A170" s="4"/>
      <c r="B170" s="178"/>
      <c r="C170" s="702" t="s">
        <v>853</v>
      </c>
      <c r="D170" s="703"/>
      <c r="E170" s="157"/>
      <c r="F170" s="157"/>
      <c r="G170" s="157"/>
      <c r="H170" s="157"/>
      <c r="I170" s="127"/>
      <c r="J170" s="237"/>
      <c r="K170" s="193"/>
    </row>
    <row r="171" spans="1:11" ht="15.75">
      <c r="A171" s="4"/>
      <c r="B171" s="178"/>
      <c r="C171" s="702" t="s">
        <v>799</v>
      </c>
      <c r="D171" s="703"/>
      <c r="E171" s="157" t="s">
        <v>855</v>
      </c>
      <c r="F171" s="157" t="s">
        <v>856</v>
      </c>
      <c r="G171" s="157" t="s">
        <v>857</v>
      </c>
      <c r="H171" s="157" t="s">
        <v>858</v>
      </c>
      <c r="I171" s="127" t="s">
        <v>859</v>
      </c>
      <c r="J171" s="157" t="s">
        <v>860</v>
      </c>
      <c r="K171" s="193" t="s">
        <v>861</v>
      </c>
    </row>
    <row r="172" spans="1:11" ht="15.75">
      <c r="A172" s="4"/>
      <c r="B172" s="178"/>
      <c r="C172" s="718" t="s">
        <v>800</v>
      </c>
      <c r="D172" s="720"/>
      <c r="E172" s="269"/>
      <c r="F172" s="158"/>
      <c r="G172" s="158"/>
      <c r="H172" s="158"/>
      <c r="I172" s="159"/>
      <c r="J172" s="158"/>
      <c r="K172" s="194"/>
    </row>
    <row r="173" spans="1:11" ht="15.75">
      <c r="A173" s="4"/>
      <c r="B173" s="178"/>
      <c r="C173" s="396">
        <v>1</v>
      </c>
      <c r="D173" s="397"/>
      <c r="E173" s="239">
        <f>+'Adjusted Rate Elements'!$D$24+$C173*'Adjusted Rate Elements'!E$24</f>
        <v>1.435</v>
      </c>
      <c r="F173" s="239">
        <f>+'Adjusted Rate Elements'!$D$24+$C173*'Adjusted Rate Elements'!F$24</f>
        <v>1.4609999999999999</v>
      </c>
      <c r="G173" s="239">
        <f>+'Adjusted Rate Elements'!$D$24+$C173*'Adjusted Rate Elements'!G$24</f>
        <v>1.509</v>
      </c>
      <c r="H173" s="239">
        <f>+'Adjusted Rate Elements'!$D$24+$C173*'Adjusted Rate Elements'!H$24</f>
        <v>1.564</v>
      </c>
      <c r="I173" s="239">
        <f>+'Adjusted Rate Elements'!$D$24+$C173*'Adjusted Rate Elements'!I$24</f>
        <v>1.627</v>
      </c>
      <c r="J173" s="239">
        <f>+'Adjusted Rate Elements'!$D$24+$C173*'Adjusted Rate Elements'!J$24</f>
        <v>1.676</v>
      </c>
      <c r="K173" s="388">
        <f>+'Adjusted Rate Elements'!$D$24+$C173*'Adjusted Rate Elements'!K$24</f>
        <v>1.797</v>
      </c>
    </row>
    <row r="174" spans="1:11" ht="15.75">
      <c r="A174" s="4"/>
      <c r="B174" s="178"/>
      <c r="C174" s="396">
        <v>1.5</v>
      </c>
      <c r="D174" s="397"/>
      <c r="E174" s="239">
        <f>+'Adjusted Rate Elements'!$D$24+$C174*'Adjusted Rate Elements'!E$24</f>
        <v>1.5</v>
      </c>
      <c r="F174" s="239">
        <f>+'Adjusted Rate Elements'!$D$24+$C174*'Adjusted Rate Elements'!F$24</f>
        <v>1.539</v>
      </c>
      <c r="G174" s="239">
        <f>+'Adjusted Rate Elements'!$D$24+$C174*'Adjusted Rate Elements'!G$24</f>
        <v>1.611</v>
      </c>
      <c r="H174" s="239">
        <f>+'Adjusted Rate Elements'!$D$24+$C174*'Adjusted Rate Elements'!H$24</f>
        <v>1.6935</v>
      </c>
      <c r="I174" s="239">
        <f>+'Adjusted Rate Elements'!$D$24+$C174*'Adjusted Rate Elements'!I$24</f>
        <v>1.7879999999999998</v>
      </c>
      <c r="J174" s="239">
        <f>+'Adjusted Rate Elements'!$D$24+$C174*'Adjusted Rate Elements'!J$24</f>
        <v>1.8615</v>
      </c>
      <c r="K174" s="388">
        <f>+'Adjusted Rate Elements'!$D$24+$C174*'Adjusted Rate Elements'!K$24</f>
        <v>2.043</v>
      </c>
    </row>
    <row r="175" spans="1:11" ht="15.75">
      <c r="A175" s="4"/>
      <c r="B175" s="74"/>
      <c r="C175" s="396">
        <v>2</v>
      </c>
      <c r="D175" s="397"/>
      <c r="E175" s="239">
        <f>+'Adjusted Rate Elements'!$D$24+$C175*'Adjusted Rate Elements'!E$24</f>
        <v>1.565</v>
      </c>
      <c r="F175" s="239">
        <f>+'Adjusted Rate Elements'!$D$24+$C175*'Adjusted Rate Elements'!F$24</f>
        <v>1.617</v>
      </c>
      <c r="G175" s="239">
        <f>+'Adjusted Rate Elements'!$D$24+$C175*'Adjusted Rate Elements'!G$24</f>
        <v>1.7129999999999999</v>
      </c>
      <c r="H175" s="239">
        <f>+'Adjusted Rate Elements'!$D$24+$C175*'Adjusted Rate Elements'!H$24</f>
        <v>1.823</v>
      </c>
      <c r="I175" s="239">
        <f>+'Adjusted Rate Elements'!$D$24+$C175*'Adjusted Rate Elements'!I$24</f>
        <v>1.9489999999999998</v>
      </c>
      <c r="J175" s="239">
        <f>+'Adjusted Rate Elements'!$D$24+$C175*'Adjusted Rate Elements'!J$24</f>
        <v>2.0469999999999997</v>
      </c>
      <c r="K175" s="388">
        <f>+'Adjusted Rate Elements'!$D$24+$C175*'Adjusted Rate Elements'!K$24</f>
        <v>2.2889999999999997</v>
      </c>
    </row>
    <row r="176" spans="1:11" ht="15.75">
      <c r="A176" s="4"/>
      <c r="B176" s="74"/>
      <c r="C176" s="398">
        <v>2.5</v>
      </c>
      <c r="D176" s="399"/>
      <c r="E176" s="239">
        <f>+'Adjusted Rate Elements'!$D$24+$C176*'Adjusted Rate Elements'!E$24</f>
        <v>1.63</v>
      </c>
      <c r="F176" s="239">
        <f>+'Adjusted Rate Elements'!$D$24+$C176*'Adjusted Rate Elements'!F$24</f>
        <v>1.6949999999999998</v>
      </c>
      <c r="G176" s="239">
        <f>+'Adjusted Rate Elements'!$D$24+$C176*'Adjusted Rate Elements'!G$24</f>
        <v>1.815</v>
      </c>
      <c r="H176" s="239">
        <f>+'Adjusted Rate Elements'!$D$24+$C176*'Adjusted Rate Elements'!H$24</f>
        <v>1.9525</v>
      </c>
      <c r="I176" s="239">
        <f>+'Adjusted Rate Elements'!$D$24+$C176*'Adjusted Rate Elements'!I$24</f>
        <v>2.11</v>
      </c>
      <c r="J176" s="239">
        <f>+'Adjusted Rate Elements'!$D$24+$C176*'Adjusted Rate Elements'!J$24</f>
        <v>2.2325</v>
      </c>
      <c r="K176" s="388">
        <f>+'Adjusted Rate Elements'!$D$24+$C176*'Adjusted Rate Elements'!K$24</f>
        <v>2.535</v>
      </c>
    </row>
    <row r="177" spans="1:11" ht="15.75">
      <c r="A177" s="4"/>
      <c r="B177" s="74"/>
      <c r="C177" s="398">
        <v>3</v>
      </c>
      <c r="D177" s="399"/>
      <c r="E177" s="239">
        <f>+'Adjusted Rate Elements'!$D$24+$C177*'Adjusted Rate Elements'!E$24</f>
        <v>1.6949999999999998</v>
      </c>
      <c r="F177" s="239">
        <f>+'Adjusted Rate Elements'!$D$24+$C177*'Adjusted Rate Elements'!F$24</f>
        <v>1.773</v>
      </c>
      <c r="G177" s="239">
        <f>+'Adjusted Rate Elements'!$D$24+$C177*'Adjusted Rate Elements'!G$24</f>
        <v>1.9169999999999998</v>
      </c>
      <c r="H177" s="239">
        <f>+'Adjusted Rate Elements'!$D$24+$C177*'Adjusted Rate Elements'!H$24</f>
        <v>2.082</v>
      </c>
      <c r="I177" s="239">
        <f>+'Adjusted Rate Elements'!$D$24+$C177*'Adjusted Rate Elements'!I$24</f>
        <v>2.271</v>
      </c>
      <c r="J177" s="239">
        <f>+'Adjusted Rate Elements'!$D$24+$C177*'Adjusted Rate Elements'!J$24</f>
        <v>2.418</v>
      </c>
      <c r="K177" s="388">
        <f>+'Adjusted Rate Elements'!$D$24+$C177*'Adjusted Rate Elements'!K$24</f>
        <v>2.7809999999999997</v>
      </c>
    </row>
    <row r="178" spans="1:11" ht="15.75">
      <c r="A178" s="4"/>
      <c r="B178" s="74"/>
      <c r="C178" s="398">
        <v>3.5</v>
      </c>
      <c r="D178" s="399"/>
      <c r="E178" s="239">
        <f>+'Adjusted Rate Elements'!$D$24+$C178*'Adjusted Rate Elements'!E$24</f>
        <v>1.76</v>
      </c>
      <c r="F178" s="239">
        <f>+'Adjusted Rate Elements'!$D$24+$C178*'Adjusted Rate Elements'!F$24</f>
        <v>1.851</v>
      </c>
      <c r="G178" s="239">
        <f>+'Adjusted Rate Elements'!$D$24+$C178*'Adjusted Rate Elements'!G$24</f>
        <v>2.019</v>
      </c>
      <c r="H178" s="239">
        <f>+'Adjusted Rate Elements'!$D$24+$C178*'Adjusted Rate Elements'!H$24</f>
        <v>2.2115</v>
      </c>
      <c r="I178" s="239">
        <f>+'Adjusted Rate Elements'!$D$24+$C178*'Adjusted Rate Elements'!I$24</f>
        <v>2.432</v>
      </c>
      <c r="J178" s="239">
        <f>+'Adjusted Rate Elements'!$D$24+$C178*'Adjusted Rate Elements'!J$24</f>
        <v>2.6035</v>
      </c>
      <c r="K178" s="388">
        <f>+'Adjusted Rate Elements'!$D$24+$C178*'Adjusted Rate Elements'!K$24</f>
        <v>3.027</v>
      </c>
    </row>
    <row r="179" spans="1:11" ht="15.75">
      <c r="A179" s="4"/>
      <c r="B179" s="74"/>
      <c r="C179" s="398">
        <v>4</v>
      </c>
      <c r="D179" s="399"/>
      <c r="E179" s="239">
        <f>+'Adjusted Rate Elements'!$D$24+$C179*'Adjusted Rate Elements'!E$24</f>
        <v>1.825</v>
      </c>
      <c r="F179" s="239">
        <f>+'Adjusted Rate Elements'!$D$24+$C179*'Adjusted Rate Elements'!F$24</f>
        <v>1.9289999999999998</v>
      </c>
      <c r="G179" s="239">
        <f>+'Adjusted Rate Elements'!$D$24+$C179*'Adjusted Rate Elements'!G$24</f>
        <v>2.121</v>
      </c>
      <c r="H179" s="239">
        <f>+'Adjusted Rate Elements'!$D$24+$C179*'Adjusted Rate Elements'!H$24</f>
        <v>2.341</v>
      </c>
      <c r="I179" s="239">
        <f>+'Adjusted Rate Elements'!$D$24+$C179*'Adjusted Rate Elements'!I$24</f>
        <v>2.593</v>
      </c>
      <c r="J179" s="239">
        <f>+'Adjusted Rate Elements'!$D$24+$C179*'Adjusted Rate Elements'!J$24</f>
        <v>2.7889999999999997</v>
      </c>
      <c r="K179" s="388">
        <f>+'Adjusted Rate Elements'!$D$24+$C179*'Adjusted Rate Elements'!K$24</f>
        <v>3.2729999999999997</v>
      </c>
    </row>
    <row r="180" spans="1:11" ht="15.75">
      <c r="A180" s="4"/>
      <c r="B180" s="74"/>
      <c r="C180" s="398">
        <v>4.5</v>
      </c>
      <c r="D180" s="399"/>
      <c r="E180" s="239">
        <f>+'Adjusted Rate Elements'!$D$24+$C180*'Adjusted Rate Elements'!E$24</f>
        <v>1.89</v>
      </c>
      <c r="F180" s="239">
        <f>+'Adjusted Rate Elements'!$D$24+$C180*'Adjusted Rate Elements'!F$24</f>
        <v>2.0069999999999997</v>
      </c>
      <c r="G180" s="239">
        <f>+'Adjusted Rate Elements'!$D$24+$C180*'Adjusted Rate Elements'!G$24</f>
        <v>2.223</v>
      </c>
      <c r="H180" s="239">
        <f>+'Adjusted Rate Elements'!$D$24+$C180*'Adjusted Rate Elements'!H$24</f>
        <v>2.4705</v>
      </c>
      <c r="I180" s="239">
        <f>+'Adjusted Rate Elements'!$D$24+$C180*'Adjusted Rate Elements'!I$24</f>
        <v>2.754</v>
      </c>
      <c r="J180" s="239">
        <f>+'Adjusted Rate Elements'!$D$24+$C180*'Adjusted Rate Elements'!J$24</f>
        <v>2.9745</v>
      </c>
      <c r="K180" s="388">
        <f>+'Adjusted Rate Elements'!$D$24+$C180*'Adjusted Rate Elements'!K$24</f>
        <v>3.519</v>
      </c>
    </row>
    <row r="181" spans="1:11" ht="15.75">
      <c r="A181" s="4"/>
      <c r="B181" s="74"/>
      <c r="C181" s="398">
        <v>5</v>
      </c>
      <c r="D181" s="399"/>
      <c r="E181" s="239">
        <f>+'Adjusted Rate Elements'!$D$24+$C181*'Adjusted Rate Elements'!E$24</f>
        <v>1.955</v>
      </c>
      <c r="F181" s="239">
        <f>+'Adjusted Rate Elements'!$D$24+$C181*'Adjusted Rate Elements'!F$24</f>
        <v>2.085</v>
      </c>
      <c r="G181" s="239">
        <f>+'Adjusted Rate Elements'!$D$24+$C181*'Adjusted Rate Elements'!G$24</f>
        <v>2.325</v>
      </c>
      <c r="H181" s="239">
        <f>+'Adjusted Rate Elements'!$D$24+$C181*'Adjusted Rate Elements'!H$24</f>
        <v>2.5999999999999996</v>
      </c>
      <c r="I181" s="239">
        <f>+'Adjusted Rate Elements'!$D$24+$C181*'Adjusted Rate Elements'!I$24</f>
        <v>2.915</v>
      </c>
      <c r="J181" s="239">
        <f>+'Adjusted Rate Elements'!$D$24+$C181*'Adjusted Rate Elements'!J$24</f>
        <v>3.16</v>
      </c>
      <c r="K181" s="388">
        <f>+'Adjusted Rate Elements'!$D$24+$C181*'Adjusted Rate Elements'!K$24</f>
        <v>3.7649999999999997</v>
      </c>
    </row>
    <row r="182" spans="1:11" ht="15.75">
      <c r="A182" s="4"/>
      <c r="B182" s="74"/>
      <c r="C182" s="398">
        <v>6</v>
      </c>
      <c r="D182" s="399"/>
      <c r="E182" s="239">
        <f>+'Adjusted Rate Elements'!$D$24+$C182*'Adjusted Rate Elements'!E$24</f>
        <v>2.085</v>
      </c>
      <c r="F182" s="239">
        <f>+'Adjusted Rate Elements'!$D$24+$C182*'Adjusted Rate Elements'!F$24</f>
        <v>2.2409999999999997</v>
      </c>
      <c r="G182" s="239">
        <f>+'Adjusted Rate Elements'!$D$24+$C182*'Adjusted Rate Elements'!G$24</f>
        <v>2.529</v>
      </c>
      <c r="H182" s="239">
        <f>+'Adjusted Rate Elements'!$D$24+$C182*'Adjusted Rate Elements'!H$24</f>
        <v>2.859</v>
      </c>
      <c r="I182" s="239">
        <f>+'Adjusted Rate Elements'!$D$24+$C182*'Adjusted Rate Elements'!I$24</f>
        <v>3.237</v>
      </c>
      <c r="J182" s="239">
        <f>+'Adjusted Rate Elements'!$D$24+$C182*'Adjusted Rate Elements'!J$24</f>
        <v>3.5309999999999997</v>
      </c>
      <c r="K182" s="388">
        <f>+'Adjusted Rate Elements'!$D$24+$C182*'Adjusted Rate Elements'!K$24</f>
        <v>4.257</v>
      </c>
    </row>
    <row r="183" spans="1:11" ht="15.75">
      <c r="A183" s="4"/>
      <c r="B183" s="74"/>
      <c r="C183" s="398">
        <v>7</v>
      </c>
      <c r="D183" s="399"/>
      <c r="E183" s="239">
        <f>+'Adjusted Rate Elements'!$D$24+$C183*'Adjusted Rate Elements'!E$24</f>
        <v>2.215</v>
      </c>
      <c r="F183" s="239">
        <f>+'Adjusted Rate Elements'!$D$24+$C183*'Adjusted Rate Elements'!F$24</f>
        <v>2.3970000000000002</v>
      </c>
      <c r="G183" s="239">
        <f>+'Adjusted Rate Elements'!$D$24+$C183*'Adjusted Rate Elements'!G$24</f>
        <v>2.7329999999999997</v>
      </c>
      <c r="H183" s="239">
        <f>+'Adjusted Rate Elements'!$D$24+$C183*'Adjusted Rate Elements'!H$24</f>
        <v>3.1180000000000003</v>
      </c>
      <c r="I183" s="239">
        <f>+'Adjusted Rate Elements'!$D$24+$C183*'Adjusted Rate Elements'!I$24</f>
        <v>3.559</v>
      </c>
      <c r="J183" s="239">
        <f>+'Adjusted Rate Elements'!$D$24+$C183*'Adjusted Rate Elements'!J$24</f>
        <v>3.902</v>
      </c>
      <c r="K183" s="388">
        <f>+'Adjusted Rate Elements'!$D$24+$C183*'Adjusted Rate Elements'!K$24</f>
        <v>4.749</v>
      </c>
    </row>
    <row r="184" spans="1:11" ht="15.75">
      <c r="A184" s="4"/>
      <c r="B184" s="74"/>
      <c r="C184" s="398">
        <v>8</v>
      </c>
      <c r="D184" s="399"/>
      <c r="E184" s="239">
        <f>+'Adjusted Rate Elements'!$D$24+$C184*'Adjusted Rate Elements'!E$24</f>
        <v>2.3449999999999998</v>
      </c>
      <c r="F184" s="239">
        <f>+'Adjusted Rate Elements'!$D$24+$C184*'Adjusted Rate Elements'!F$24</f>
        <v>2.553</v>
      </c>
      <c r="G184" s="239">
        <f>+'Adjusted Rate Elements'!$D$24+$C184*'Adjusted Rate Elements'!G$24</f>
        <v>2.937</v>
      </c>
      <c r="H184" s="239">
        <f>+'Adjusted Rate Elements'!$D$24+$C184*'Adjusted Rate Elements'!H$24</f>
        <v>3.377</v>
      </c>
      <c r="I184" s="239">
        <f>+'Adjusted Rate Elements'!$D$24+$C184*'Adjusted Rate Elements'!I$24</f>
        <v>3.8810000000000002</v>
      </c>
      <c r="J184" s="239">
        <f>+'Adjusted Rate Elements'!$D$24+$C184*'Adjusted Rate Elements'!J$24</f>
        <v>4.273</v>
      </c>
      <c r="K184" s="388">
        <f>+'Adjusted Rate Elements'!$D$24+$C184*'Adjusted Rate Elements'!K$24</f>
        <v>5.241</v>
      </c>
    </row>
    <row r="185" spans="1:11" ht="15.75">
      <c r="A185" s="4"/>
      <c r="B185" s="74"/>
      <c r="C185" s="398">
        <v>9</v>
      </c>
      <c r="D185" s="399"/>
      <c r="E185" s="239">
        <f>+'Adjusted Rate Elements'!$D$24+$C185*'Adjusted Rate Elements'!E$24</f>
        <v>2.4749999999999996</v>
      </c>
      <c r="F185" s="239">
        <f>+'Adjusted Rate Elements'!$D$24+$C185*'Adjusted Rate Elements'!F$24</f>
        <v>2.7089999999999996</v>
      </c>
      <c r="G185" s="239">
        <f>+'Adjusted Rate Elements'!$D$24+$C185*'Adjusted Rate Elements'!G$24</f>
        <v>3.141</v>
      </c>
      <c r="H185" s="239">
        <f>+'Adjusted Rate Elements'!$D$24+$C185*'Adjusted Rate Elements'!H$24</f>
        <v>3.636</v>
      </c>
      <c r="I185" s="239">
        <f>+'Adjusted Rate Elements'!$D$24+$C185*'Adjusted Rate Elements'!I$24</f>
        <v>4.203</v>
      </c>
      <c r="J185" s="239">
        <f>+'Adjusted Rate Elements'!$D$24+$C185*'Adjusted Rate Elements'!J$24</f>
        <v>4.644</v>
      </c>
      <c r="K185" s="388">
        <f>+'Adjusted Rate Elements'!$D$24+$C185*'Adjusted Rate Elements'!K$24</f>
        <v>5.733</v>
      </c>
    </row>
    <row r="186" spans="1:11" ht="15.75">
      <c r="A186" s="4"/>
      <c r="B186" s="74"/>
      <c r="C186" s="398">
        <v>10</v>
      </c>
      <c r="D186" s="399"/>
      <c r="E186" s="239">
        <f>+'Adjusted Rate Elements'!$D$24+$C186*'Adjusted Rate Elements'!E$24</f>
        <v>2.605</v>
      </c>
      <c r="F186" s="239">
        <f>+'Adjusted Rate Elements'!$D$24+$C186*'Adjusted Rate Elements'!F$24</f>
        <v>2.865</v>
      </c>
      <c r="G186" s="239">
        <f>+'Adjusted Rate Elements'!$D$24+$C186*'Adjusted Rate Elements'!G$24</f>
        <v>3.3449999999999998</v>
      </c>
      <c r="H186" s="239">
        <f>+'Adjusted Rate Elements'!$D$24+$C186*'Adjusted Rate Elements'!H$24</f>
        <v>3.8949999999999996</v>
      </c>
      <c r="I186" s="239">
        <f>+'Adjusted Rate Elements'!$D$24+$C186*'Adjusted Rate Elements'!I$24</f>
        <v>4.525</v>
      </c>
      <c r="J186" s="239">
        <f>+'Adjusted Rate Elements'!$D$24+$C186*'Adjusted Rate Elements'!J$24</f>
        <v>5.015</v>
      </c>
      <c r="K186" s="388">
        <f>+'Adjusted Rate Elements'!$D$24+$C186*'Adjusted Rate Elements'!K$24</f>
        <v>6.225</v>
      </c>
    </row>
    <row r="187" spans="1:11" ht="15.75">
      <c r="A187" s="4"/>
      <c r="B187" s="74"/>
      <c r="C187" s="398">
        <v>11</v>
      </c>
      <c r="D187" s="399"/>
      <c r="E187" s="239">
        <f>+'Adjusted Rate Elements'!$D$24+$C187*'Adjusted Rate Elements'!E$24</f>
        <v>2.7350000000000003</v>
      </c>
      <c r="F187" s="239">
        <f>+'Adjusted Rate Elements'!$D$24+$C187*'Adjusted Rate Elements'!F$24</f>
        <v>3.021</v>
      </c>
      <c r="G187" s="239">
        <f>+'Adjusted Rate Elements'!$D$24+$C187*'Adjusted Rate Elements'!G$24</f>
        <v>3.5489999999999995</v>
      </c>
      <c r="H187" s="239">
        <f>+'Adjusted Rate Elements'!$D$24+$C187*'Adjusted Rate Elements'!H$24</f>
        <v>4.154</v>
      </c>
      <c r="I187" s="239">
        <f>+'Adjusted Rate Elements'!$D$24+$C187*'Adjusted Rate Elements'!I$24</f>
        <v>4.847</v>
      </c>
      <c r="J187" s="239">
        <f>+'Adjusted Rate Elements'!$D$24+$C187*'Adjusted Rate Elements'!J$24</f>
        <v>5.385999999999999</v>
      </c>
      <c r="K187" s="388">
        <f>+'Adjusted Rate Elements'!$D$24+$C187*'Adjusted Rate Elements'!K$24</f>
        <v>6.717</v>
      </c>
    </row>
    <row r="188" spans="1:11" ht="15.75">
      <c r="A188" s="4"/>
      <c r="B188" s="74"/>
      <c r="C188" s="398">
        <v>12</v>
      </c>
      <c r="D188" s="399"/>
      <c r="E188" s="239">
        <f>+'Adjusted Rate Elements'!$D$24+$C188*'Adjusted Rate Elements'!E$24</f>
        <v>2.865</v>
      </c>
      <c r="F188" s="239">
        <f>+'Adjusted Rate Elements'!$D$24+$C188*'Adjusted Rate Elements'!F$24</f>
        <v>3.1769999999999996</v>
      </c>
      <c r="G188" s="239">
        <f>+'Adjusted Rate Elements'!$D$24+$C188*'Adjusted Rate Elements'!G$24</f>
        <v>3.753</v>
      </c>
      <c r="H188" s="239">
        <f>+'Adjusted Rate Elements'!$D$24+$C188*'Adjusted Rate Elements'!H$24</f>
        <v>4.413</v>
      </c>
      <c r="I188" s="239">
        <f>+'Adjusted Rate Elements'!$D$24+$C188*'Adjusted Rate Elements'!I$24</f>
        <v>5.169</v>
      </c>
      <c r="J188" s="239">
        <f>+'Adjusted Rate Elements'!$D$24+$C188*'Adjusted Rate Elements'!J$24</f>
        <v>5.757</v>
      </c>
      <c r="K188" s="388">
        <f>+'Adjusted Rate Elements'!$D$24+$C188*'Adjusted Rate Elements'!K$24</f>
        <v>7.209</v>
      </c>
    </row>
    <row r="189" spans="1:11" ht="15.75">
      <c r="A189" s="4"/>
      <c r="B189" s="74"/>
      <c r="C189" s="398">
        <v>13</v>
      </c>
      <c r="D189" s="399"/>
      <c r="E189" s="239">
        <f>+'Adjusted Rate Elements'!$D$24+$C189*'Adjusted Rate Elements'!E$24</f>
        <v>2.995</v>
      </c>
      <c r="F189" s="239">
        <f>+'Adjusted Rate Elements'!$D$24+$C189*'Adjusted Rate Elements'!F$24</f>
        <v>3.333</v>
      </c>
      <c r="G189" s="239">
        <f>+'Adjusted Rate Elements'!$D$24+$C189*'Adjusted Rate Elements'!G$24</f>
        <v>3.957</v>
      </c>
      <c r="H189" s="239">
        <f>+'Adjusted Rate Elements'!$D$24+$C189*'Adjusted Rate Elements'!H$24</f>
        <v>4.672</v>
      </c>
      <c r="I189" s="239">
        <f>+'Adjusted Rate Elements'!$D$24+$C189*'Adjusted Rate Elements'!I$24</f>
        <v>5.491</v>
      </c>
      <c r="J189" s="239">
        <f>+'Adjusted Rate Elements'!$D$24+$C189*'Adjusted Rate Elements'!J$24</f>
        <v>6.128</v>
      </c>
      <c r="K189" s="388">
        <f>+'Adjusted Rate Elements'!$D$24+$C189*'Adjusted Rate Elements'!K$24</f>
        <v>7.701</v>
      </c>
    </row>
    <row r="190" spans="1:11" ht="15.75">
      <c r="A190" s="4"/>
      <c r="B190" s="74"/>
      <c r="C190" s="398">
        <v>14</v>
      </c>
      <c r="D190" s="399"/>
      <c r="E190" s="239">
        <f>+'Adjusted Rate Elements'!$D$24+$C190*'Adjusted Rate Elements'!E$24</f>
        <v>3.125</v>
      </c>
      <c r="F190" s="239">
        <f>+'Adjusted Rate Elements'!$D$24+$C190*'Adjusted Rate Elements'!F$24</f>
        <v>3.489</v>
      </c>
      <c r="G190" s="239">
        <f>+'Adjusted Rate Elements'!$D$24+$C190*'Adjusted Rate Elements'!G$24</f>
        <v>4.161</v>
      </c>
      <c r="H190" s="239">
        <f>+'Adjusted Rate Elements'!$D$24+$C190*'Adjusted Rate Elements'!H$24</f>
        <v>4.931</v>
      </c>
      <c r="I190" s="239">
        <f>+'Adjusted Rate Elements'!$D$24+$C190*'Adjusted Rate Elements'!I$24</f>
        <v>5.813</v>
      </c>
      <c r="J190" s="239">
        <f>+'Adjusted Rate Elements'!$D$24+$C190*'Adjusted Rate Elements'!J$24</f>
        <v>6.499</v>
      </c>
      <c r="K190" s="388">
        <f>+'Adjusted Rate Elements'!$D$24+$C190*'Adjusted Rate Elements'!K$24</f>
        <v>8.193</v>
      </c>
    </row>
    <row r="191" spans="1:11" ht="15.75">
      <c r="A191" s="4"/>
      <c r="B191" s="74"/>
      <c r="C191" s="398">
        <v>15</v>
      </c>
      <c r="D191" s="399"/>
      <c r="E191" s="239">
        <f>+'Adjusted Rate Elements'!$D$24+$C191*'Adjusted Rate Elements'!E$24</f>
        <v>3.255</v>
      </c>
      <c r="F191" s="239">
        <f>+'Adjusted Rate Elements'!$D$24+$C191*'Adjusted Rate Elements'!F$24</f>
        <v>3.6449999999999996</v>
      </c>
      <c r="G191" s="239">
        <f>+'Adjusted Rate Elements'!$D$24+$C191*'Adjusted Rate Elements'!G$24</f>
        <v>4.364999999999999</v>
      </c>
      <c r="H191" s="239">
        <f>+'Adjusted Rate Elements'!$D$24+$C191*'Adjusted Rate Elements'!H$24</f>
        <v>5.19</v>
      </c>
      <c r="I191" s="239">
        <f>+'Adjusted Rate Elements'!$D$24+$C191*'Adjusted Rate Elements'!I$24</f>
        <v>6.135</v>
      </c>
      <c r="J191" s="239">
        <f>+'Adjusted Rate Elements'!$D$24+$C191*'Adjusted Rate Elements'!J$24</f>
        <v>6.869999999999999</v>
      </c>
      <c r="K191" s="388">
        <f>+'Adjusted Rate Elements'!$D$24+$C191*'Adjusted Rate Elements'!K$24</f>
        <v>8.685</v>
      </c>
    </row>
    <row r="192" spans="1:11" ht="15.75">
      <c r="A192" s="4"/>
      <c r="B192" s="74"/>
      <c r="C192" s="348"/>
      <c r="D192" s="534"/>
      <c r="E192" s="535"/>
      <c r="F192" s="536"/>
      <c r="G192" s="536"/>
      <c r="H192" s="536"/>
      <c r="I192" s="536"/>
      <c r="J192" s="536"/>
      <c r="K192" s="537"/>
    </row>
    <row r="193" spans="1:11" ht="15.75">
      <c r="A193" s="4"/>
      <c r="B193" s="74"/>
      <c r="C193" s="400"/>
      <c r="D193" s="400"/>
      <c r="E193" s="554"/>
      <c r="F193" s="554"/>
      <c r="G193" s="554"/>
      <c r="H193" s="555"/>
      <c r="I193" s="555"/>
      <c r="J193" s="555"/>
      <c r="K193" s="228"/>
    </row>
    <row r="194" spans="1:11" ht="18.75">
      <c r="A194" s="4"/>
      <c r="B194" s="74"/>
      <c r="C194" s="401" t="s">
        <v>475</v>
      </c>
      <c r="D194" s="400"/>
      <c r="E194" s="538"/>
      <c r="F194" s="554">
        <f>+'Adjusted Rate Elements'!$D$32</f>
        <v>0.156</v>
      </c>
      <c r="G194" s="554"/>
      <c r="H194" s="555"/>
      <c r="I194" s="555"/>
      <c r="J194" s="555"/>
      <c r="K194" s="228"/>
    </row>
    <row r="195" spans="1:11" ht="16.5" thickBot="1">
      <c r="A195" s="179"/>
      <c r="B195" s="74"/>
      <c r="C195" s="402"/>
      <c r="D195" s="403"/>
      <c r="E195" s="557"/>
      <c r="F195" s="557"/>
      <c r="G195" s="557"/>
      <c r="H195" s="558"/>
      <c r="I195" s="558"/>
      <c r="J195" s="558"/>
      <c r="K195" s="234"/>
    </row>
    <row r="196" spans="1:11" ht="12.75">
      <c r="A196" s="62"/>
      <c r="B196" s="39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1:11" ht="15.75">
      <c r="A197" s="63"/>
      <c r="B197" s="41"/>
      <c r="C197" s="203" t="s">
        <v>811</v>
      </c>
      <c r="D197" s="203"/>
      <c r="E197" s="227"/>
      <c r="F197" s="227"/>
      <c r="G197" s="227"/>
      <c r="H197" s="309"/>
      <c r="I197" s="227"/>
      <c r="J197" s="227"/>
      <c r="K197" s="228"/>
    </row>
    <row r="198" spans="1:11" ht="13.5" thickBot="1">
      <c r="A198" s="63"/>
      <c r="B198" s="41"/>
      <c r="C198" s="229"/>
      <c r="D198" s="404"/>
      <c r="E198" s="230"/>
      <c r="F198" s="230"/>
      <c r="G198" s="230"/>
      <c r="H198" s="230"/>
      <c r="I198" s="230"/>
      <c r="J198" s="230"/>
      <c r="K198" s="231"/>
    </row>
    <row r="199" spans="1:11" ht="13.5" thickTop="1">
      <c r="A199" s="63"/>
      <c r="B199" s="41"/>
      <c r="C199" s="227" t="s">
        <v>225</v>
      </c>
      <c r="D199" s="227"/>
      <c r="E199" s="227"/>
      <c r="F199" s="227"/>
      <c r="G199" s="227"/>
      <c r="H199" s="227"/>
      <c r="I199" s="227"/>
      <c r="J199" s="227"/>
      <c r="K199" s="228"/>
    </row>
    <row r="200" spans="1:11" ht="12.75">
      <c r="A200" s="63"/>
      <c r="B200" s="41"/>
      <c r="C200" s="227" t="s">
        <v>907</v>
      </c>
      <c r="D200" s="227"/>
      <c r="E200" s="227"/>
      <c r="F200" s="227"/>
      <c r="G200" s="227"/>
      <c r="H200" s="227"/>
      <c r="I200" s="227"/>
      <c r="J200" s="227"/>
      <c r="K200" s="228"/>
    </row>
    <row r="201" spans="1:11" ht="12.75">
      <c r="A201" s="63"/>
      <c r="B201" s="41"/>
      <c r="C201" s="227" t="s">
        <v>480</v>
      </c>
      <c r="D201" s="227"/>
      <c r="E201" s="227"/>
      <c r="F201" s="227"/>
      <c r="G201" s="227"/>
      <c r="H201" s="227"/>
      <c r="I201" s="227"/>
      <c r="J201" s="227"/>
      <c r="K201" s="228"/>
    </row>
    <row r="202" spans="1:11" ht="12.75">
      <c r="A202" s="63"/>
      <c r="B202" s="41"/>
      <c r="C202" s="227" t="s">
        <v>511</v>
      </c>
      <c r="D202" s="227"/>
      <c r="E202" s="227"/>
      <c r="F202" s="227"/>
      <c r="G202" s="227"/>
      <c r="H202" s="227"/>
      <c r="I202" s="227"/>
      <c r="J202" s="227"/>
      <c r="K202" s="228"/>
    </row>
    <row r="203" spans="1:11" ht="12.75">
      <c r="A203" s="63"/>
      <c r="B203" s="41"/>
      <c r="C203" s="227" t="s">
        <v>512</v>
      </c>
      <c r="D203" s="227"/>
      <c r="E203" s="227"/>
      <c r="F203" s="227"/>
      <c r="G203" s="227"/>
      <c r="H203" s="227"/>
      <c r="I203" s="227"/>
      <c r="J203" s="227"/>
      <c r="K203" s="228"/>
    </row>
    <row r="204" spans="1:11" ht="12.75">
      <c r="A204" s="63"/>
      <c r="B204" s="41"/>
      <c r="C204" s="227" t="s">
        <v>479</v>
      </c>
      <c r="D204" s="227"/>
      <c r="E204" s="227"/>
      <c r="F204" s="227"/>
      <c r="G204" s="227"/>
      <c r="H204" s="227"/>
      <c r="I204" s="227"/>
      <c r="J204" s="227"/>
      <c r="K204" s="228"/>
    </row>
    <row r="205" spans="1:11" ht="13.5" thickBot="1">
      <c r="A205" s="21"/>
      <c r="B205" s="43"/>
      <c r="C205" s="233"/>
      <c r="D205" s="233"/>
      <c r="E205" s="233"/>
      <c r="F205" s="233"/>
      <c r="G205" s="233"/>
      <c r="H205" s="233"/>
      <c r="I205" s="233"/>
      <c r="J205" s="233"/>
      <c r="K205" s="234"/>
    </row>
    <row r="208" ht="13.5" thickBot="1"/>
    <row r="209" spans="1:10" ht="15">
      <c r="A209" s="173"/>
      <c r="B209" s="174"/>
      <c r="C209" s="175"/>
      <c r="D209" s="175"/>
      <c r="E209" s="175"/>
      <c r="F209" s="175"/>
      <c r="G209" s="175"/>
      <c r="H209" s="175"/>
      <c r="I209" s="175"/>
      <c r="J209" s="176"/>
    </row>
    <row r="210" spans="1:10" ht="15.75">
      <c r="A210" s="4"/>
      <c r="B210" s="5"/>
      <c r="C210" s="23"/>
      <c r="D210" s="23"/>
      <c r="E210" s="23"/>
      <c r="F210" s="23"/>
      <c r="G210" s="23"/>
      <c r="H210" s="36"/>
      <c r="I210" s="36"/>
      <c r="J210" s="665" t="s">
        <v>591</v>
      </c>
    </row>
    <row r="211" spans="1:10" ht="15.75">
      <c r="A211" s="4"/>
      <c r="B211" s="5"/>
      <c r="C211" s="23"/>
      <c r="D211" s="23"/>
      <c r="E211" s="23"/>
      <c r="F211" s="23"/>
      <c r="G211" s="23"/>
      <c r="H211" s="36"/>
      <c r="I211" s="36"/>
      <c r="J211" s="665" t="s">
        <v>807</v>
      </c>
    </row>
    <row r="212" spans="1:10" ht="21">
      <c r="A212" s="692" t="s">
        <v>913</v>
      </c>
      <c r="B212" s="693"/>
      <c r="C212" s="693"/>
      <c r="D212" s="693"/>
      <c r="E212" s="693"/>
      <c r="F212" s="693"/>
      <c r="G212" s="693"/>
      <c r="H212" s="693"/>
      <c r="I212" s="693"/>
      <c r="J212" s="694"/>
    </row>
    <row r="213" spans="1:10" ht="15.75" thickBot="1">
      <c r="A213" s="15"/>
      <c r="B213" s="11"/>
      <c r="C213" s="11"/>
      <c r="D213" s="11"/>
      <c r="E213" s="11"/>
      <c r="F213" s="11"/>
      <c r="G213" s="11"/>
      <c r="H213" s="11"/>
      <c r="I213" s="11"/>
      <c r="J213" s="13"/>
    </row>
    <row r="214" spans="1:10" ht="16.5" thickTop="1">
      <c r="A214" s="4"/>
      <c r="B214" s="178"/>
      <c r="C214" s="156"/>
      <c r="D214" s="149"/>
      <c r="E214" s="127"/>
      <c r="F214" s="149"/>
      <c r="G214" s="149"/>
      <c r="H214" s="149"/>
      <c r="I214" s="157"/>
      <c r="J214" s="193"/>
    </row>
    <row r="215" spans="1:10" ht="15.75">
      <c r="A215" s="4"/>
      <c r="B215" s="14"/>
      <c r="C215" s="156"/>
      <c r="D215" s="149"/>
      <c r="E215" s="697" t="s">
        <v>805</v>
      </c>
      <c r="F215" s="719"/>
      <c r="G215" s="719"/>
      <c r="H215" s="720"/>
      <c r="I215" s="157"/>
      <c r="J215" s="193"/>
    </row>
    <row r="216" spans="1:10" ht="15.75">
      <c r="A216" s="4"/>
      <c r="B216" s="178"/>
      <c r="C216" s="702" t="s">
        <v>853</v>
      </c>
      <c r="D216" s="703"/>
      <c r="E216" s="157"/>
      <c r="F216" s="157"/>
      <c r="G216" s="157"/>
      <c r="H216" s="127"/>
      <c r="I216" s="157" t="s">
        <v>958</v>
      </c>
      <c r="J216" s="193" t="s">
        <v>959</v>
      </c>
    </row>
    <row r="217" spans="1:10" ht="15.75">
      <c r="A217" s="4"/>
      <c r="B217" s="178"/>
      <c r="C217" s="702" t="s">
        <v>799</v>
      </c>
      <c r="D217" s="703"/>
      <c r="E217" s="157" t="s">
        <v>855</v>
      </c>
      <c r="F217" s="157" t="s">
        <v>856</v>
      </c>
      <c r="G217" s="157" t="s">
        <v>857</v>
      </c>
      <c r="H217" s="127" t="s">
        <v>858</v>
      </c>
      <c r="I217" s="157"/>
      <c r="J217" s="193"/>
    </row>
    <row r="218" spans="1:10" ht="15.75">
      <c r="A218" s="4"/>
      <c r="B218" s="178"/>
      <c r="C218" s="718" t="s">
        <v>800</v>
      </c>
      <c r="D218" s="720"/>
      <c r="E218" s="269"/>
      <c r="F218" s="158"/>
      <c r="G218" s="158"/>
      <c r="H218" s="159"/>
      <c r="I218" s="158"/>
      <c r="J218" s="194"/>
    </row>
    <row r="219" spans="1:10" ht="15.75">
      <c r="A219" s="4"/>
      <c r="B219" s="178"/>
      <c r="C219" s="396">
        <v>1</v>
      </c>
      <c r="D219" s="397"/>
      <c r="E219" s="239">
        <f>+'Adjusted Rate Elements'!$D$26+$C219*'Adjusted Rate Elements'!E$26</f>
        <v>1.09</v>
      </c>
      <c r="F219" s="239">
        <f>+'Adjusted Rate Elements'!$D$26+$C219*'Adjusted Rate Elements'!F$26</f>
        <v>1.13</v>
      </c>
      <c r="G219" s="239">
        <f>+'Adjusted Rate Elements'!$D$26+$C219*'Adjusted Rate Elements'!G$26</f>
        <v>1.172</v>
      </c>
      <c r="H219" s="239">
        <f>+'Adjusted Rate Elements'!$D$26+$C219*'Adjusted Rate Elements'!H$26</f>
        <v>1.229</v>
      </c>
      <c r="I219" s="239">
        <f>+'Adjusted Rate Elements'!$D$28+$C219*'Adjusted Rate Elements'!E$28</f>
        <v>0.745</v>
      </c>
      <c r="J219" s="388">
        <f>+'Adjusted Rate Elements'!$D$30+$C219*'Adjusted Rate Elements'!E$30</f>
        <v>0.63</v>
      </c>
    </row>
    <row r="220" spans="1:10" ht="15.75">
      <c r="A220" s="4"/>
      <c r="B220" s="178"/>
      <c r="C220" s="396">
        <v>1.5</v>
      </c>
      <c r="D220" s="397"/>
      <c r="E220" s="239">
        <f>+'Adjusted Rate Elements'!$D$26+$C220*'Adjusted Rate Elements'!E$26</f>
        <v>1.135</v>
      </c>
      <c r="F220" s="239">
        <f>+'Adjusted Rate Elements'!$D$26+$C220*'Adjusted Rate Elements'!F$26</f>
        <v>1.195</v>
      </c>
      <c r="G220" s="239">
        <f>+'Adjusted Rate Elements'!$D$26+$C220*'Adjusted Rate Elements'!G$26</f>
        <v>1.258</v>
      </c>
      <c r="H220" s="239">
        <f>+'Adjusted Rate Elements'!$D$26+$C220*'Adjusted Rate Elements'!H$26</f>
        <v>1.3435000000000001</v>
      </c>
      <c r="I220" s="239">
        <f>+'Adjusted Rate Elements'!$D$28+$C220*'Adjusted Rate Elements'!E$28</f>
        <v>0.788</v>
      </c>
      <c r="J220" s="388">
        <f>+'Adjusted Rate Elements'!$D$30+$C220*'Adjusted Rate Elements'!E$30</f>
        <v>0.651</v>
      </c>
    </row>
    <row r="221" spans="1:10" ht="15.75">
      <c r="A221" s="4"/>
      <c r="B221" s="74"/>
      <c r="C221" s="396">
        <v>2</v>
      </c>
      <c r="D221" s="397"/>
      <c r="E221" s="239">
        <f>+'Adjusted Rate Elements'!$D$26+$C221*'Adjusted Rate Elements'!E$26</f>
        <v>1.18</v>
      </c>
      <c r="F221" s="239">
        <f>+'Adjusted Rate Elements'!$D$26+$C221*'Adjusted Rate Elements'!F$26</f>
        <v>1.26</v>
      </c>
      <c r="G221" s="239">
        <f>+'Adjusted Rate Elements'!$D$26+$C221*'Adjusted Rate Elements'!G$26</f>
        <v>1.3439999999999999</v>
      </c>
      <c r="H221" s="239">
        <f>+'Adjusted Rate Elements'!$D$26+$C221*'Adjusted Rate Elements'!H$26</f>
        <v>1.458</v>
      </c>
      <c r="I221" s="239">
        <f>+'Adjusted Rate Elements'!$D$28+$C221*'Adjusted Rate Elements'!E$28</f>
        <v>0.831</v>
      </c>
      <c r="J221" s="388">
        <f>+'Adjusted Rate Elements'!$D$30+$C221*'Adjusted Rate Elements'!E$30</f>
        <v>0.6719999999999999</v>
      </c>
    </row>
    <row r="222" spans="1:10" ht="15.75">
      <c r="A222" s="4"/>
      <c r="B222" s="74"/>
      <c r="C222" s="398">
        <v>2.5</v>
      </c>
      <c r="D222" s="399"/>
      <c r="E222" s="239">
        <f>+'Adjusted Rate Elements'!$D$26+$C222*'Adjusted Rate Elements'!E$26</f>
        <v>1.225</v>
      </c>
      <c r="F222" s="239">
        <f>+'Adjusted Rate Elements'!$D$26+$C222*'Adjusted Rate Elements'!F$26</f>
        <v>1.325</v>
      </c>
      <c r="G222" s="239">
        <f>+'Adjusted Rate Elements'!$D$26+$C222*'Adjusted Rate Elements'!G$26</f>
        <v>1.43</v>
      </c>
      <c r="H222" s="239">
        <f>+'Adjusted Rate Elements'!$D$26+$C222*'Adjusted Rate Elements'!H$26</f>
        <v>1.5725</v>
      </c>
      <c r="I222" s="239">
        <f>+'Adjusted Rate Elements'!$D$28+$C222*'Adjusted Rate Elements'!E$28</f>
        <v>0.874</v>
      </c>
      <c r="J222" s="388">
        <f>+'Adjusted Rate Elements'!$D$30+$C222*'Adjusted Rate Elements'!E$30</f>
        <v>0.693</v>
      </c>
    </row>
    <row r="223" spans="1:10" ht="15.75">
      <c r="A223" s="4"/>
      <c r="B223" s="74"/>
      <c r="C223" s="398">
        <v>3</v>
      </c>
      <c r="D223" s="399"/>
      <c r="E223" s="239">
        <f>+'Adjusted Rate Elements'!$D$26+$C223*'Adjusted Rate Elements'!E$26</f>
        <v>1.27</v>
      </c>
      <c r="F223" s="239">
        <f>+'Adjusted Rate Elements'!$D$26+$C223*'Adjusted Rate Elements'!F$26</f>
        <v>1.3900000000000001</v>
      </c>
      <c r="G223" s="239">
        <f>+'Adjusted Rate Elements'!$D$26+$C223*'Adjusted Rate Elements'!G$26</f>
        <v>1.516</v>
      </c>
      <c r="H223" s="239">
        <f>+'Adjusted Rate Elements'!$D$26+$C223*'Adjusted Rate Elements'!H$26</f>
        <v>1.687</v>
      </c>
      <c r="I223" s="239">
        <f>+'Adjusted Rate Elements'!$D$28+$C223*'Adjusted Rate Elements'!E$28</f>
        <v>0.917</v>
      </c>
      <c r="J223" s="388">
        <f>+'Adjusted Rate Elements'!$D$30+$C223*'Adjusted Rate Elements'!E$30</f>
        <v>0.714</v>
      </c>
    </row>
    <row r="224" spans="1:10" ht="15.75">
      <c r="A224" s="4"/>
      <c r="B224" s="74"/>
      <c r="C224" s="398">
        <v>3.5</v>
      </c>
      <c r="D224" s="399"/>
      <c r="E224" s="239">
        <f>+'Adjusted Rate Elements'!$D$26+$C224*'Adjusted Rate Elements'!E$26</f>
        <v>1.315</v>
      </c>
      <c r="F224" s="239">
        <f>+'Adjusted Rate Elements'!$D$26+$C224*'Adjusted Rate Elements'!F$26</f>
        <v>1.455</v>
      </c>
      <c r="G224" s="239">
        <f>+'Adjusted Rate Elements'!$D$26+$C224*'Adjusted Rate Elements'!G$26</f>
        <v>1.6019999999999999</v>
      </c>
      <c r="H224" s="239">
        <f>+'Adjusted Rate Elements'!$D$26+$C224*'Adjusted Rate Elements'!H$26</f>
        <v>1.8014999999999999</v>
      </c>
      <c r="I224" s="239">
        <f>+'Adjusted Rate Elements'!$D$28+$C224*'Adjusted Rate Elements'!E$28</f>
        <v>0.96</v>
      </c>
      <c r="J224" s="388">
        <f>+'Adjusted Rate Elements'!$D$30+$C224*'Adjusted Rate Elements'!E$30</f>
        <v>0.735</v>
      </c>
    </row>
    <row r="225" spans="1:10" ht="15.75">
      <c r="A225" s="4"/>
      <c r="B225" s="74"/>
      <c r="C225" s="398">
        <v>4</v>
      </c>
      <c r="D225" s="399"/>
      <c r="E225" s="239">
        <f>+'Adjusted Rate Elements'!$D$26+$C225*'Adjusted Rate Elements'!E$26</f>
        <v>1.3599999999999999</v>
      </c>
      <c r="F225" s="239">
        <f>+'Adjusted Rate Elements'!$D$26+$C225*'Adjusted Rate Elements'!F$26</f>
        <v>1.52</v>
      </c>
      <c r="G225" s="239">
        <f>+'Adjusted Rate Elements'!$D$26+$C225*'Adjusted Rate Elements'!G$26</f>
        <v>1.688</v>
      </c>
      <c r="H225" s="239">
        <f>+'Adjusted Rate Elements'!$D$26+$C225*'Adjusted Rate Elements'!H$26</f>
        <v>1.916</v>
      </c>
      <c r="I225" s="239">
        <f>+'Adjusted Rate Elements'!$D$28+$C225*'Adjusted Rate Elements'!E$28</f>
        <v>1.0030000000000001</v>
      </c>
      <c r="J225" s="388">
        <f>+'Adjusted Rate Elements'!$D$30+$C225*'Adjusted Rate Elements'!E$30</f>
        <v>0.756</v>
      </c>
    </row>
    <row r="226" spans="1:10" ht="15.75">
      <c r="A226" s="4"/>
      <c r="B226" s="74"/>
      <c r="C226" s="398">
        <v>4.5</v>
      </c>
      <c r="D226" s="399"/>
      <c r="E226" s="239">
        <f>+'Adjusted Rate Elements'!$D$26+$C226*'Adjusted Rate Elements'!E$26</f>
        <v>1.405</v>
      </c>
      <c r="F226" s="239">
        <f>+'Adjusted Rate Elements'!$D$26+$C226*'Adjusted Rate Elements'!F$26</f>
        <v>1.585</v>
      </c>
      <c r="G226" s="239">
        <f>+'Adjusted Rate Elements'!$D$26+$C226*'Adjusted Rate Elements'!G$26</f>
        <v>1.774</v>
      </c>
      <c r="H226" s="239">
        <f>+'Adjusted Rate Elements'!$D$26+$C226*'Adjusted Rate Elements'!H$26</f>
        <v>2.0305</v>
      </c>
      <c r="I226" s="239">
        <f>+'Adjusted Rate Elements'!$D$28+$C226*'Adjusted Rate Elements'!E$28</f>
        <v>1.046</v>
      </c>
      <c r="J226" s="388">
        <f>+'Adjusted Rate Elements'!$D$30+$C226*'Adjusted Rate Elements'!E$30</f>
        <v>0.7769999999999999</v>
      </c>
    </row>
    <row r="227" spans="1:10" ht="15.75">
      <c r="A227" s="4"/>
      <c r="B227" s="74"/>
      <c r="C227" s="398">
        <v>5</v>
      </c>
      <c r="D227" s="399"/>
      <c r="E227" s="239">
        <f>+'Adjusted Rate Elements'!$D$26+$C227*'Adjusted Rate Elements'!E$26</f>
        <v>1.45</v>
      </c>
      <c r="F227" s="239">
        <f>+'Adjusted Rate Elements'!$D$26+$C227*'Adjusted Rate Elements'!F$26</f>
        <v>1.65</v>
      </c>
      <c r="G227" s="239">
        <f>+'Adjusted Rate Elements'!$D$26+$C227*'Adjusted Rate Elements'!G$26</f>
        <v>1.8599999999999999</v>
      </c>
      <c r="H227" s="239">
        <f>+'Adjusted Rate Elements'!$D$26+$C227*'Adjusted Rate Elements'!H$26</f>
        <v>2.145</v>
      </c>
      <c r="I227" s="239">
        <f>+'Adjusted Rate Elements'!$D$28+$C227*'Adjusted Rate Elements'!E$28</f>
        <v>1.089</v>
      </c>
      <c r="J227" s="388">
        <f>+'Adjusted Rate Elements'!$D$30+$C227*'Adjusted Rate Elements'!E$30</f>
        <v>0.798</v>
      </c>
    </row>
    <row r="228" spans="1:10" ht="15.75">
      <c r="A228" s="4"/>
      <c r="B228" s="74"/>
      <c r="C228" s="398">
        <v>6</v>
      </c>
      <c r="D228" s="399"/>
      <c r="E228" s="239">
        <f>+'Adjusted Rate Elements'!$D$26+$C228*'Adjusted Rate Elements'!E$26</f>
        <v>1.54</v>
      </c>
      <c r="F228" s="239">
        <f>+'Adjusted Rate Elements'!$D$26+$C228*'Adjusted Rate Elements'!F$26</f>
        <v>1.78</v>
      </c>
      <c r="G228" s="239">
        <f>+'Adjusted Rate Elements'!$D$26+$C228*'Adjusted Rate Elements'!G$26</f>
        <v>2.032</v>
      </c>
      <c r="H228" s="239">
        <f>+'Adjusted Rate Elements'!$D$26+$C228*'Adjusted Rate Elements'!H$26</f>
        <v>2.374</v>
      </c>
      <c r="I228" s="239">
        <f>+'Adjusted Rate Elements'!$D$28+$C228*'Adjusted Rate Elements'!E$28</f>
        <v>1.175</v>
      </c>
      <c r="J228" s="388">
        <f>+'Adjusted Rate Elements'!$D$30+$C228*'Adjusted Rate Elements'!E$30</f>
        <v>0.84</v>
      </c>
    </row>
    <row r="229" spans="1:10" ht="15.75">
      <c r="A229" s="4"/>
      <c r="B229" s="74"/>
      <c r="C229" s="398">
        <v>7</v>
      </c>
      <c r="D229" s="399"/>
      <c r="E229" s="239">
        <f>+'Adjusted Rate Elements'!$D$26+$C229*'Adjusted Rate Elements'!E$26</f>
        <v>1.63</v>
      </c>
      <c r="F229" s="239">
        <f>+'Adjusted Rate Elements'!$D$26+$C229*'Adjusted Rate Elements'!F$26</f>
        <v>1.9100000000000001</v>
      </c>
      <c r="G229" s="239">
        <f>+'Adjusted Rate Elements'!$D$26+$C229*'Adjusted Rate Elements'!G$26</f>
        <v>2.2039999999999997</v>
      </c>
      <c r="H229" s="239">
        <f>+'Adjusted Rate Elements'!$D$26+$C229*'Adjusted Rate Elements'!H$26</f>
        <v>2.6029999999999998</v>
      </c>
      <c r="I229" s="239">
        <f>+'Adjusted Rate Elements'!$D$28+$C229*'Adjusted Rate Elements'!E$28</f>
        <v>1.2610000000000001</v>
      </c>
      <c r="J229" s="388">
        <f>+'Adjusted Rate Elements'!$D$30+$C229*'Adjusted Rate Elements'!E$30</f>
        <v>0.882</v>
      </c>
    </row>
    <row r="230" spans="1:10" ht="15.75">
      <c r="A230" s="4"/>
      <c r="B230" s="74"/>
      <c r="C230" s="398">
        <v>8</v>
      </c>
      <c r="D230" s="399"/>
      <c r="E230" s="239">
        <f>+'Adjusted Rate Elements'!$D$26+$C230*'Adjusted Rate Elements'!E$26</f>
        <v>1.72</v>
      </c>
      <c r="F230" s="239">
        <f>+'Adjusted Rate Elements'!$D$26+$C230*'Adjusted Rate Elements'!F$26</f>
        <v>2.04</v>
      </c>
      <c r="G230" s="239">
        <f>+'Adjusted Rate Elements'!$D$26+$C230*'Adjusted Rate Elements'!G$26</f>
        <v>2.376</v>
      </c>
      <c r="H230" s="239">
        <f>+'Adjusted Rate Elements'!$D$26+$C230*'Adjusted Rate Elements'!H$26</f>
        <v>2.832</v>
      </c>
      <c r="I230" s="239">
        <f>+'Adjusted Rate Elements'!$D$28+$C230*'Adjusted Rate Elements'!E$28</f>
        <v>1.347</v>
      </c>
      <c r="J230" s="388">
        <f>+'Adjusted Rate Elements'!$D$30+$C230*'Adjusted Rate Elements'!E$30</f>
        <v>0.9239999999999999</v>
      </c>
    </row>
    <row r="231" spans="1:10" ht="15.75">
      <c r="A231" s="4"/>
      <c r="B231" s="74"/>
      <c r="C231" s="398">
        <v>9</v>
      </c>
      <c r="D231" s="399"/>
      <c r="E231" s="239">
        <f>+'Adjusted Rate Elements'!$D$26+$C231*'Adjusted Rate Elements'!E$26</f>
        <v>1.81</v>
      </c>
      <c r="F231" s="239">
        <f>+'Adjusted Rate Elements'!$D$26+$C231*'Adjusted Rate Elements'!F$26</f>
        <v>2.17</v>
      </c>
      <c r="G231" s="239">
        <f>+'Adjusted Rate Elements'!$D$26+$C231*'Adjusted Rate Elements'!G$26</f>
        <v>2.548</v>
      </c>
      <c r="H231" s="239">
        <f>+'Adjusted Rate Elements'!$D$26+$C231*'Adjusted Rate Elements'!H$26</f>
        <v>3.061</v>
      </c>
      <c r="I231" s="239">
        <f>+'Adjusted Rate Elements'!$D$28+$C231*'Adjusted Rate Elements'!E$28</f>
        <v>1.4329999999999998</v>
      </c>
      <c r="J231" s="388">
        <f>+'Adjusted Rate Elements'!$D$30+$C231*'Adjusted Rate Elements'!E$30</f>
        <v>0.966</v>
      </c>
    </row>
    <row r="232" spans="1:10" ht="15.75">
      <c r="A232" s="4"/>
      <c r="B232" s="74"/>
      <c r="C232" s="398">
        <v>10</v>
      </c>
      <c r="D232" s="399"/>
      <c r="E232" s="239">
        <f>+'Adjusted Rate Elements'!$D$26+$C232*'Adjusted Rate Elements'!E$26</f>
        <v>1.9</v>
      </c>
      <c r="F232" s="239">
        <f>+'Adjusted Rate Elements'!$D$26+$C232*'Adjusted Rate Elements'!F$26</f>
        <v>2.3</v>
      </c>
      <c r="G232" s="239">
        <f>+'Adjusted Rate Elements'!$D$26+$C232*'Adjusted Rate Elements'!G$26</f>
        <v>2.7199999999999998</v>
      </c>
      <c r="H232" s="239">
        <f>+'Adjusted Rate Elements'!$D$26+$C232*'Adjusted Rate Elements'!H$26</f>
        <v>3.29</v>
      </c>
      <c r="I232" s="239">
        <f>+'Adjusted Rate Elements'!$D$28+$C232*'Adjusted Rate Elements'!E$28</f>
        <v>1.519</v>
      </c>
      <c r="J232" s="388">
        <f>+'Adjusted Rate Elements'!$D$30+$C232*'Adjusted Rate Elements'!E$30</f>
        <v>1.008</v>
      </c>
    </row>
    <row r="233" spans="1:10" ht="15.75">
      <c r="A233" s="4"/>
      <c r="B233" s="74"/>
      <c r="C233" s="398">
        <v>11</v>
      </c>
      <c r="D233" s="399"/>
      <c r="E233" s="239">
        <f>+'Adjusted Rate Elements'!$D$26+$C233*'Adjusted Rate Elements'!E$26</f>
        <v>1.99</v>
      </c>
      <c r="F233" s="239">
        <f>+'Adjusted Rate Elements'!$D$26+$C233*'Adjusted Rate Elements'!F$26</f>
        <v>2.43</v>
      </c>
      <c r="G233" s="239">
        <f>+'Adjusted Rate Elements'!$D$26+$C233*'Adjusted Rate Elements'!G$26</f>
        <v>2.892</v>
      </c>
      <c r="H233" s="239">
        <f>+'Adjusted Rate Elements'!$D$26+$C233*'Adjusted Rate Elements'!H$26</f>
        <v>3.519</v>
      </c>
      <c r="I233" s="239">
        <f>+'Adjusted Rate Elements'!$D$28+$C233*'Adjusted Rate Elements'!E$28</f>
        <v>1.605</v>
      </c>
      <c r="J233" s="388">
        <f>+'Adjusted Rate Elements'!$D$30+$C233*'Adjusted Rate Elements'!E$30</f>
        <v>1.05</v>
      </c>
    </row>
    <row r="234" spans="1:10" ht="15.75">
      <c r="A234" s="4"/>
      <c r="B234" s="74"/>
      <c r="C234" s="398">
        <v>12</v>
      </c>
      <c r="D234" s="399"/>
      <c r="E234" s="239">
        <f>+'Adjusted Rate Elements'!$D$26+$C234*'Adjusted Rate Elements'!E$26</f>
        <v>2.08</v>
      </c>
      <c r="F234" s="239">
        <f>+'Adjusted Rate Elements'!$D$26+$C234*'Adjusted Rate Elements'!F$26</f>
        <v>2.56</v>
      </c>
      <c r="G234" s="239">
        <f>+'Adjusted Rate Elements'!$D$26+$C234*'Adjusted Rate Elements'!G$26</f>
        <v>3.064</v>
      </c>
      <c r="H234" s="239">
        <f>+'Adjusted Rate Elements'!$D$26+$C234*'Adjusted Rate Elements'!H$26</f>
        <v>3.748</v>
      </c>
      <c r="I234" s="239">
        <f>+'Adjusted Rate Elements'!$D$28+$C234*'Adjusted Rate Elements'!E$28</f>
        <v>1.691</v>
      </c>
      <c r="J234" s="388">
        <f>+'Adjusted Rate Elements'!$D$30+$C234*'Adjusted Rate Elements'!E$30</f>
        <v>1.092</v>
      </c>
    </row>
    <row r="235" spans="1:10" ht="15.75">
      <c r="A235" s="4"/>
      <c r="B235" s="74"/>
      <c r="C235" s="398">
        <v>13</v>
      </c>
      <c r="D235" s="399"/>
      <c r="E235" s="239">
        <f>+'Adjusted Rate Elements'!$D$26+$C235*'Adjusted Rate Elements'!E$26</f>
        <v>2.17</v>
      </c>
      <c r="F235" s="239">
        <f>+'Adjusted Rate Elements'!$D$26+$C235*'Adjusted Rate Elements'!F$26</f>
        <v>2.69</v>
      </c>
      <c r="G235" s="239">
        <f>+'Adjusted Rate Elements'!$D$26+$C235*'Adjusted Rate Elements'!G$26</f>
        <v>3.2359999999999998</v>
      </c>
      <c r="H235" s="239">
        <f>+'Adjusted Rate Elements'!$D$26+$C235*'Adjusted Rate Elements'!H$26</f>
        <v>3.9770000000000003</v>
      </c>
      <c r="I235" s="239">
        <f>+'Adjusted Rate Elements'!$D$28+$C235*'Adjusted Rate Elements'!E$28</f>
        <v>1.777</v>
      </c>
      <c r="J235" s="388">
        <f>+'Adjusted Rate Elements'!$D$30+$C235*'Adjusted Rate Elements'!E$30</f>
        <v>1.134</v>
      </c>
    </row>
    <row r="236" spans="1:10" ht="15.75">
      <c r="A236" s="4"/>
      <c r="B236" s="74"/>
      <c r="C236" s="398">
        <v>14</v>
      </c>
      <c r="D236" s="399"/>
      <c r="E236" s="239">
        <f>+'Adjusted Rate Elements'!$D$26+$C236*'Adjusted Rate Elements'!E$26</f>
        <v>2.26</v>
      </c>
      <c r="F236" s="239">
        <f>+'Adjusted Rate Elements'!$D$26+$C236*'Adjusted Rate Elements'!F$26</f>
        <v>2.8200000000000003</v>
      </c>
      <c r="G236" s="239">
        <f>+'Adjusted Rate Elements'!$D$26+$C236*'Adjusted Rate Elements'!G$26</f>
        <v>3.408</v>
      </c>
      <c r="H236" s="239">
        <f>+'Adjusted Rate Elements'!$D$26+$C236*'Adjusted Rate Elements'!H$26</f>
        <v>4.2059999999999995</v>
      </c>
      <c r="I236" s="239">
        <f>+'Adjusted Rate Elements'!$D$28+$C236*'Adjusted Rate Elements'!E$28</f>
        <v>1.863</v>
      </c>
      <c r="J236" s="388">
        <f>+'Adjusted Rate Elements'!$D$30+$C236*'Adjusted Rate Elements'!E$30</f>
        <v>1.1760000000000002</v>
      </c>
    </row>
    <row r="237" spans="1:10" ht="15.75">
      <c r="A237" s="4"/>
      <c r="B237" s="74"/>
      <c r="C237" s="398">
        <v>15</v>
      </c>
      <c r="D237" s="399"/>
      <c r="E237" s="239">
        <f>+'Adjusted Rate Elements'!$D$26+$C237*'Adjusted Rate Elements'!E$26</f>
        <v>2.3499999999999996</v>
      </c>
      <c r="F237" s="239">
        <f>+'Adjusted Rate Elements'!$D$26+$C237*'Adjusted Rate Elements'!F$26</f>
        <v>2.95</v>
      </c>
      <c r="G237" s="239">
        <f>+'Adjusted Rate Elements'!$D$26+$C237*'Adjusted Rate Elements'!G$26</f>
        <v>3.5799999999999996</v>
      </c>
      <c r="H237" s="239">
        <f>+'Adjusted Rate Elements'!$D$26+$C237*'Adjusted Rate Elements'!H$26</f>
        <v>4.4350000000000005</v>
      </c>
      <c r="I237" s="239">
        <f>+'Adjusted Rate Elements'!$D$28+$C237*'Adjusted Rate Elements'!E$28</f>
        <v>1.9489999999999998</v>
      </c>
      <c r="J237" s="388">
        <f>+'Adjusted Rate Elements'!$D$30+$C237*'Adjusted Rate Elements'!E$30</f>
        <v>1.218</v>
      </c>
    </row>
    <row r="238" spans="1:10" ht="15.75">
      <c r="A238" s="4"/>
      <c r="B238" s="74"/>
      <c r="C238" s="348"/>
      <c r="D238" s="534"/>
      <c r="E238" s="535"/>
      <c r="F238" s="536"/>
      <c r="G238" s="536"/>
      <c r="H238" s="536"/>
      <c r="I238" s="536"/>
      <c r="J238" s="537"/>
    </row>
    <row r="239" spans="1:10" ht="15.75">
      <c r="A239" s="4"/>
      <c r="B239" s="74"/>
      <c r="C239" s="400"/>
      <c r="D239" s="400"/>
      <c r="E239" s="554"/>
      <c r="F239" s="555"/>
      <c r="G239" s="555"/>
      <c r="H239" s="555"/>
      <c r="I239" s="555"/>
      <c r="J239" s="228"/>
    </row>
    <row r="240" spans="1:10" ht="18.75">
      <c r="A240" s="4"/>
      <c r="B240" s="74"/>
      <c r="C240" s="401" t="s">
        <v>475</v>
      </c>
      <c r="D240" s="400"/>
      <c r="E240" s="538"/>
      <c r="F240" s="554">
        <f>+'Adjusted Rate Elements'!$D$32</f>
        <v>0.156</v>
      </c>
      <c r="G240" s="554"/>
      <c r="H240" s="555"/>
      <c r="I240" s="555"/>
      <c r="J240" s="228"/>
    </row>
    <row r="241" spans="1:10" ht="16.5" thickBot="1">
      <c r="A241" s="179"/>
      <c r="B241" s="74"/>
      <c r="C241" s="402"/>
      <c r="D241" s="403"/>
      <c r="E241" s="557"/>
      <c r="F241" s="557"/>
      <c r="G241" s="557"/>
      <c r="H241" s="558"/>
      <c r="I241" s="558"/>
      <c r="J241" s="234"/>
    </row>
    <row r="242" spans="1:10" ht="12.75">
      <c r="A242" s="62"/>
      <c r="B242" s="39"/>
      <c r="C242" s="227"/>
      <c r="D242" s="227"/>
      <c r="E242" s="227"/>
      <c r="F242" s="227"/>
      <c r="G242" s="227"/>
      <c r="H242" s="227"/>
      <c r="I242" s="227"/>
      <c r="J242" s="228"/>
    </row>
    <row r="243" spans="1:10" ht="15.75">
      <c r="A243" s="63"/>
      <c r="B243" s="41"/>
      <c r="C243" s="203" t="s">
        <v>811</v>
      </c>
      <c r="D243" s="203"/>
      <c r="E243" s="227"/>
      <c r="F243" s="227"/>
      <c r="G243" s="227"/>
      <c r="H243" s="309"/>
      <c r="I243" s="227"/>
      <c r="J243" s="228"/>
    </row>
    <row r="244" spans="1:10" ht="13.5" thickBot="1">
      <c r="A244" s="63"/>
      <c r="B244" s="41"/>
      <c r="C244" s="229"/>
      <c r="D244" s="404"/>
      <c r="E244" s="230"/>
      <c r="F244" s="230"/>
      <c r="G244" s="230"/>
      <c r="H244" s="230"/>
      <c r="I244" s="230"/>
      <c r="J244" s="231"/>
    </row>
    <row r="245" spans="1:10" ht="13.5" thickTop="1">
      <c r="A245" s="63"/>
      <c r="B245" s="41"/>
      <c r="C245" s="227" t="s">
        <v>224</v>
      </c>
      <c r="D245" s="227"/>
      <c r="E245" s="227"/>
      <c r="F245" s="227"/>
      <c r="G245" s="227"/>
      <c r="H245" s="227"/>
      <c r="I245" s="227"/>
      <c r="J245" s="228"/>
    </row>
    <row r="246" spans="1:10" ht="12.75">
      <c r="A246" s="63"/>
      <c r="B246" s="41"/>
      <c r="C246" s="227" t="s">
        <v>907</v>
      </c>
      <c r="D246" s="227"/>
      <c r="E246" s="227"/>
      <c r="F246" s="227"/>
      <c r="G246" s="227"/>
      <c r="H246" s="227"/>
      <c r="I246" s="227"/>
      <c r="J246" s="228"/>
    </row>
    <row r="247" spans="1:10" ht="12.75">
      <c r="A247" s="63"/>
      <c r="B247" s="41"/>
      <c r="C247" s="227" t="s">
        <v>908</v>
      </c>
      <c r="D247" s="227"/>
      <c r="E247" s="227"/>
      <c r="F247" s="227"/>
      <c r="G247" s="227"/>
      <c r="H247" s="227"/>
      <c r="I247" s="227"/>
      <c r="J247" s="228"/>
    </row>
    <row r="248" spans="1:10" ht="12.75">
      <c r="A248" s="63"/>
      <c r="B248" s="41"/>
      <c r="C248" s="227" t="s">
        <v>513</v>
      </c>
      <c r="D248" s="227"/>
      <c r="E248" s="227"/>
      <c r="F248" s="227"/>
      <c r="G248" s="227"/>
      <c r="H248" s="227"/>
      <c r="I248" s="227"/>
      <c r="J248" s="228"/>
    </row>
    <row r="249" spans="1:10" ht="12.75">
      <c r="A249" s="63"/>
      <c r="B249" s="41"/>
      <c r="C249" s="227" t="s">
        <v>909</v>
      </c>
      <c r="D249" s="227"/>
      <c r="E249" s="227"/>
      <c r="F249" s="227"/>
      <c r="G249" s="227"/>
      <c r="H249" s="227"/>
      <c r="I249" s="227"/>
      <c r="J249" s="228"/>
    </row>
    <row r="250" spans="1:10" ht="12.75">
      <c r="A250" s="63"/>
      <c r="B250" s="41"/>
      <c r="C250" s="227" t="s">
        <v>514</v>
      </c>
      <c r="D250" s="227"/>
      <c r="E250" s="227"/>
      <c r="F250" s="227"/>
      <c r="G250" s="227"/>
      <c r="H250" s="227"/>
      <c r="I250" s="227"/>
      <c r="J250" s="228"/>
    </row>
    <row r="251" spans="1:10" ht="12.75">
      <c r="A251" s="63"/>
      <c r="B251" s="41"/>
      <c r="C251" s="227" t="s">
        <v>515</v>
      </c>
      <c r="D251" s="227"/>
      <c r="E251" s="227"/>
      <c r="F251" s="227"/>
      <c r="G251" s="227"/>
      <c r="H251" s="227"/>
      <c r="I251" s="227"/>
      <c r="J251" s="228"/>
    </row>
    <row r="252" spans="1:10" ht="12.75">
      <c r="A252" s="63"/>
      <c r="B252" s="41"/>
      <c r="C252" s="227" t="s">
        <v>910</v>
      </c>
      <c r="D252" s="227"/>
      <c r="E252" s="227"/>
      <c r="F252" s="227"/>
      <c r="G252" s="227"/>
      <c r="H252" s="227"/>
      <c r="I252" s="227"/>
      <c r="J252" s="228"/>
    </row>
    <row r="253" spans="1:10" ht="12.75">
      <c r="A253" s="63"/>
      <c r="B253" s="41"/>
      <c r="C253" s="227" t="s">
        <v>516</v>
      </c>
      <c r="D253" s="227"/>
      <c r="E253" s="227"/>
      <c r="F253" s="227"/>
      <c r="G253" s="227"/>
      <c r="H253" s="227"/>
      <c r="I253" s="227"/>
      <c r="J253" s="228"/>
    </row>
    <row r="254" spans="1:10" ht="12.75">
      <c r="A254" s="63"/>
      <c r="B254" s="41"/>
      <c r="C254" s="227" t="s">
        <v>517</v>
      </c>
      <c r="D254" s="227"/>
      <c r="E254" s="227"/>
      <c r="F254" s="227"/>
      <c r="G254" s="227"/>
      <c r="H254" s="227"/>
      <c r="I254" s="227"/>
      <c r="J254" s="228"/>
    </row>
    <row r="255" spans="1:10" ht="12.75">
      <c r="A255" s="63"/>
      <c r="B255" s="41"/>
      <c r="C255" s="227" t="s">
        <v>911</v>
      </c>
      <c r="D255" s="227"/>
      <c r="E255" s="227"/>
      <c r="F255" s="227"/>
      <c r="G255" s="227"/>
      <c r="H255" s="227"/>
      <c r="I255" s="227"/>
      <c r="J255" s="228"/>
    </row>
    <row r="256" spans="1:10" ht="12.75">
      <c r="A256" s="63"/>
      <c r="B256" s="41"/>
      <c r="C256" s="227" t="s">
        <v>518</v>
      </c>
      <c r="D256" s="227"/>
      <c r="E256" s="227"/>
      <c r="F256" s="227"/>
      <c r="G256" s="227"/>
      <c r="H256" s="227"/>
      <c r="I256" s="227"/>
      <c r="J256" s="228"/>
    </row>
    <row r="257" spans="1:10" ht="12.75">
      <c r="A257" s="63"/>
      <c r="B257" s="41"/>
      <c r="C257" s="227" t="s">
        <v>519</v>
      </c>
      <c r="D257" s="227"/>
      <c r="E257" s="227"/>
      <c r="F257" s="227"/>
      <c r="G257" s="227"/>
      <c r="H257" s="227"/>
      <c r="I257" s="227"/>
      <c r="J257" s="228"/>
    </row>
    <row r="258" spans="1:10" ht="12.75">
      <c r="A258" s="63"/>
      <c r="B258" s="41"/>
      <c r="C258" s="227" t="s">
        <v>520</v>
      </c>
      <c r="D258" s="227"/>
      <c r="E258" s="227"/>
      <c r="F258" s="227"/>
      <c r="G258" s="227"/>
      <c r="H258" s="227"/>
      <c r="I258" s="227"/>
      <c r="J258" s="228"/>
    </row>
    <row r="259" spans="1:10" ht="12.75">
      <c r="A259" s="63"/>
      <c r="B259" s="41"/>
      <c r="C259" s="227" t="s">
        <v>509</v>
      </c>
      <c r="D259" s="227"/>
      <c r="E259" s="227"/>
      <c r="F259" s="227"/>
      <c r="G259" s="227"/>
      <c r="H259" s="227"/>
      <c r="I259" s="227"/>
      <c r="J259" s="228"/>
    </row>
    <row r="260" spans="1:10" ht="13.5" thickBot="1">
      <c r="A260" s="21"/>
      <c r="B260" s="43"/>
      <c r="C260" s="233"/>
      <c r="D260" s="233"/>
      <c r="E260" s="233"/>
      <c r="F260" s="233"/>
      <c r="G260" s="233"/>
      <c r="H260" s="233"/>
      <c r="I260" s="233"/>
      <c r="J260" s="234"/>
    </row>
  </sheetData>
  <mergeCells count="22">
    <mergeCell ref="A4:K4"/>
    <mergeCell ref="A54:K54"/>
    <mergeCell ref="A105:J105"/>
    <mergeCell ref="E108:H108"/>
    <mergeCell ref="C8:D8"/>
    <mergeCell ref="C9:D9"/>
    <mergeCell ref="C109:D109"/>
    <mergeCell ref="C110:D110"/>
    <mergeCell ref="C10:D10"/>
    <mergeCell ref="C58:D58"/>
    <mergeCell ref="C59:D59"/>
    <mergeCell ref="C60:D60"/>
    <mergeCell ref="C216:D216"/>
    <mergeCell ref="C217:D217"/>
    <mergeCell ref="C218:D218"/>
    <mergeCell ref="C111:D111"/>
    <mergeCell ref="C170:D170"/>
    <mergeCell ref="C171:D171"/>
    <mergeCell ref="C172:D172"/>
    <mergeCell ref="A166:K166"/>
    <mergeCell ref="A212:J212"/>
    <mergeCell ref="E215:H215"/>
  </mergeCells>
  <printOptions/>
  <pageMargins left="0.75" right="0.75" top="1" bottom="1" header="0.5" footer="0.5"/>
  <pageSetup fitToHeight="0" horizontalDpi="600" verticalDpi="600" orientation="portrait" scale="73" r:id="rId1"/>
  <headerFooter alignWithMargins="0">
    <oddHeader>&amp;RUSPS-LR-L-41
Bound Printed Matter Spreadsheets
&amp;A</oddHeader>
    <oddFooter xml:space="preserve">&amp;CPage &amp;P of &amp;N&amp;R&amp;D </oddFooter>
  </headerFooter>
  <rowBreaks count="4" manualBreakCount="4">
    <brk id="48" max="255" man="1"/>
    <brk id="99" max="255" man="1"/>
    <brk id="159" max="255" man="1"/>
    <brk id="2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8.140625" style="0" customWidth="1"/>
    <col min="4" max="4" width="4.421875" style="0" customWidth="1"/>
    <col min="5" max="5" width="14.8515625" style="0" customWidth="1"/>
    <col min="6" max="6" width="12.421875" style="0" customWidth="1"/>
    <col min="7" max="10" width="12.28125" style="0" customWidth="1"/>
    <col min="11" max="11" width="11.7109375" style="0" customWidth="1"/>
  </cols>
  <sheetData>
    <row r="1" spans="1:11" ht="15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5.75">
      <c r="A2" s="4"/>
      <c r="B2" s="5"/>
      <c r="C2" s="23"/>
      <c r="D2" s="23"/>
      <c r="E2" s="23"/>
      <c r="F2" s="23"/>
      <c r="G2" s="23"/>
      <c r="H2" s="23"/>
      <c r="I2" s="23"/>
      <c r="J2" s="36"/>
      <c r="K2" s="665" t="s">
        <v>591</v>
      </c>
    </row>
    <row r="3" spans="1:11" ht="15.75">
      <c r="A3" s="4"/>
      <c r="B3" s="5"/>
      <c r="C3" s="23"/>
      <c r="D3" s="23"/>
      <c r="E3" s="23"/>
      <c r="F3" s="23"/>
      <c r="G3" s="23"/>
      <c r="H3" s="23"/>
      <c r="I3" s="23"/>
      <c r="J3" s="36"/>
      <c r="K3" s="665" t="s">
        <v>749</v>
      </c>
    </row>
    <row r="4" spans="1:11" ht="21">
      <c r="A4" s="692" t="s">
        <v>748</v>
      </c>
      <c r="B4" s="693"/>
      <c r="C4" s="693"/>
      <c r="D4" s="693"/>
      <c r="E4" s="693"/>
      <c r="F4" s="693"/>
      <c r="G4" s="693"/>
      <c r="H4" s="693"/>
      <c r="I4" s="693"/>
      <c r="J4" s="693"/>
      <c r="K4" s="694"/>
    </row>
    <row r="5" spans="1:11" ht="15.75" thickBot="1">
      <c r="A5" s="15"/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11" ht="16.5" thickTop="1">
      <c r="A6" s="4"/>
      <c r="B6" s="178"/>
      <c r="C6" s="156"/>
      <c r="D6" s="149"/>
      <c r="E6" s="186"/>
      <c r="F6" s="149"/>
      <c r="G6" s="149"/>
      <c r="H6" s="149"/>
      <c r="I6" s="149"/>
      <c r="J6" s="149"/>
      <c r="K6" s="128"/>
    </row>
    <row r="7" spans="1:11" ht="15.75">
      <c r="A7" s="4"/>
      <c r="B7" s="14"/>
      <c r="C7" s="156"/>
      <c r="D7" s="149"/>
      <c r="E7" s="154"/>
      <c r="F7" s="82"/>
      <c r="G7" s="82"/>
      <c r="H7" s="82"/>
      <c r="I7" s="82"/>
      <c r="J7" s="82"/>
      <c r="K7" s="160"/>
    </row>
    <row r="8" spans="1:11" ht="15.75">
      <c r="A8" s="4"/>
      <c r="B8" s="178"/>
      <c r="C8" s="702" t="s">
        <v>853</v>
      </c>
      <c r="D8" s="703"/>
      <c r="E8" s="157"/>
      <c r="F8" s="157"/>
      <c r="G8" s="157"/>
      <c r="H8" s="157"/>
      <c r="I8" s="127"/>
      <c r="J8" s="237"/>
      <c r="K8" s="193"/>
    </row>
    <row r="9" spans="1:11" ht="15.75">
      <c r="A9" s="4"/>
      <c r="B9" s="178"/>
      <c r="C9" s="702" t="s">
        <v>799</v>
      </c>
      <c r="D9" s="703"/>
      <c r="E9" s="157" t="s">
        <v>855</v>
      </c>
      <c r="F9" s="157" t="s">
        <v>856</v>
      </c>
      <c r="G9" s="157" t="s">
        <v>857</v>
      </c>
      <c r="H9" s="157" t="s">
        <v>858</v>
      </c>
      <c r="I9" s="127" t="s">
        <v>859</v>
      </c>
      <c r="J9" s="157" t="s">
        <v>860</v>
      </c>
      <c r="K9" s="193" t="s">
        <v>861</v>
      </c>
    </row>
    <row r="10" spans="1:11" ht="15.75">
      <c r="A10" s="4"/>
      <c r="B10" s="178"/>
      <c r="C10" s="718" t="s">
        <v>800</v>
      </c>
      <c r="D10" s="720"/>
      <c r="E10" s="269"/>
      <c r="F10" s="158"/>
      <c r="G10" s="158"/>
      <c r="H10" s="158"/>
      <c r="I10" s="159"/>
      <c r="J10" s="158"/>
      <c r="K10" s="194"/>
    </row>
    <row r="11" spans="1:11" ht="15.75">
      <c r="A11" s="4"/>
      <c r="B11" s="178"/>
      <c r="C11" s="396"/>
      <c r="D11" s="397"/>
      <c r="E11" s="299"/>
      <c r="F11" s="279"/>
      <c r="G11" s="280"/>
      <c r="H11" s="273"/>
      <c r="I11" s="273"/>
      <c r="J11" s="273"/>
      <c r="K11" s="283"/>
    </row>
    <row r="12" spans="1:11" ht="15.75">
      <c r="A12" s="4"/>
      <c r="B12" s="178"/>
      <c r="C12" s="396">
        <v>1.5</v>
      </c>
      <c r="D12" s="397"/>
      <c r="E12" s="405">
        <f>'Rate Tables'!E12/'Current SP Rates'!D9-1</f>
        <v>0.07360406091370564</v>
      </c>
      <c r="F12" s="405">
        <f>'Rate Tables'!F12/'Current SP Rates'!E9-1</f>
        <v>0.06930693069306937</v>
      </c>
      <c r="G12" s="405">
        <f>'Rate Tables'!G12/'Current SP Rates'!F9-1</f>
        <v>0.07246376811594213</v>
      </c>
      <c r="H12" s="405">
        <f>'Rate Tables'!H12/'Current SP Rates'!G9-1</f>
        <v>0.06744186046511635</v>
      </c>
      <c r="I12" s="405">
        <f>'Rate Tables'!I12/'Current SP Rates'!H9-1</f>
        <v>0.06756756756756754</v>
      </c>
      <c r="J12" s="405">
        <f>'Rate Tables'!J12/'Current SP Rates'!I9-1</f>
        <v>0.05387931034482785</v>
      </c>
      <c r="K12" s="406">
        <f>'Rate Tables'!K12/'Current SP Rates'!J9-1</f>
        <v>0.04400000000000004</v>
      </c>
    </row>
    <row r="13" spans="1:11" ht="15.75">
      <c r="A13" s="4"/>
      <c r="B13" s="74"/>
      <c r="C13" s="396">
        <v>2</v>
      </c>
      <c r="D13" s="397"/>
      <c r="E13" s="405">
        <f>'Rate Tables'!E13/'Current SP Rates'!D10-1</f>
        <v>0.08333333333333326</v>
      </c>
      <c r="F13" s="405">
        <f>'Rate Tables'!F13/'Current SP Rates'!E10-1</f>
        <v>0.07582938388625604</v>
      </c>
      <c r="G13" s="405">
        <f>'Rate Tables'!G13/'Current SP Rates'!F10-1</f>
        <v>0.08294930875576045</v>
      </c>
      <c r="H13" s="405">
        <f>'Rate Tables'!H13/'Current SP Rates'!G10-1</f>
        <v>0.07456140350877205</v>
      </c>
      <c r="I13" s="405">
        <f>'Rate Tables'!I13/'Current SP Rates'!H10-1</f>
        <v>0.0714285714285714</v>
      </c>
      <c r="J13" s="405">
        <f>'Rate Tables'!J13/'Current SP Rates'!I10-1</f>
        <v>0.055776892430278835</v>
      </c>
      <c r="K13" s="406">
        <f>'Rate Tables'!K13/'Current SP Rates'!J10-1</f>
        <v>0.04744525547445244</v>
      </c>
    </row>
    <row r="14" spans="1:11" ht="15.75">
      <c r="A14" s="4"/>
      <c r="B14" s="74"/>
      <c r="C14" s="398">
        <v>2.5</v>
      </c>
      <c r="D14" s="399"/>
      <c r="E14" s="405">
        <f>'Rate Tables'!E14/'Current SP Rates'!D11-1</f>
        <v>0.08726415094339623</v>
      </c>
      <c r="F14" s="405">
        <f>'Rate Tables'!F14/'Current SP Rates'!E11-1</f>
        <v>0.08181818181818179</v>
      </c>
      <c r="G14" s="405">
        <f>'Rate Tables'!G14/'Current SP Rates'!F11-1</f>
        <v>0.08771929824561409</v>
      </c>
      <c r="H14" s="405">
        <f>'Rate Tables'!H14/'Current SP Rates'!G11-1</f>
        <v>0.08091286307053935</v>
      </c>
      <c r="I14" s="405">
        <f>'Rate Tables'!I14/'Current SP Rates'!H11-1</f>
        <v>0.07480314960629908</v>
      </c>
      <c r="J14" s="405">
        <f>'Rate Tables'!J14/'Current SP Rates'!I11-1</f>
        <v>0.05740740740740735</v>
      </c>
      <c r="K14" s="406">
        <f>'Rate Tables'!K14/'Current SP Rates'!J11-1</f>
        <v>0.04682274247491636</v>
      </c>
    </row>
    <row r="15" spans="1:11" ht="15.75">
      <c r="A15" s="4"/>
      <c r="B15" s="74"/>
      <c r="C15" s="398">
        <v>3</v>
      </c>
      <c r="D15" s="399"/>
      <c r="E15" s="405">
        <f>'Rate Tables'!E15/'Current SP Rates'!D12-1</f>
        <v>0.09589041095890427</v>
      </c>
      <c r="F15" s="405">
        <f>'Rate Tables'!F15/'Current SP Rates'!E12-1</f>
        <v>0.0873362445414847</v>
      </c>
      <c r="G15" s="405">
        <f>'Rate Tables'!G15/'Current SP Rates'!F12-1</f>
        <v>0.09663865546218497</v>
      </c>
      <c r="H15" s="405">
        <f>'Rate Tables'!H15/'Current SP Rates'!G12-1</f>
        <v>0.0866141732283463</v>
      </c>
      <c r="I15" s="405">
        <f>'Rate Tables'!I15/'Current SP Rates'!H12-1</f>
        <v>0.07777777777777772</v>
      </c>
      <c r="J15" s="405">
        <f>'Rate Tables'!J15/'Current SP Rates'!I12-1</f>
        <v>0.05882352941176472</v>
      </c>
      <c r="K15" s="406">
        <f>'Rate Tables'!K15/'Current SP Rates'!J12-1</f>
        <v>0.04629629629629628</v>
      </c>
    </row>
    <row r="16" spans="1:11" ht="15.75">
      <c r="A16" s="4"/>
      <c r="B16" s="74"/>
      <c r="C16" s="398">
        <v>3.5</v>
      </c>
      <c r="D16" s="399"/>
      <c r="E16" s="405">
        <f>'Rate Tables'!E16/'Current SP Rates'!D13-1</f>
        <v>0.09911894273127753</v>
      </c>
      <c r="F16" s="405">
        <f>'Rate Tables'!F16/'Current SP Rates'!E13-1</f>
        <v>0.09243697478991608</v>
      </c>
      <c r="G16" s="405">
        <f>'Rate Tables'!G16/'Current SP Rates'!F13-1</f>
        <v>0.10040160642570273</v>
      </c>
      <c r="H16" s="405">
        <f>'Rate Tables'!H16/'Current SP Rates'!G13-1</f>
        <v>0.08768656716417911</v>
      </c>
      <c r="I16" s="405">
        <f>'Rate Tables'!I16/'Current SP Rates'!H13-1</f>
        <v>0.08041958041958042</v>
      </c>
      <c r="J16" s="405">
        <f>'Rate Tables'!J16/'Current SP Rates'!I13-1</f>
        <v>0.06006493506493493</v>
      </c>
      <c r="K16" s="406">
        <f>'Rate Tables'!K16/'Current SP Rates'!J13-1</f>
        <v>0.045845272206303855</v>
      </c>
    </row>
    <row r="17" spans="1:11" ht="15.75">
      <c r="A17" s="4"/>
      <c r="B17" s="74"/>
      <c r="C17" s="398">
        <v>4</v>
      </c>
      <c r="D17" s="399"/>
      <c r="E17" s="405">
        <f>'Rate Tables'!E17/'Current SP Rates'!D14-1</f>
        <v>0.1068376068376069</v>
      </c>
      <c r="F17" s="405">
        <f>'Rate Tables'!F17/'Current SP Rates'!E14-1</f>
        <v>0.09716599190283381</v>
      </c>
      <c r="G17" s="405">
        <f>'Rate Tables'!G17/'Current SP Rates'!F14-1</f>
        <v>0.10810810810810811</v>
      </c>
      <c r="H17" s="405">
        <f>'Rate Tables'!H17/'Current SP Rates'!G14-1</f>
        <v>0.09642857142857153</v>
      </c>
      <c r="I17" s="405">
        <f>'Rate Tables'!I17/'Current SP Rates'!H14-1</f>
        <v>0.08637873754152836</v>
      </c>
      <c r="J17" s="405">
        <f>'Rate Tables'!J17/'Current SP Rates'!I14-1</f>
        <v>0.06116207951070329</v>
      </c>
      <c r="K17" s="406">
        <f>'Rate Tables'!K17/'Current SP Rates'!J14-1</f>
        <v>0.04825737265415553</v>
      </c>
    </row>
    <row r="18" spans="1:11" ht="15.75">
      <c r="A18" s="4"/>
      <c r="B18" s="74"/>
      <c r="C18" s="398">
        <v>4.5</v>
      </c>
      <c r="D18" s="399"/>
      <c r="E18" s="405">
        <f>'Rate Tables'!E18/'Current SP Rates'!D15-1</f>
        <v>0.11410788381742742</v>
      </c>
      <c r="F18" s="405">
        <f>'Rate Tables'!F18/'Current SP Rates'!E15-1</f>
        <v>0.1015625</v>
      </c>
      <c r="G18" s="405">
        <f>'Rate Tables'!G18/'Current SP Rates'!F15-1</f>
        <v>0.11111111111111094</v>
      </c>
      <c r="H18" s="405">
        <f>'Rate Tables'!H18/'Current SP Rates'!G15-1</f>
        <v>0.09693877551020402</v>
      </c>
      <c r="I18" s="405">
        <f>'Rate Tables'!I18/'Current SP Rates'!H15-1</f>
        <v>0.0883280757097793</v>
      </c>
      <c r="J18" s="405">
        <f>'Rate Tables'!J18/'Current SP Rates'!I15-1</f>
        <v>0.06213872832369938</v>
      </c>
      <c r="K18" s="406">
        <f>'Rate Tables'!K18/'Current SP Rates'!J15-1</f>
        <v>0.047738693467336724</v>
      </c>
    </row>
    <row r="19" spans="1:11" ht="15.75">
      <c r="A19" s="4"/>
      <c r="B19" s="74"/>
      <c r="C19" s="398">
        <v>5</v>
      </c>
      <c r="D19" s="399"/>
      <c r="E19" s="405">
        <f>'Rate Tables'!E19/'Current SP Rates'!D16-1</f>
        <v>0.11646586345381515</v>
      </c>
      <c r="F19" s="405">
        <f>'Rate Tables'!F19/'Current SP Rates'!E16-1</f>
        <v>0.10566037735849076</v>
      </c>
      <c r="G19" s="405">
        <f>'Rate Tables'!G19/'Current SP Rates'!F16-1</f>
        <v>0.11785714285714288</v>
      </c>
      <c r="H19" s="405">
        <f>'Rate Tables'!H19/'Current SP Rates'!G16-1</f>
        <v>0.10097719869706845</v>
      </c>
      <c r="I19" s="405">
        <f>'Rate Tables'!I19/'Current SP Rates'!H16-1</f>
        <v>0.09009009009009006</v>
      </c>
      <c r="J19" s="405">
        <f>'Rate Tables'!J19/'Current SP Rates'!I16-1</f>
        <v>0.06301369863013706</v>
      </c>
      <c r="K19" s="406">
        <f>'Rate Tables'!K19/'Current SP Rates'!J16-1</f>
        <v>0.047281323877068404</v>
      </c>
    </row>
    <row r="20" spans="1:11" ht="15.75">
      <c r="A20" s="4"/>
      <c r="B20" s="74"/>
      <c r="C20" s="398">
        <v>6</v>
      </c>
      <c r="D20" s="399"/>
      <c r="E20" s="405">
        <f>'Rate Tables'!E20/'Current SP Rates'!D17-1</f>
        <v>0.125</v>
      </c>
      <c r="F20" s="405">
        <f>'Rate Tables'!F20/'Current SP Rates'!E17-1</f>
        <v>0.1170212765957448</v>
      </c>
      <c r="G20" s="405">
        <f>'Rate Tables'!G20/'Current SP Rates'!F17-1</f>
        <v>0.1262458471760799</v>
      </c>
      <c r="H20" s="405">
        <f>'Rate Tables'!H20/'Current SP Rates'!G17-1</f>
        <v>0.10810810810810811</v>
      </c>
      <c r="I20" s="405">
        <f>'Rate Tables'!I20/'Current SP Rates'!H17-1</f>
        <v>0.09315068493150691</v>
      </c>
      <c r="J20" s="405">
        <f>'Rate Tables'!J20/'Current SP Rates'!I17-1</f>
        <v>0.06451612903225801</v>
      </c>
      <c r="K20" s="406">
        <f>'Rate Tables'!K20/'Current SP Rates'!J17-1</f>
        <v>0.04872881355932224</v>
      </c>
    </row>
    <row r="21" spans="1:11" ht="15.75">
      <c r="A21" s="4"/>
      <c r="B21" s="74"/>
      <c r="C21" s="398">
        <v>7</v>
      </c>
      <c r="D21" s="399"/>
      <c r="E21" s="405">
        <f>'Rate Tables'!E21/'Current SP Rates'!D18-1</f>
        <v>0.13669064748201443</v>
      </c>
      <c r="F21" s="405">
        <f>'Rate Tables'!F21/'Current SP Rates'!E18-1</f>
        <v>0.1233333333333333</v>
      </c>
      <c r="G21" s="405">
        <f>'Rate Tables'!G21/'Current SP Rates'!F18-1</f>
        <v>0.13003095975232215</v>
      </c>
      <c r="H21" s="405">
        <f>'Rate Tables'!H21/'Current SP Rates'!G18-1</f>
        <v>0.11420612813370479</v>
      </c>
      <c r="I21" s="405">
        <f>'Rate Tables'!I21/'Current SP Rates'!H18-1</f>
        <v>0.0984848484848484</v>
      </c>
      <c r="J21" s="405">
        <f>'Rate Tables'!J21/'Current SP Rates'!I18-1</f>
        <v>0.06575963718820832</v>
      </c>
      <c r="K21" s="406">
        <f>'Rate Tables'!K21/'Current SP Rates'!J18-1</f>
        <v>0.04789272030651359</v>
      </c>
    </row>
    <row r="22" spans="1:11" ht="15.75">
      <c r="A22" s="4"/>
      <c r="B22" s="74"/>
      <c r="C22" s="398">
        <v>8</v>
      </c>
      <c r="D22" s="399"/>
      <c r="E22" s="405">
        <f>'Rate Tables'!E22/'Current SP Rates'!D19-1</f>
        <v>0.14334470989761083</v>
      </c>
      <c r="F22" s="405">
        <f>'Rate Tables'!F22/'Current SP Rates'!E19-1</f>
        <v>0.12893081761006275</v>
      </c>
      <c r="G22" s="405">
        <f>'Rate Tables'!G22/'Current SP Rates'!F19-1</f>
        <v>0.1366279069767442</v>
      </c>
      <c r="H22" s="405">
        <f>'Rate Tables'!H22/'Current SP Rates'!G19-1</f>
        <v>0.11658031088082921</v>
      </c>
      <c r="I22" s="405">
        <f>'Rate Tables'!I22/'Current SP Rates'!H19-1</f>
        <v>0.10046728971962615</v>
      </c>
      <c r="J22" s="405">
        <f>'Rate Tables'!J22/'Current SP Rates'!I19-1</f>
        <v>0.06680584551148216</v>
      </c>
      <c r="K22" s="406">
        <f>'Rate Tables'!K22/'Current SP Rates'!J19-1</f>
        <v>0.049036777583187474</v>
      </c>
    </row>
    <row r="23" spans="1:11" ht="15.75">
      <c r="A23" s="4"/>
      <c r="B23" s="74"/>
      <c r="C23" s="398">
        <v>9</v>
      </c>
      <c r="D23" s="399"/>
      <c r="E23" s="405">
        <f>'Rate Tables'!E23/'Current SP Rates'!D20-1</f>
        <v>0.14935064935064934</v>
      </c>
      <c r="F23" s="405">
        <f>'Rate Tables'!F23/'Current SP Rates'!E20-1</f>
        <v>0.1339285714285714</v>
      </c>
      <c r="G23" s="405">
        <f>'Rate Tables'!G23/'Current SP Rates'!F20-1</f>
        <v>0.14246575342465762</v>
      </c>
      <c r="H23" s="405">
        <f>'Rate Tables'!H23/'Current SP Rates'!G20-1</f>
        <v>0.12135922330097082</v>
      </c>
      <c r="I23" s="405">
        <f>'Rate Tables'!I23/'Current SP Rates'!H20-1</f>
        <v>0.10217391304347845</v>
      </c>
      <c r="J23" s="405">
        <f>'Rate Tables'!J23/'Current SP Rates'!I20-1</f>
        <v>0.06976744186046502</v>
      </c>
      <c r="K23" s="406">
        <f>'Rate Tables'!K23/'Current SP Rates'!J20-1</f>
        <v>0.048309178743961345</v>
      </c>
    </row>
    <row r="24" spans="1:11" ht="15.75">
      <c r="A24" s="4"/>
      <c r="B24" s="74"/>
      <c r="C24" s="398">
        <v>10</v>
      </c>
      <c r="D24" s="399"/>
      <c r="E24" s="405">
        <f>'Rate Tables'!E24/'Current SP Rates'!D21-1</f>
        <v>0.15479876160990713</v>
      </c>
      <c r="F24" s="405">
        <f>'Rate Tables'!F24/'Current SP Rates'!E21-1</f>
        <v>0.1384180790960452</v>
      </c>
      <c r="G24" s="405">
        <f>'Rate Tables'!G24/'Current SP Rates'!F21-1</f>
        <v>0.14766839378238328</v>
      </c>
      <c r="H24" s="405">
        <f>'Rate Tables'!H24/'Current SP Rates'!G21-1</f>
        <v>0.12557077625570767</v>
      </c>
      <c r="I24" s="405">
        <f>'Rate Tables'!I24/'Current SP Rates'!H21-1</f>
        <v>0.10590631364562109</v>
      </c>
      <c r="J24" s="405">
        <f>'Rate Tables'!J24/'Current SP Rates'!I21-1</f>
        <v>0.07039711191335729</v>
      </c>
      <c r="K24" s="406">
        <f>'Rate Tables'!K24/'Current SP Rates'!J21-1</f>
        <v>0.0492537313432837</v>
      </c>
    </row>
    <row r="25" spans="1:11" ht="15.75">
      <c r="A25" s="4"/>
      <c r="B25" s="74"/>
      <c r="C25" s="398">
        <v>11</v>
      </c>
      <c r="D25" s="399"/>
      <c r="E25" s="405">
        <f>'Rate Tables'!E25/'Current SP Rates'!D22-1</f>
        <v>0.16320474777448069</v>
      </c>
      <c r="F25" s="405">
        <f>'Rate Tables'!F25/'Current SP Rates'!E22-1</f>
        <v>0.14247311827956977</v>
      </c>
      <c r="G25" s="405">
        <f>'Rate Tables'!G25/'Current SP Rates'!F22-1</f>
        <v>0.15233415233415237</v>
      </c>
      <c r="H25" s="405">
        <f>'Rate Tables'!H25/'Current SP Rates'!G22-1</f>
        <v>0.1268817204301076</v>
      </c>
      <c r="I25" s="405">
        <f>'Rate Tables'!I25/'Current SP Rates'!H22-1</f>
        <v>0.10707456978967489</v>
      </c>
      <c r="J25" s="405">
        <f>'Rate Tables'!J25/'Current SP Rates'!I22-1</f>
        <v>0.07094594594594583</v>
      </c>
      <c r="K25" s="406">
        <f>'Rate Tables'!K25/'Current SP Rates'!J22-1</f>
        <v>0.04861111111111116</v>
      </c>
    </row>
    <row r="26" spans="1:11" ht="15.75">
      <c r="A26" s="4"/>
      <c r="B26" s="74"/>
      <c r="C26" s="398">
        <v>12</v>
      </c>
      <c r="D26" s="399"/>
      <c r="E26" s="405">
        <f>'Rate Tables'!E26/'Current SP Rates'!D23-1</f>
        <v>0.16761363636363646</v>
      </c>
      <c r="F26" s="405">
        <f>'Rate Tables'!F26/'Current SP Rates'!E23-1</f>
        <v>0.1461538461538463</v>
      </c>
      <c r="G26" s="405">
        <f>'Rate Tables'!G26/'Current SP Rates'!F23-1</f>
        <v>0.15654205607476634</v>
      </c>
      <c r="H26" s="405">
        <f>'Rate Tables'!H26/'Current SP Rates'!G23-1</f>
        <v>0.13034623217922592</v>
      </c>
      <c r="I26" s="405">
        <f>'Rate Tables'!I26/'Current SP Rates'!H23-1</f>
        <v>0.11010830324909748</v>
      </c>
      <c r="J26" s="405">
        <f>'Rate Tables'!J26/'Current SP Rates'!I23-1</f>
        <v>0.0714285714285714</v>
      </c>
      <c r="K26" s="406">
        <f>'Rate Tables'!K26/'Current SP Rates'!J23-1</f>
        <v>0.04941482444733425</v>
      </c>
    </row>
    <row r="27" spans="1:11" ht="15.75">
      <c r="A27" s="4"/>
      <c r="B27" s="74"/>
      <c r="C27" s="398">
        <v>13</v>
      </c>
      <c r="D27" s="399"/>
      <c r="E27" s="405">
        <f>'Rate Tables'!E27/'Current SP Rates'!D24-1</f>
        <v>0.17166212534059966</v>
      </c>
      <c r="F27" s="405">
        <f>'Rate Tables'!F27/'Current SP Rates'!E24-1</f>
        <v>0.14950980392156854</v>
      </c>
      <c r="G27" s="405">
        <f>'Rate Tables'!G27/'Current SP Rates'!F24-1</f>
        <v>0.16035634743875282</v>
      </c>
      <c r="H27" s="405">
        <f>'Rate Tables'!H27/'Current SP Rates'!G24-1</f>
        <v>0.13127413127413146</v>
      </c>
      <c r="I27" s="405">
        <f>'Rate Tables'!I27/'Current SP Rates'!H24-1</f>
        <v>0.11092150170648463</v>
      </c>
      <c r="J27" s="405">
        <f>'Rate Tables'!J27/'Current SP Rates'!I24-1</f>
        <v>0.07185628742514982</v>
      </c>
      <c r="K27" s="406">
        <f>'Rate Tables'!K27/'Current SP Rates'!J24-1</f>
        <v>0.04884004884004889</v>
      </c>
    </row>
    <row r="28" spans="1:11" ht="15.75">
      <c r="A28" s="4"/>
      <c r="B28" s="74"/>
      <c r="C28" s="398">
        <v>14</v>
      </c>
      <c r="D28" s="399"/>
      <c r="E28" s="405">
        <f>'Rate Tables'!E28/'Current SP Rates'!D25-1</f>
        <v>0.17539267015706828</v>
      </c>
      <c r="F28" s="405">
        <f>'Rate Tables'!F28/'Current SP Rates'!E25-1</f>
        <v>0.15258215962441324</v>
      </c>
      <c r="G28" s="405">
        <f>'Rate Tables'!G28/'Current SP Rates'!F25-1</f>
        <v>0.16382978723404262</v>
      </c>
      <c r="H28" s="405">
        <f>'Rate Tables'!H28/'Current SP Rates'!G25-1</f>
        <v>0.1341911764705881</v>
      </c>
      <c r="I28" s="405">
        <f>'Rate Tables'!I28/'Current SP Rates'!H25-1</f>
        <v>0.11165048543689338</v>
      </c>
      <c r="J28" s="405">
        <f>'Rate Tables'!J28/'Current SP Rates'!I25-1</f>
        <v>0.07223796033994323</v>
      </c>
      <c r="K28" s="406">
        <f>'Rate Tables'!K28/'Current SP Rates'!J25-1</f>
        <v>0.04953917050691237</v>
      </c>
    </row>
    <row r="29" spans="1:11" ht="15.75">
      <c r="A29" s="4"/>
      <c r="B29" s="74"/>
      <c r="C29" s="398">
        <v>15</v>
      </c>
      <c r="D29" s="399"/>
      <c r="E29" s="405">
        <f>'Rate Tables'!E29/'Current SP Rates'!D26-1</f>
        <v>0.18181818181818166</v>
      </c>
      <c r="F29" s="405">
        <f>'Rate Tables'!F29/'Current SP Rates'!E26-1</f>
        <v>0.15540540540540526</v>
      </c>
      <c r="G29" s="405">
        <f>'Rate Tables'!G29/'Current SP Rates'!F26-1</f>
        <v>0.1670061099796334</v>
      </c>
      <c r="H29" s="405">
        <f>'Rate Tables'!H29/'Current SP Rates'!G26-1</f>
        <v>0.13684210526315788</v>
      </c>
      <c r="I29" s="405">
        <f>'Rate Tables'!I29/'Current SP Rates'!H26-1</f>
        <v>0.11402157164869009</v>
      </c>
      <c r="J29" s="405">
        <f>'Rate Tables'!J29/'Current SP Rates'!I26-1</f>
        <v>0.07258064516129026</v>
      </c>
      <c r="K29" s="406">
        <f>'Rate Tables'!K29/'Current SP Rates'!J26-1</f>
        <v>0.0490196078431373</v>
      </c>
    </row>
    <row r="30" spans="1:11" ht="16.5" thickBot="1">
      <c r="A30" s="179"/>
      <c r="B30" s="295"/>
      <c r="C30" s="402"/>
      <c r="D30" s="403"/>
      <c r="E30" s="393"/>
      <c r="F30" s="393"/>
      <c r="G30" s="394"/>
      <c r="H30" s="395"/>
      <c r="I30" s="395"/>
      <c r="J30" s="395"/>
      <c r="K30" s="345"/>
    </row>
    <row r="31" spans="1:11" ht="12.75">
      <c r="A31" s="62"/>
      <c r="B31" s="39"/>
      <c r="C31" s="225"/>
      <c r="D31" s="225"/>
      <c r="E31" s="225"/>
      <c r="F31" s="225"/>
      <c r="G31" s="225"/>
      <c r="H31" s="225"/>
      <c r="I31" s="225"/>
      <c r="J31" s="225"/>
      <c r="K31" s="226"/>
    </row>
    <row r="32" spans="1:11" ht="15.75">
      <c r="A32" s="63"/>
      <c r="B32" s="41"/>
      <c r="C32" s="203" t="s">
        <v>811</v>
      </c>
      <c r="D32" s="203"/>
      <c r="E32" s="227"/>
      <c r="F32" s="227"/>
      <c r="G32" s="227"/>
      <c r="H32" s="309"/>
      <c r="I32" s="227"/>
      <c r="J32" s="227"/>
      <c r="K32" s="228"/>
    </row>
    <row r="33" spans="1:11" ht="13.5" thickBot="1">
      <c r="A33" s="63"/>
      <c r="B33" s="41"/>
      <c r="C33" s="229"/>
      <c r="D33" s="404"/>
      <c r="E33" s="230"/>
      <c r="F33" s="230"/>
      <c r="G33" s="230"/>
      <c r="H33" s="230"/>
      <c r="I33" s="230"/>
      <c r="J33" s="230"/>
      <c r="K33" s="231"/>
    </row>
    <row r="34" spans="1:11" ht="13.5" thickTop="1">
      <c r="A34" s="63"/>
      <c r="B34" s="41"/>
      <c r="C34" s="227" t="s">
        <v>521</v>
      </c>
      <c r="D34" s="227"/>
      <c r="E34" s="227"/>
      <c r="F34" s="227"/>
      <c r="G34" s="227"/>
      <c r="H34" s="227"/>
      <c r="I34" s="227"/>
      <c r="J34" s="227"/>
      <c r="K34" s="228"/>
    </row>
    <row r="35" spans="1:11" ht="12.75">
      <c r="A35" s="63"/>
      <c r="B35" s="41"/>
      <c r="C35" s="227" t="s">
        <v>523</v>
      </c>
      <c r="D35" s="227"/>
      <c r="E35" s="227"/>
      <c r="F35" s="227"/>
      <c r="G35" s="227"/>
      <c r="H35" s="227"/>
      <c r="I35" s="227"/>
      <c r="J35" s="227"/>
      <c r="K35" s="228"/>
    </row>
    <row r="36" spans="1:11" ht="12.75">
      <c r="A36" s="63"/>
      <c r="B36" s="41"/>
      <c r="C36" s="227" t="s">
        <v>524</v>
      </c>
      <c r="D36" s="227"/>
      <c r="E36" s="227"/>
      <c r="F36" s="227"/>
      <c r="G36" s="227"/>
      <c r="H36" s="227"/>
      <c r="I36" s="227"/>
      <c r="J36" s="227"/>
      <c r="K36" s="228"/>
    </row>
    <row r="37" spans="1:11" ht="13.5" thickBot="1">
      <c r="A37" s="21"/>
      <c r="B37" s="43"/>
      <c r="C37" s="233"/>
      <c r="D37" s="233"/>
      <c r="E37" s="233"/>
      <c r="F37" s="233"/>
      <c r="G37" s="233"/>
      <c r="H37" s="233"/>
      <c r="I37" s="233"/>
      <c r="J37" s="233"/>
      <c r="K37" s="234"/>
    </row>
    <row r="40" ht="13.5" thickBot="1"/>
    <row r="41" spans="1:11" ht="15">
      <c r="A41" s="173"/>
      <c r="B41" s="174"/>
      <c r="C41" s="175"/>
      <c r="D41" s="175"/>
      <c r="E41" s="175"/>
      <c r="F41" s="175"/>
      <c r="G41" s="175"/>
      <c r="H41" s="175"/>
      <c r="I41" s="175"/>
      <c r="J41" s="175"/>
      <c r="K41" s="176"/>
    </row>
    <row r="42" spans="1:11" ht="15.75">
      <c r="A42" s="4"/>
      <c r="B42" s="5"/>
      <c r="C42" s="23"/>
      <c r="D42" s="23"/>
      <c r="E42" s="23"/>
      <c r="F42" s="23"/>
      <c r="G42" s="23"/>
      <c r="H42" s="23"/>
      <c r="I42" s="23"/>
      <c r="J42" s="36"/>
      <c r="K42" s="665" t="s">
        <v>591</v>
      </c>
    </row>
    <row r="43" spans="1:11" ht="15.75">
      <c r="A43" s="4"/>
      <c r="B43" s="5"/>
      <c r="C43" s="23"/>
      <c r="D43" s="23"/>
      <c r="E43" s="23"/>
      <c r="F43" s="23"/>
      <c r="G43" s="23"/>
      <c r="H43" s="23"/>
      <c r="I43" s="23"/>
      <c r="J43" s="36"/>
      <c r="K43" s="665" t="s">
        <v>750</v>
      </c>
    </row>
    <row r="44" spans="1:11" ht="21">
      <c r="A44" s="692" t="s">
        <v>647</v>
      </c>
      <c r="B44" s="693"/>
      <c r="C44" s="693"/>
      <c r="D44" s="693"/>
      <c r="E44" s="693"/>
      <c r="F44" s="693"/>
      <c r="G44" s="693"/>
      <c r="H44" s="693"/>
      <c r="I44" s="693"/>
      <c r="J44" s="693"/>
      <c r="K44" s="694"/>
    </row>
    <row r="45" spans="1:11" ht="15.75" thickBot="1">
      <c r="A45" s="15"/>
      <c r="B45" s="11"/>
      <c r="C45" s="11"/>
      <c r="D45" s="11"/>
      <c r="E45" s="11"/>
      <c r="F45" s="11"/>
      <c r="G45" s="11"/>
      <c r="H45" s="11"/>
      <c r="I45" s="11"/>
      <c r="J45" s="11"/>
      <c r="K45" s="13"/>
    </row>
    <row r="46" spans="1:11" ht="16.5" thickTop="1">
      <c r="A46" s="4"/>
      <c r="B46" s="178"/>
      <c r="C46" s="156"/>
      <c r="D46" s="149"/>
      <c r="E46" s="127"/>
      <c r="F46" s="149"/>
      <c r="G46" s="149"/>
      <c r="H46" s="149"/>
      <c r="I46" s="149"/>
      <c r="J46" s="149"/>
      <c r="K46" s="128"/>
    </row>
    <row r="47" spans="1:11" ht="15.75">
      <c r="A47" s="4"/>
      <c r="B47" s="14"/>
      <c r="C47" s="156"/>
      <c r="D47" s="149"/>
      <c r="E47" s="154"/>
      <c r="F47" s="82"/>
      <c r="G47" s="82"/>
      <c r="H47" s="82"/>
      <c r="I47" s="82"/>
      <c r="J47" s="82"/>
      <c r="K47" s="160"/>
    </row>
    <row r="48" spans="1:11" ht="15.75">
      <c r="A48" s="4"/>
      <c r="B48" s="178"/>
      <c r="C48" s="702" t="s">
        <v>853</v>
      </c>
      <c r="D48" s="703"/>
      <c r="E48" s="157"/>
      <c r="F48" s="157"/>
      <c r="G48" s="157"/>
      <c r="H48" s="157"/>
      <c r="I48" s="127"/>
      <c r="J48" s="237"/>
      <c r="K48" s="193"/>
    </row>
    <row r="49" spans="1:11" ht="15.75">
      <c r="A49" s="4"/>
      <c r="B49" s="178"/>
      <c r="C49" s="702" t="s">
        <v>799</v>
      </c>
      <c r="D49" s="703"/>
      <c r="E49" s="157" t="s">
        <v>855</v>
      </c>
      <c r="F49" s="157" t="s">
        <v>856</v>
      </c>
      <c r="G49" s="157" t="s">
        <v>857</v>
      </c>
      <c r="H49" s="157" t="s">
        <v>858</v>
      </c>
      <c r="I49" s="127" t="s">
        <v>859</v>
      </c>
      <c r="J49" s="157" t="s">
        <v>860</v>
      </c>
      <c r="K49" s="193" t="s">
        <v>861</v>
      </c>
    </row>
    <row r="50" spans="1:11" ht="15.75">
      <c r="A50" s="4"/>
      <c r="B50" s="178"/>
      <c r="C50" s="718" t="s">
        <v>800</v>
      </c>
      <c r="D50" s="720"/>
      <c r="E50" s="269"/>
      <c r="F50" s="158"/>
      <c r="G50" s="158"/>
      <c r="H50" s="158"/>
      <c r="I50" s="159"/>
      <c r="J50" s="158"/>
      <c r="K50" s="194"/>
    </row>
    <row r="51" spans="1:11" ht="15.75">
      <c r="A51" s="4"/>
      <c r="B51" s="178"/>
      <c r="C51" s="396"/>
      <c r="D51" s="397"/>
      <c r="E51" s="299"/>
      <c r="F51" s="279"/>
      <c r="G51" s="280"/>
      <c r="H51" s="273"/>
      <c r="I51" s="273"/>
      <c r="J51" s="273"/>
      <c r="K51" s="283"/>
    </row>
    <row r="52" spans="1:11" ht="15.75">
      <c r="A52" s="4"/>
      <c r="B52" s="178"/>
      <c r="C52" s="396">
        <v>1.5</v>
      </c>
      <c r="D52" s="397"/>
      <c r="E52" s="405">
        <f>'Rate Tables'!E62/(+Inputs!$D$111+$C52*Inputs!$D$95)-1</f>
        <v>0.17396101507907313</v>
      </c>
      <c r="F52" s="405">
        <f>+'Rate Tables'!F62/(+Inputs!$D$111+$C52*Inputs!$D$96)-1</f>
        <v>0.172883787661406</v>
      </c>
      <c r="G52" s="405">
        <f>'Rate Tables'!G62/(+Inputs!$D$111+$C52*Inputs!$D$97)-1</f>
        <v>0.17521514629948354</v>
      </c>
      <c r="H52" s="405">
        <f>'Rate Tables'!H62/(+Inputs!$D$111+$C52*Inputs!$D$98)-1</f>
        <v>0.16922574322116968</v>
      </c>
      <c r="I52" s="405">
        <f>'Rate Tables'!I62/(+Inputs!$D$111+$C52*Inputs!$D$99)-1</f>
        <v>0.17127758781473412</v>
      </c>
      <c r="J52" s="405">
        <f>'Rate Tables'!J62/(+Inputs!$D$111+$C52*Inputs!$D$100)-1</f>
        <v>0.1484306248166618</v>
      </c>
      <c r="K52" s="406">
        <f>'Rate Tables'!K62/(+Inputs!$D$111+$C52*Inputs!$D$101)-1</f>
        <v>0.13776595744680864</v>
      </c>
    </row>
    <row r="53" spans="1:11" ht="15.75">
      <c r="A53" s="4"/>
      <c r="B53" s="74"/>
      <c r="C53" s="396">
        <v>2</v>
      </c>
      <c r="D53" s="397"/>
      <c r="E53" s="405">
        <f>'Rate Tables'!E63/(+Inputs!$D$111+$C53*Inputs!$D$95)-1</f>
        <v>0.1805259417199716</v>
      </c>
      <c r="F53" s="405">
        <f>+'Rate Tables'!F63/(+Inputs!$D$111+$C53*Inputs!$D$96)-1</f>
        <v>0.17894012388162417</v>
      </c>
      <c r="G53" s="405">
        <f>'Rate Tables'!G63/(+Inputs!$D$111+$C53*Inputs!$D$97)-1</f>
        <v>0.18158066623122138</v>
      </c>
      <c r="H53" s="405">
        <f>'Rate Tables'!H63/(+Inputs!$D$111+$C53*Inputs!$D$98)-1</f>
        <v>0.17370030581039764</v>
      </c>
      <c r="I53" s="405">
        <f>'Rate Tables'!I63/(+Inputs!$D$111+$C53*Inputs!$D$99)-1</f>
        <v>0.1759631972397928</v>
      </c>
      <c r="J53" s="405">
        <f>'Rate Tables'!J63/(+Inputs!$D$111+$C53*Inputs!$D$100)-1</f>
        <v>0.14783074450990874</v>
      </c>
      <c r="K53" s="406">
        <f>'Rate Tables'!K63/(+Inputs!$D$111+$C53*Inputs!$D$101)-1</f>
        <v>0.13517372679676343</v>
      </c>
    </row>
    <row r="54" spans="1:11" ht="15.75">
      <c r="A54" s="4"/>
      <c r="B54" s="74"/>
      <c r="C54" s="398">
        <v>2.5</v>
      </c>
      <c r="D54" s="399"/>
      <c r="E54" s="405">
        <f>'Rate Tables'!E64/(+Inputs!$D$111+$C54*Inputs!$D$95)-1</f>
        <v>0.18666208319009958</v>
      </c>
      <c r="F54" s="405">
        <f>+'Rate Tables'!F64/(+Inputs!$D$111+$C54*Inputs!$D$96)-1</f>
        <v>0.18452380952380953</v>
      </c>
      <c r="G54" s="405">
        <f>'Rate Tables'!G64/(+Inputs!$D$111+$C54*Inputs!$D$97)-1</f>
        <v>0.18732525629077346</v>
      </c>
      <c r="H54" s="405">
        <f>'Rate Tables'!H64/(+Inputs!$D$111+$C54*Inputs!$D$98)-1</f>
        <v>0.177637252083932</v>
      </c>
      <c r="I54" s="405">
        <f>'Rate Tables'!I64/(+Inputs!$D$111+$C54*Inputs!$D$99)-1</f>
        <v>0.1799946509761967</v>
      </c>
      <c r="J54" s="405">
        <f>'Rate Tables'!J64/(+Inputs!$D$111+$C54*Inputs!$D$100)-1</f>
        <v>0.14732692781473267</v>
      </c>
      <c r="K54" s="406">
        <f>'Rate Tables'!K64/(+Inputs!$D$111+$C54*Inputs!$D$101)-1</f>
        <v>0.13307493540051696</v>
      </c>
    </row>
    <row r="55" spans="1:11" ht="15.75">
      <c r="A55" s="4"/>
      <c r="B55" s="74"/>
      <c r="C55" s="398">
        <v>3</v>
      </c>
      <c r="D55" s="399"/>
      <c r="E55" s="405">
        <f>'Rate Tables'!E65/(+Inputs!$D$111+$C55*Inputs!$D$95)-1</f>
        <v>0.19241011984021283</v>
      </c>
      <c r="F55" s="405">
        <f>+'Rate Tables'!F65/(+Inputs!$D$111+$C55*Inputs!$D$96)-1</f>
        <v>0.18968809675366005</v>
      </c>
      <c r="G55" s="405">
        <f>'Rate Tables'!G65/(+Inputs!$D$111+$C55*Inputs!$D$97)-1</f>
        <v>0.19253554502369652</v>
      </c>
      <c r="H55" s="405">
        <f>'Rate Tables'!H65/(+Inputs!$D$111+$C55*Inputs!$D$98)-1</f>
        <v>0.18112798264642072</v>
      </c>
      <c r="I55" s="405">
        <f>'Rate Tables'!I65/(+Inputs!$D$111+$C55*Inputs!$D$99)-1</f>
        <v>0.1835</v>
      </c>
      <c r="J55" s="405">
        <f>'Rate Tables'!J65/(+Inputs!$D$111+$C55*Inputs!$D$100)-1</f>
        <v>0.1468978102189782</v>
      </c>
      <c r="K55" s="406">
        <f>'Rate Tables'!K65/(+Inputs!$D$111+$C55*Inputs!$D$101)-1</f>
        <v>0.1313409359024773</v>
      </c>
    </row>
    <row r="56" spans="1:11" ht="15.75">
      <c r="A56" s="4"/>
      <c r="B56" s="74"/>
      <c r="C56" s="398">
        <v>3.5</v>
      </c>
      <c r="D56" s="399"/>
      <c r="E56" s="405">
        <f>'Rate Tables'!E66/(+Inputs!$D$111+$C56*Inputs!$D$95)-1</f>
        <v>0.19780574378831872</v>
      </c>
      <c r="F56" s="405">
        <f>+'Rate Tables'!F66/(+Inputs!$D$111+$C56*Inputs!$D$96)-1</f>
        <v>0.19447852760736195</v>
      </c>
      <c r="G56" s="405">
        <f>'Rate Tables'!G66/(+Inputs!$D$111+$C56*Inputs!$D$97)-1</f>
        <v>0.1972827625247664</v>
      </c>
      <c r="H56" s="405">
        <f>'Rate Tables'!H66/(+Inputs!$D$111+$C56*Inputs!$D$98)-1</f>
        <v>0.18424429047985624</v>
      </c>
      <c r="I56" s="405">
        <f>'Rate Tables'!I66/(+Inputs!$D$111+$C56*Inputs!$D$99)-1</f>
        <v>0.1865759211452711</v>
      </c>
      <c r="J56" s="405">
        <f>'Rate Tables'!J66/(+Inputs!$D$111+$C56*Inputs!$D$100)-1</f>
        <v>0.14652792524952218</v>
      </c>
      <c r="K56" s="406">
        <f>'Rate Tables'!K66/(+Inputs!$D$111+$C56*Inputs!$D$101)-1</f>
        <v>0.12988422575976855</v>
      </c>
    </row>
    <row r="57" spans="1:11" ht="15.75">
      <c r="A57" s="4"/>
      <c r="B57" s="74"/>
      <c r="C57" s="398">
        <v>4</v>
      </c>
      <c r="D57" s="399"/>
      <c r="E57" s="405">
        <f>'Rate Tables'!E67/(+Inputs!$D$111+$C57*Inputs!$D$95)-1</f>
        <v>0.2028804007514089</v>
      </c>
      <c r="F57" s="405">
        <f>+'Rate Tables'!F67/(+Inputs!$D$111+$C57*Inputs!$D$96)-1</f>
        <v>0.19893428063943142</v>
      </c>
      <c r="G57" s="405">
        <f>'Rate Tables'!G67/(+Inputs!$D$111+$C57*Inputs!$D$97)-1</f>
        <v>0.2016260162601624</v>
      </c>
      <c r="H57" s="405">
        <f>'Rate Tables'!H67/(+Inputs!$D$111+$C57*Inputs!$D$98)-1</f>
        <v>0.18704335119337578</v>
      </c>
      <c r="I57" s="405">
        <f>'Rate Tables'!I67/(+Inputs!$D$111+$C57*Inputs!$D$99)-1</f>
        <v>0.18929677134011502</v>
      </c>
      <c r="J57" s="405">
        <f>'Rate Tables'!J67/(+Inputs!$D$111+$C57*Inputs!$D$100)-1</f>
        <v>0.14620580055621746</v>
      </c>
      <c r="K57" s="406">
        <f>'Rate Tables'!K67/(+Inputs!$D$111+$C57*Inputs!$D$101)-1</f>
        <v>0.12864321608040186</v>
      </c>
    </row>
    <row r="58" spans="1:11" ht="15.75">
      <c r="A58" s="4"/>
      <c r="B58" s="74"/>
      <c r="C58" s="398">
        <v>4.5</v>
      </c>
      <c r="D58" s="399"/>
      <c r="E58" s="405">
        <f>'Rate Tables'!E68/(+Inputs!$D$111+$C58*Inputs!$D$95)-1</f>
        <v>0.2076619033140772</v>
      </c>
      <c r="F58" s="405">
        <f>+'Rate Tables'!F68/(+Inputs!$D$111+$C58*Inputs!$D$96)-1</f>
        <v>0.20308924485125845</v>
      </c>
      <c r="G58" s="405">
        <f>'Rate Tables'!G68/(+Inputs!$D$111+$C58*Inputs!$D$97)-1</f>
        <v>0.20561476475175455</v>
      </c>
      <c r="H58" s="405">
        <f>'Rate Tables'!H68/(+Inputs!$D$111+$C58*Inputs!$D$98)-1</f>
        <v>0.1895712630359212</v>
      </c>
      <c r="I58" s="405">
        <f>'Rate Tables'!I68/(+Inputs!$D$111+$C58*Inputs!$D$99)-1</f>
        <v>0.1917206773991218</v>
      </c>
      <c r="J58" s="405">
        <f>'Rate Tables'!J68/(+Inputs!$D$111+$C58*Inputs!$D$100)-1</f>
        <v>0.14592274678111594</v>
      </c>
      <c r="K58" s="406">
        <f>'Rate Tables'!K68/(+Inputs!$D$111+$C58*Inputs!$D$101)-1</f>
        <v>0.12757330006238288</v>
      </c>
    </row>
    <row r="59" spans="1:11" ht="15.75">
      <c r="A59" s="4"/>
      <c r="B59" s="74"/>
      <c r="C59" s="398">
        <v>5</v>
      </c>
      <c r="D59" s="399"/>
      <c r="E59" s="405">
        <f>'Rate Tables'!E69/(+Inputs!$D$111+$C59*Inputs!$D$95)-1</f>
        <v>0.2121749408983451</v>
      </c>
      <c r="F59" s="405">
        <f>+'Rate Tables'!F69/(+Inputs!$D$111+$C59*Inputs!$D$96)-1</f>
        <v>0.20697288323187601</v>
      </c>
      <c r="G59" s="405">
        <f>'Rate Tables'!G69/(+Inputs!$D$111+$C59*Inputs!$D$97)-1</f>
        <v>0.20929070929070925</v>
      </c>
      <c r="H59" s="405">
        <f>'Rate Tables'!H69/(+Inputs!$D$111+$C59*Inputs!$D$98)-1</f>
        <v>0.19186560565870892</v>
      </c>
      <c r="I59" s="405">
        <f>'Rate Tables'!I69/(+Inputs!$D$111+$C59*Inputs!$D$99)-1</f>
        <v>0.1938937351308485</v>
      </c>
      <c r="J59" s="405">
        <f>'Rate Tables'!J69/(+Inputs!$D$111+$C59*Inputs!$D$100)-1</f>
        <v>0.1456720619282197</v>
      </c>
      <c r="K59" s="406">
        <f>'Rate Tables'!K69/(+Inputs!$D$111+$C59*Inputs!$D$101)-1</f>
        <v>0.12664137729792824</v>
      </c>
    </row>
    <row r="60" spans="1:11" ht="15.75">
      <c r="A60" s="4"/>
      <c r="B60" s="74"/>
      <c r="C60" s="398">
        <v>6</v>
      </c>
      <c r="D60" s="399"/>
      <c r="E60" s="405">
        <f>'Rate Tables'!E70/(+Inputs!$D$111+$C60*Inputs!$D$95)-1</f>
        <v>0.22048125349748182</v>
      </c>
      <c r="F60" s="405">
        <f>+'Rate Tables'!F70/(+Inputs!$D$111+$C60*Inputs!$D$96)-1</f>
        <v>0.2140259740259738</v>
      </c>
      <c r="G60" s="405">
        <f>'Rate Tables'!G70/(+Inputs!$D$111+$C60*Inputs!$D$97)-1</f>
        <v>0.2158406669754518</v>
      </c>
      <c r="H60" s="405">
        <f>'Rate Tables'!H70/(+Inputs!$D$111+$C60*Inputs!$D$98)-1</f>
        <v>0.1958721165520032</v>
      </c>
      <c r="I60" s="405">
        <f>'Rate Tables'!I70/(+Inputs!$D$111+$C60*Inputs!$D$99)-1</f>
        <v>0.19762845849802368</v>
      </c>
      <c r="J60" s="405">
        <f>'Rate Tables'!J70/(+Inputs!$D$111+$C60*Inputs!$D$100)-1</f>
        <v>0.1452478686454055</v>
      </c>
      <c r="K60" s="406">
        <f>'Rate Tables'!K70/(+Inputs!$D$111+$C60*Inputs!$D$101)-1</f>
        <v>0.12509692426983698</v>
      </c>
    </row>
    <row r="61" spans="1:11" ht="15.75">
      <c r="A61" s="4"/>
      <c r="B61" s="74"/>
      <c r="C61" s="398">
        <v>7</v>
      </c>
      <c r="D61" s="399"/>
      <c r="E61" s="405">
        <f>'Rate Tables'!E71/(+Inputs!$D$111+$C61*Inputs!$D$95)-1</f>
        <v>0.2279489904357066</v>
      </c>
      <c r="F61" s="405">
        <f>+'Rate Tables'!F71/(+Inputs!$D$111+$C61*Inputs!$D$96)-1</f>
        <v>0.2202643171806169</v>
      </c>
      <c r="G61" s="405">
        <f>'Rate Tables'!G71/(+Inputs!$D$111+$C61*Inputs!$D$97)-1</f>
        <v>0.22150259067357503</v>
      </c>
      <c r="H61" s="405">
        <f>'Rate Tables'!H71/(+Inputs!$D$111+$C61*Inputs!$D$98)-1</f>
        <v>0.19925373134328384</v>
      </c>
      <c r="I61" s="405">
        <f>'Rate Tables'!I71/(+Inputs!$D$111+$C61*Inputs!$D$99)-1</f>
        <v>0.2007227332457293</v>
      </c>
      <c r="J61" s="405">
        <f>'Rate Tables'!J71/(+Inputs!$D$111+$C61*Inputs!$D$100)-1</f>
        <v>0.1449026345933564</v>
      </c>
      <c r="K61" s="406">
        <f>'Rate Tables'!K71/(+Inputs!$D$111+$C61*Inputs!$D$101)-1</f>
        <v>0.12386917188587332</v>
      </c>
    </row>
    <row r="62" spans="1:11" ht="15.75">
      <c r="A62" s="4"/>
      <c r="B62" s="74"/>
      <c r="C62" s="398">
        <v>8</v>
      </c>
      <c r="D62" s="399"/>
      <c r="E62" s="405">
        <f>'Rate Tables'!E72/(+Inputs!$D$111+$C62*Inputs!$D$95)-1</f>
        <v>0.23469903894790067</v>
      </c>
      <c r="F62" s="405">
        <f>+'Rate Tables'!F72/(+Inputs!$D$111+$C62*Inputs!$D$96)-1</f>
        <v>0.2258213789912078</v>
      </c>
      <c r="G62" s="405">
        <f>'Rate Tables'!G72/(+Inputs!$D$111+$C62*Inputs!$D$97)-1</f>
        <v>0.2264456126162555</v>
      </c>
      <c r="H62" s="405">
        <f>'Rate Tables'!H72/(+Inputs!$D$111+$C62*Inputs!$D$98)-1</f>
        <v>0.20214607130494966</v>
      </c>
      <c r="I62" s="405">
        <f>'Rate Tables'!I72/(+Inputs!$D$111+$C62*Inputs!$D$99)-1</f>
        <v>0.20332829046898637</v>
      </c>
      <c r="J62" s="405">
        <f>'Rate Tables'!J72/(+Inputs!$D$111+$C62*Inputs!$D$100)-1</f>
        <v>0.14461619072570064</v>
      </c>
      <c r="K62" s="406">
        <f>'Rate Tables'!K72/(+Inputs!$D$111+$C62*Inputs!$D$101)-1</f>
        <v>0.12286976646328629</v>
      </c>
    </row>
    <row r="63" spans="1:11" ht="15.75">
      <c r="A63" s="4"/>
      <c r="B63" s="74"/>
      <c r="C63" s="398">
        <v>9</v>
      </c>
      <c r="D63" s="399"/>
      <c r="E63" s="405">
        <f>'Rate Tables'!E73/(+Inputs!$D$111+$C63*Inputs!$D$95)-1</f>
        <v>0.2408301158301156</v>
      </c>
      <c r="F63" s="405">
        <f>+'Rate Tables'!F73/(+Inputs!$D$111+$C63*Inputs!$D$96)-1</f>
        <v>0.23080298376480912</v>
      </c>
      <c r="G63" s="405">
        <f>'Rate Tables'!G73/(+Inputs!$D$111+$C63*Inputs!$D$97)-1</f>
        <v>0.23079847908745266</v>
      </c>
      <c r="H63" s="405">
        <f>'Rate Tables'!H73/(+Inputs!$D$111+$C63*Inputs!$D$98)-1</f>
        <v>0.20464816010329256</v>
      </c>
      <c r="I63" s="405">
        <f>'Rate Tables'!I73/(+Inputs!$D$111+$C63*Inputs!$D$99)-1</f>
        <v>0.2055524397083568</v>
      </c>
      <c r="J63" s="405">
        <f>'Rate Tables'!J73/(+Inputs!$D$111+$C63*Inputs!$D$100)-1</f>
        <v>0.14437469821342352</v>
      </c>
      <c r="K63" s="406">
        <f>'Rate Tables'!K73/(+Inputs!$D$111+$C63*Inputs!$D$101)-1</f>
        <v>0.12204042348411925</v>
      </c>
    </row>
    <row r="64" spans="1:11" ht="15.75">
      <c r="A64" s="4"/>
      <c r="B64" s="74"/>
      <c r="C64" s="398">
        <v>10</v>
      </c>
      <c r="D64" s="399"/>
      <c r="E64" s="405">
        <f>'Rate Tables'!E74/(+Inputs!$D$111+$C64*Inputs!$D$95)-1</f>
        <v>0.24642362713428723</v>
      </c>
      <c r="F64" s="405">
        <f>+'Rate Tables'!F74/(+Inputs!$D$111+$C64*Inputs!$D$96)-1</f>
        <v>0.23529411764705888</v>
      </c>
      <c r="G64" s="405">
        <f>'Rate Tables'!G74/(+Inputs!$D$111+$C64*Inputs!$D$97)-1</f>
        <v>0.2346609257265877</v>
      </c>
      <c r="H64" s="405">
        <f>'Rate Tables'!H74/(+Inputs!$D$111+$C64*Inputs!$D$98)-1</f>
        <v>0.20683398850922274</v>
      </c>
      <c r="I64" s="405">
        <f>'Rate Tables'!I74/(+Inputs!$D$111+$C64*Inputs!$D$99)-1</f>
        <v>0.2074732166187614</v>
      </c>
      <c r="J64" s="405">
        <f>'Rate Tables'!J74/(+Inputs!$D$111+$C64*Inputs!$D$100)-1</f>
        <v>0.14416834564584713</v>
      </c>
      <c r="K64" s="406">
        <f>'Rate Tables'!K74/(+Inputs!$D$111+$C64*Inputs!$D$101)-1</f>
        <v>0.12134113890367204</v>
      </c>
    </row>
    <row r="65" spans="1:11" ht="15.75">
      <c r="A65" s="4"/>
      <c r="B65" s="74"/>
      <c r="C65" s="398">
        <v>11</v>
      </c>
      <c r="D65" s="399"/>
      <c r="E65" s="405">
        <f>'Rate Tables'!E75/(+Inputs!$D$111+$C65*Inputs!$D$95)-1</f>
        <v>0.2515473032714415</v>
      </c>
      <c r="F65" s="405">
        <f>+'Rate Tables'!F75/(+Inputs!$D$111+$C65*Inputs!$D$96)-1</f>
        <v>0.2393638170974155</v>
      </c>
      <c r="G65" s="405">
        <f>'Rate Tables'!G75/(+Inputs!$D$111+$C65*Inputs!$D$97)-1</f>
        <v>0.23811141304347805</v>
      </c>
      <c r="H65" s="405">
        <f>'Rate Tables'!H75/(+Inputs!$D$111+$C65*Inputs!$D$98)-1</f>
        <v>0.20875995449374285</v>
      </c>
      <c r="I65" s="405">
        <f>'Rate Tables'!I75/(+Inputs!$D$111+$C65*Inputs!$D$99)-1</f>
        <v>0.20914872798434447</v>
      </c>
      <c r="J65" s="405">
        <f>'Rate Tables'!J75/(+Inputs!$D$111+$C65*Inputs!$D$100)-1</f>
        <v>0.14398998330550916</v>
      </c>
      <c r="K65" s="406">
        <f>'Rate Tables'!K75/(+Inputs!$D$111+$C65*Inputs!$D$101)-1</f>
        <v>0.12074354334594495</v>
      </c>
    </row>
    <row r="66" spans="1:11" ht="15.75">
      <c r="A66" s="4"/>
      <c r="B66" s="74"/>
      <c r="C66" s="398">
        <v>12</v>
      </c>
      <c r="D66" s="399"/>
      <c r="E66" s="405">
        <f>'Rate Tables'!E76/(+Inputs!$D$111+$C66*Inputs!$D$95)-1</f>
        <v>0.2562579550275774</v>
      </c>
      <c r="F66" s="405">
        <f>+'Rate Tables'!F76/(+Inputs!$D$111+$C66*Inputs!$D$96)-1</f>
        <v>0.2430687428788454</v>
      </c>
      <c r="G66" s="405">
        <f>'Rate Tables'!G76/(+Inputs!$D$111+$C66*Inputs!$D$97)-1</f>
        <v>0.24121251209287342</v>
      </c>
      <c r="H66" s="405">
        <f>'Rate Tables'!H76/(+Inputs!$D$111+$C66*Inputs!$D$98)-1</f>
        <v>0.2104697986577182</v>
      </c>
      <c r="I66" s="405">
        <f>'Rate Tables'!I76/(+Inputs!$D$111+$C66*Inputs!$D$99)-1</f>
        <v>0.21062313175442626</v>
      </c>
      <c r="J66" s="405">
        <f>'Rate Tables'!J76/(+Inputs!$D$111+$C66*Inputs!$D$100)-1</f>
        <v>0.14383427789720504</v>
      </c>
      <c r="K66" s="406">
        <f>'Rate Tables'!K76/(+Inputs!$D$111+$C66*Inputs!$D$101)-1</f>
        <v>0.12022695905535952</v>
      </c>
    </row>
    <row r="67" spans="1:11" ht="15.75">
      <c r="A67" s="4"/>
      <c r="B67" s="74"/>
      <c r="C67" s="398">
        <v>13</v>
      </c>
      <c r="D67" s="399"/>
      <c r="E67" s="405">
        <f>'Rate Tables'!E77/(+Inputs!$D$111+$C67*Inputs!$D$95)-1</f>
        <v>0.26060358890701485</v>
      </c>
      <c r="F67" s="405">
        <f>+'Rate Tables'!F77/(+Inputs!$D$111+$C67*Inputs!$D$96)-1</f>
        <v>0.24645583424209394</v>
      </c>
      <c r="G67" s="405">
        <f>'Rate Tables'!G77/(+Inputs!$D$111+$C67*Inputs!$D$97)-1</f>
        <v>0.24401473296500908</v>
      </c>
      <c r="H67" s="405">
        <f>'Rate Tables'!H77/(+Inputs!$D$111+$C67*Inputs!$D$98)-1</f>
        <v>0.21199796644636493</v>
      </c>
      <c r="I67" s="405">
        <f>'Rate Tables'!I77/(+Inputs!$D$111+$C67*Inputs!$D$99)-1</f>
        <v>0.21193058568329715</v>
      </c>
      <c r="J67" s="405">
        <f>'Rate Tables'!J77/(+Inputs!$D$111+$C67*Inputs!$D$100)-1</f>
        <v>0.14369717015803007</v>
      </c>
      <c r="K67" s="406">
        <f>'Rate Tables'!K77/(+Inputs!$D$111+$C67*Inputs!$D$101)-1</f>
        <v>0.11977595863851764</v>
      </c>
    </row>
    <row r="68" spans="1:11" ht="15.75">
      <c r="A68" s="4"/>
      <c r="B68" s="74"/>
      <c r="C68" s="398">
        <v>14</v>
      </c>
      <c r="D68" s="399"/>
      <c r="E68" s="405">
        <f>'Rate Tables'!E78/(+Inputs!$D$111+$C68*Inputs!$D$95)-1</f>
        <v>0.26462504907734585</v>
      </c>
      <c r="F68" s="405">
        <f>+'Rate Tables'!F78/(+Inputs!$D$111+$C68*Inputs!$D$96)-1</f>
        <v>0.2495643081212966</v>
      </c>
      <c r="G68" s="405">
        <f>'Rate Tables'!G78/(+Inputs!$D$111+$C68*Inputs!$D$97)-1</f>
        <v>0.24655929721815517</v>
      </c>
      <c r="H68" s="405">
        <f>'Rate Tables'!H78/(+Inputs!$D$111+$C68*Inputs!$D$98)-1</f>
        <v>0.2133719526912865</v>
      </c>
      <c r="I68" s="405">
        <f>'Rate Tables'!I78/(+Inputs!$D$111+$C68*Inputs!$D$99)-1</f>
        <v>0.21309792650379777</v>
      </c>
      <c r="J68" s="405">
        <f>'Rate Tables'!J78/(+Inputs!$D$111+$C68*Inputs!$D$100)-1</f>
        <v>0.14357551586613493</v>
      </c>
      <c r="K68" s="406">
        <f>'Rate Tables'!K78/(+Inputs!$D$111+$C68*Inputs!$D$101)-1</f>
        <v>0.11937879810938568</v>
      </c>
    </row>
    <row r="69" spans="1:11" ht="15.75">
      <c r="A69" s="4"/>
      <c r="B69" s="74"/>
      <c r="C69" s="398">
        <v>15</v>
      </c>
      <c r="D69" s="399"/>
      <c r="E69" s="405">
        <f>'Rate Tables'!E79/(+Inputs!$D$111+$C69*Inputs!$D$95)-1</f>
        <v>0.268357305071915</v>
      </c>
      <c r="F69" s="405">
        <f>+'Rate Tables'!F79/(+Inputs!$D$111+$C69*Inputs!$D$96)-1</f>
        <v>0.2524271844660193</v>
      </c>
      <c r="G69" s="405">
        <f>'Rate Tables'!G79/(+Inputs!$D$111+$C69*Inputs!$D$97)-1</f>
        <v>0.24888017917133243</v>
      </c>
      <c r="H69" s="405">
        <f>'Rate Tables'!H79/(+Inputs!$D$111+$C69*Inputs!$D$98)-1</f>
        <v>0.21461397058823528</v>
      </c>
      <c r="I69" s="405">
        <f>'Rate Tables'!I79/(+Inputs!$D$111+$C69*Inputs!$D$99)-1</f>
        <v>0.21414653156664065</v>
      </c>
      <c r="J69" s="405">
        <f>'Rate Tables'!J79/(+Inputs!$D$111+$C69*Inputs!$D$100)-1</f>
        <v>0.14346684175968472</v>
      </c>
      <c r="K69" s="406">
        <f>'Rate Tables'!K79/(+Inputs!$D$111+$C69*Inputs!$D$101)-1</f>
        <v>0.11902637950809236</v>
      </c>
    </row>
    <row r="70" spans="1:11" ht="16.5" thickBot="1">
      <c r="A70" s="179"/>
      <c r="B70" s="295"/>
      <c r="C70" s="402"/>
      <c r="D70" s="403"/>
      <c r="E70" s="393"/>
      <c r="F70" s="393"/>
      <c r="G70" s="394"/>
      <c r="H70" s="395"/>
      <c r="I70" s="395"/>
      <c r="J70" s="395"/>
      <c r="K70" s="345"/>
    </row>
    <row r="71" spans="1:11" ht="12.75">
      <c r="A71" s="62"/>
      <c r="B71" s="39"/>
      <c r="C71" s="225"/>
      <c r="D71" s="225"/>
      <c r="E71" s="225"/>
      <c r="F71" s="225"/>
      <c r="G71" s="225"/>
      <c r="H71" s="225"/>
      <c r="I71" s="225"/>
      <c r="J71" s="225"/>
      <c r="K71" s="226"/>
    </row>
    <row r="72" spans="1:11" ht="15.75">
      <c r="A72" s="63"/>
      <c r="B72" s="41"/>
      <c r="C72" s="203" t="s">
        <v>811</v>
      </c>
      <c r="D72" s="203"/>
      <c r="E72" s="227"/>
      <c r="F72" s="227"/>
      <c r="G72" s="227"/>
      <c r="H72" s="309"/>
      <c r="I72" s="227"/>
      <c r="J72" s="227"/>
      <c r="K72" s="228"/>
    </row>
    <row r="73" spans="1:11" ht="13.5" thickBot="1">
      <c r="A73" s="63"/>
      <c r="B73" s="41"/>
      <c r="C73" s="229"/>
      <c r="D73" s="404"/>
      <c r="E73" s="230"/>
      <c r="F73" s="230"/>
      <c r="G73" s="230"/>
      <c r="H73" s="230"/>
      <c r="I73" s="230"/>
      <c r="J73" s="230"/>
      <c r="K73" s="231"/>
    </row>
    <row r="74" spans="1:11" ht="13.5" thickTop="1">
      <c r="A74" s="63"/>
      <c r="B74" s="41"/>
      <c r="C74" s="227" t="s">
        <v>525</v>
      </c>
      <c r="D74" s="227"/>
      <c r="E74" s="227"/>
      <c r="F74" s="227"/>
      <c r="G74" s="227"/>
      <c r="H74" s="227"/>
      <c r="I74" s="227"/>
      <c r="J74" s="227"/>
      <c r="K74" s="228"/>
    </row>
    <row r="75" spans="1:11" ht="12.75">
      <c r="A75" s="63"/>
      <c r="B75" s="41"/>
      <c r="C75" s="227" t="s">
        <v>226</v>
      </c>
      <c r="D75" s="227"/>
      <c r="E75" s="227"/>
      <c r="F75" s="227"/>
      <c r="G75" s="227"/>
      <c r="H75" s="227"/>
      <c r="I75" s="227"/>
      <c r="J75" s="227"/>
      <c r="K75" s="228"/>
    </row>
    <row r="76" spans="1:11" ht="12.75">
      <c r="A76" s="63"/>
      <c r="B76" s="41"/>
      <c r="C76" s="227" t="s">
        <v>227</v>
      </c>
      <c r="D76" s="227"/>
      <c r="E76" s="227"/>
      <c r="F76" s="227"/>
      <c r="G76" s="227"/>
      <c r="H76" s="227"/>
      <c r="I76" s="227"/>
      <c r="J76" s="227"/>
      <c r="K76" s="228"/>
    </row>
    <row r="77" spans="1:11" ht="12.75">
      <c r="A77" s="63"/>
      <c r="B77" s="41"/>
      <c r="C77" s="227"/>
      <c r="D77" s="227"/>
      <c r="E77" s="227"/>
      <c r="F77" s="227"/>
      <c r="G77" s="227"/>
      <c r="H77" s="227"/>
      <c r="I77" s="227"/>
      <c r="J77" s="227"/>
      <c r="K77" s="228"/>
    </row>
    <row r="78" spans="1:11" ht="12.75">
      <c r="A78" s="63"/>
      <c r="B78" s="41"/>
      <c r="C78" s="227"/>
      <c r="D78" s="227"/>
      <c r="E78" s="227"/>
      <c r="F78" s="227"/>
      <c r="G78" s="227"/>
      <c r="H78" s="227"/>
      <c r="I78" s="227"/>
      <c r="J78" s="227"/>
      <c r="K78" s="228"/>
    </row>
    <row r="79" spans="1:11" ht="13.5" thickBot="1">
      <c r="A79" s="21"/>
      <c r="B79" s="43"/>
      <c r="C79" s="233"/>
      <c r="D79" s="233"/>
      <c r="E79" s="233"/>
      <c r="F79" s="233"/>
      <c r="G79" s="233"/>
      <c r="H79" s="233"/>
      <c r="I79" s="233"/>
      <c r="J79" s="233"/>
      <c r="K79" s="234"/>
    </row>
    <row r="82" ht="13.5" thickBot="1"/>
    <row r="83" spans="1:10" ht="15">
      <c r="A83" s="173"/>
      <c r="B83" s="174"/>
      <c r="C83" s="175"/>
      <c r="D83" s="175"/>
      <c r="E83" s="175"/>
      <c r="F83" s="175"/>
      <c r="G83" s="175"/>
      <c r="H83" s="175"/>
      <c r="I83" s="175"/>
      <c r="J83" s="176"/>
    </row>
    <row r="84" spans="1:10" ht="15.75">
      <c r="A84" s="4"/>
      <c r="B84" s="5"/>
      <c r="C84" s="23"/>
      <c r="D84" s="23"/>
      <c r="E84" s="23"/>
      <c r="F84" s="23"/>
      <c r="G84" s="23"/>
      <c r="H84" s="36"/>
      <c r="I84" s="36"/>
      <c r="J84" s="665" t="s">
        <v>591</v>
      </c>
    </row>
    <row r="85" spans="1:10" ht="15.75">
      <c r="A85" s="4"/>
      <c r="B85" s="5"/>
      <c r="C85" s="23"/>
      <c r="D85" s="23"/>
      <c r="E85" s="23"/>
      <c r="F85" s="23"/>
      <c r="G85" s="23"/>
      <c r="H85" s="36"/>
      <c r="I85" s="36"/>
      <c r="J85" s="665" t="s">
        <v>752</v>
      </c>
    </row>
    <row r="86" spans="1:10" ht="18">
      <c r="A86" s="692" t="s">
        <v>809</v>
      </c>
      <c r="B86" s="693"/>
      <c r="C86" s="693"/>
      <c r="D86" s="693"/>
      <c r="E86" s="693"/>
      <c r="F86" s="693"/>
      <c r="G86" s="693"/>
      <c r="H86" s="693"/>
      <c r="I86" s="693"/>
      <c r="J86" s="694"/>
    </row>
    <row r="87" spans="1:10" ht="21">
      <c r="A87" s="692" t="s">
        <v>648</v>
      </c>
      <c r="B87" s="693"/>
      <c r="C87" s="693"/>
      <c r="D87" s="693"/>
      <c r="E87" s="693"/>
      <c r="F87" s="693"/>
      <c r="G87" s="693"/>
      <c r="H87" s="693"/>
      <c r="I87" s="693"/>
      <c r="J87" s="694"/>
    </row>
    <row r="88" spans="1:10" ht="15.75" thickBot="1">
      <c r="A88" s="15"/>
      <c r="B88" s="11"/>
      <c r="C88" s="11"/>
      <c r="D88" s="11"/>
      <c r="E88" s="11"/>
      <c r="F88" s="11"/>
      <c r="G88" s="11"/>
      <c r="H88" s="11"/>
      <c r="I88" s="11"/>
      <c r="J88" s="13"/>
    </row>
    <row r="89" spans="1:10" ht="16.5" thickTop="1">
      <c r="A89" s="4"/>
      <c r="B89" s="178"/>
      <c r="C89" s="156"/>
      <c r="D89" s="149"/>
      <c r="E89" s="127"/>
      <c r="F89" s="149"/>
      <c r="G89" s="149"/>
      <c r="H89" s="149"/>
      <c r="I89" s="157"/>
      <c r="J89" s="193"/>
    </row>
    <row r="90" spans="1:10" ht="18.75">
      <c r="A90" s="4"/>
      <c r="B90" s="14"/>
      <c r="C90" s="156"/>
      <c r="D90" s="149"/>
      <c r="E90" s="697" t="s">
        <v>649</v>
      </c>
      <c r="F90" s="719"/>
      <c r="G90" s="719"/>
      <c r="H90" s="720"/>
      <c r="I90" s="157"/>
      <c r="J90" s="193"/>
    </row>
    <row r="91" spans="1:10" ht="18.75">
      <c r="A91" s="4"/>
      <c r="B91" s="178"/>
      <c r="C91" s="702" t="s">
        <v>853</v>
      </c>
      <c r="D91" s="703"/>
      <c r="E91" s="157"/>
      <c r="F91" s="157"/>
      <c r="G91" s="157"/>
      <c r="H91" s="127"/>
      <c r="I91" s="157" t="s">
        <v>650</v>
      </c>
      <c r="J91" s="193" t="s">
        <v>651</v>
      </c>
    </row>
    <row r="92" spans="1:10" ht="15.75">
      <c r="A92" s="4"/>
      <c r="B92" s="178"/>
      <c r="C92" s="702" t="s">
        <v>799</v>
      </c>
      <c r="D92" s="703"/>
      <c r="E92" s="157" t="s">
        <v>855</v>
      </c>
      <c r="F92" s="157" t="s">
        <v>856</v>
      </c>
      <c r="G92" s="157" t="s">
        <v>857</v>
      </c>
      <c r="H92" s="127" t="s">
        <v>858</v>
      </c>
      <c r="I92" s="157"/>
      <c r="J92" s="193"/>
    </row>
    <row r="93" spans="1:10" ht="15.75">
      <c r="A93" s="4"/>
      <c r="B93" s="178"/>
      <c r="C93" s="718" t="s">
        <v>800</v>
      </c>
      <c r="D93" s="720"/>
      <c r="E93" s="269"/>
      <c r="F93" s="158"/>
      <c r="G93" s="158"/>
      <c r="H93" s="159"/>
      <c r="I93" s="158"/>
      <c r="J93" s="194"/>
    </row>
    <row r="94" spans="1:10" ht="15.75">
      <c r="A94" s="4"/>
      <c r="B94" s="178"/>
      <c r="C94" s="396"/>
      <c r="D94" s="397"/>
      <c r="E94" s="299"/>
      <c r="F94" s="279"/>
      <c r="G94" s="280"/>
      <c r="H94" s="273"/>
      <c r="I94" s="273"/>
      <c r="J94" s="283"/>
    </row>
    <row r="95" spans="1:11" ht="15.75">
      <c r="A95" s="4"/>
      <c r="B95" s="178"/>
      <c r="C95" s="396">
        <v>1.5</v>
      </c>
      <c r="D95" s="397"/>
      <c r="E95" s="405">
        <f>'Rate Tables'!E113/(+Inputs!$D$112+$C95*Inputs!$D$103)-1</f>
        <v>0.16296646197449238</v>
      </c>
      <c r="F95" s="405">
        <f>'Rate Tables'!F113/(+Inputs!$D$112+$C95*Inputs!$D$104)-1</f>
        <v>0.1683257918552037</v>
      </c>
      <c r="G95" s="405">
        <f>'Rate Tables'!G113/(+Inputs!$D$112+$C95*Inputs!$D$105)-1</f>
        <v>0.1637301246239795</v>
      </c>
      <c r="H95" s="405">
        <f>'Rate Tables'!H113/(+Inputs!$D$112+$C95*Inputs!$D$106)-1</f>
        <v>0.16229309648768697</v>
      </c>
      <c r="I95" s="405">
        <f>'Rate Tables'!I113/(+Inputs!$D$113+$C95*Inputs!$D$107)-1</f>
        <v>0.08934072704867524</v>
      </c>
      <c r="J95" s="406">
        <f>'Rate Tables'!J113/(+Inputs!$D$114+$C95*Inputs!$D$108)-1</f>
        <v>0.08260869565217388</v>
      </c>
      <c r="K95" s="47"/>
    </row>
    <row r="96" spans="1:11" ht="15.75">
      <c r="A96" s="4"/>
      <c r="B96" s="74"/>
      <c r="C96" s="396">
        <v>2</v>
      </c>
      <c r="D96" s="397"/>
      <c r="E96" s="405">
        <f>'Rate Tables'!E114/(+Inputs!$D$112+$C96*Inputs!$D$103)-1</f>
        <v>0.16317228805834105</v>
      </c>
      <c r="F96" s="405">
        <f>'Rate Tables'!F114/(+Inputs!$D$112+$C96*Inputs!$D$104)-1</f>
        <v>0.16997411561691123</v>
      </c>
      <c r="G96" s="405">
        <f>'Rate Tables'!G114/(+Inputs!$D$112+$C96*Inputs!$D$105)-1</f>
        <v>0.16410670978173014</v>
      </c>
      <c r="H96" s="405">
        <f>'Rate Tables'!H114/(+Inputs!$D$112+$C96*Inputs!$D$106)-1</f>
        <v>0.16230366492146597</v>
      </c>
      <c r="I96" s="405">
        <f>'Rate Tables'!I114/(+Inputs!$D$113+$C96*Inputs!$D$107)-1</f>
        <v>0.09964412811387913</v>
      </c>
      <c r="J96" s="406">
        <f>'Rate Tables'!J114/(+Inputs!$D$114+$C96*Inputs!$D$108)-1</f>
        <v>0.0878186968838528</v>
      </c>
      <c r="K96" s="47"/>
    </row>
    <row r="97" spans="1:11" ht="15.75">
      <c r="A97" s="4"/>
      <c r="B97" s="74"/>
      <c r="C97" s="398">
        <v>2.5</v>
      </c>
      <c r="D97" s="399"/>
      <c r="E97" s="405">
        <f>'Rate Tables'!E115/(+Inputs!$D$112+$C97*Inputs!$D$103)-1</f>
        <v>0.16336415675913707</v>
      </c>
      <c r="F97" s="405">
        <f>'Rate Tables'!F115/(+Inputs!$D$112+$C97*Inputs!$D$104)-1</f>
        <v>0.1714756801319044</v>
      </c>
      <c r="G97" s="405">
        <f>'Rate Tables'!G115/(+Inputs!$D$112+$C97*Inputs!$D$105)-1</f>
        <v>0.16444105303319345</v>
      </c>
      <c r="H97" s="405">
        <f>'Rate Tables'!H115/(+Inputs!$D$112+$C97*Inputs!$D$106)-1</f>
        <v>0.16231278300243823</v>
      </c>
      <c r="I97" s="405">
        <f>'Rate Tables'!I115/(+Inputs!$D$113+$C97*Inputs!$D$107)-1</f>
        <v>0.10920526014865639</v>
      </c>
      <c r="J97" s="406">
        <f>'Rate Tables'!J115/(+Inputs!$D$114+$C97*Inputs!$D$108)-1</f>
        <v>0.09279778393351812</v>
      </c>
      <c r="K97" s="47"/>
    </row>
    <row r="98" spans="1:11" ht="15.75">
      <c r="A98" s="4"/>
      <c r="B98" s="74"/>
      <c r="C98" s="398">
        <v>3</v>
      </c>
      <c r="D98" s="399"/>
      <c r="E98" s="405">
        <f>'Rate Tables'!E116/(+Inputs!$D$112+$C98*Inputs!$D$103)-1</f>
        <v>0.16354344122657594</v>
      </c>
      <c r="F98" s="405">
        <f>'Rate Tables'!F116/(+Inputs!$D$112+$C98*Inputs!$D$104)-1</f>
        <v>0.17284925019731667</v>
      </c>
      <c r="G98" s="405">
        <f>'Rate Tables'!G116/(+Inputs!$D$112+$C98*Inputs!$D$105)-1</f>
        <v>0.16473988439306364</v>
      </c>
      <c r="H98" s="405">
        <f>'Rate Tables'!H116/(+Inputs!$D$112+$C98*Inputs!$D$106)-1</f>
        <v>0.1623207301173406</v>
      </c>
      <c r="I98" s="405">
        <f>'Rate Tables'!I116/(+Inputs!$D$113+$C98*Inputs!$D$107)-1</f>
        <v>0.11810154525386318</v>
      </c>
      <c r="J98" s="406">
        <f>'Rate Tables'!J116/(+Inputs!$D$114+$C98*Inputs!$D$108)-1</f>
        <v>0.09756097560975618</v>
      </c>
      <c r="K98" s="47"/>
    </row>
    <row r="99" spans="1:11" ht="15.75">
      <c r="A99" s="4"/>
      <c r="B99" s="74"/>
      <c r="C99" s="398">
        <v>3.5</v>
      </c>
      <c r="D99" s="399"/>
      <c r="E99" s="405">
        <f>'Rate Tables'!E117/(+Inputs!$D$112+$C99*Inputs!$D$103)-1</f>
        <v>0.1637113402061856</v>
      </c>
      <c r="F99" s="405">
        <f>'Rate Tables'!F117/(+Inputs!$D$112+$C99*Inputs!$D$104)-1</f>
        <v>0.1741105223315671</v>
      </c>
      <c r="G99" s="405">
        <f>'Rate Tables'!G117/(+Inputs!$D$112+$C99*Inputs!$D$105)-1</f>
        <v>0.16500857632933097</v>
      </c>
      <c r="H99" s="405">
        <f>'Rate Tables'!H117/(+Inputs!$D$112+$C99*Inputs!$D$106)-1</f>
        <v>0.1623277182235836</v>
      </c>
      <c r="I99" s="405">
        <f>'Rate Tables'!I117/(+Inputs!$D$113+$C99*Inputs!$D$107)-1</f>
        <v>0.12640000000000007</v>
      </c>
      <c r="J99" s="406">
        <f>'Rate Tables'!J117/(+Inputs!$D$114+$C99*Inputs!$D$108)-1</f>
        <v>0.10212201591511949</v>
      </c>
      <c r="K99" s="47"/>
    </row>
    <row r="100" spans="1:11" ht="15.75">
      <c r="A100" s="4"/>
      <c r="B100" s="74"/>
      <c r="C100" s="398">
        <v>4</v>
      </c>
      <c r="D100" s="399"/>
      <c r="E100" s="405">
        <f>'Rate Tables'!E118/(+Inputs!$D$112+$C100*Inputs!$D$103)-1</f>
        <v>0.1638689048760993</v>
      </c>
      <c r="F100" s="405">
        <f>'Rate Tables'!F118/(+Inputs!$D$112+$C100*Inputs!$D$104)-1</f>
        <v>0.17527272727272725</v>
      </c>
      <c r="G100" s="405">
        <f>'Rate Tables'!G118/(+Inputs!$D$112+$C100*Inputs!$D$105)-1</f>
        <v>0.16525146962769433</v>
      </c>
      <c r="H100" s="405">
        <f>'Rate Tables'!H118/(+Inputs!$D$112+$C100*Inputs!$D$106)-1</f>
        <v>0.16233391103408445</v>
      </c>
      <c r="I100" s="405">
        <f>'Rate Tables'!I118/(+Inputs!$D$113+$C100*Inputs!$D$107)-1</f>
        <v>0.1341589267285861</v>
      </c>
      <c r="J100" s="406">
        <f>'Rate Tables'!J118/(+Inputs!$D$114+$C100*Inputs!$D$108)-1</f>
        <v>0.10649350649350664</v>
      </c>
      <c r="K100" s="47"/>
    </row>
    <row r="101" spans="1:11" ht="15.75">
      <c r="A101" s="4"/>
      <c r="B101" s="74"/>
      <c r="C101" s="398">
        <v>4.5</v>
      </c>
      <c r="D101" s="399"/>
      <c r="E101" s="405">
        <f>'Rate Tables'!E119/(+Inputs!$D$112+$C101*Inputs!$D$103)-1</f>
        <v>0.16401706087630896</v>
      </c>
      <c r="F101" s="405">
        <f>'Rate Tables'!F119/(+Inputs!$D$112+$C101*Inputs!$D$104)-1</f>
        <v>0.17634709587123876</v>
      </c>
      <c r="G101" s="405">
        <f>'Rate Tables'!G119/(+Inputs!$D$112+$C101*Inputs!$D$105)-1</f>
        <v>0.16547210969149284</v>
      </c>
      <c r="H101" s="405">
        <f>'Rate Tables'!H119/(+Inputs!$D$112+$C101*Inputs!$D$106)-1</f>
        <v>0.16233943700464626</v>
      </c>
      <c r="I101" s="405">
        <f>'Rate Tables'!I119/(+Inputs!$D$113+$C101*Inputs!$D$107)-1</f>
        <v>0.14142928535732135</v>
      </c>
      <c r="J101" s="406">
        <f>'Rate Tables'!J119/(+Inputs!$D$114+$C101*Inputs!$D$108)-1</f>
        <v>0.11068702290076327</v>
      </c>
      <c r="K101" s="47"/>
    </row>
    <row r="102" spans="1:11" ht="15.75">
      <c r="A102" s="4"/>
      <c r="B102" s="74"/>
      <c r="C102" s="398">
        <v>5</v>
      </c>
      <c r="D102" s="399"/>
      <c r="E102" s="405">
        <f>'Rate Tables'!E120/(+Inputs!$D$112+$C102*Inputs!$D$103)-1</f>
        <v>0.16415662650602436</v>
      </c>
      <c r="F102" s="405">
        <f>'Rate Tables'!F120/(+Inputs!$D$112+$C102*Inputs!$D$104)-1</f>
        <v>0.17734322319622375</v>
      </c>
      <c r="G102" s="405">
        <f>'Rate Tables'!G120/(+Inputs!$D$112+$C102*Inputs!$D$105)-1</f>
        <v>0.16567342073897495</v>
      </c>
      <c r="H102" s="405">
        <f>'Rate Tables'!H120/(+Inputs!$D$112+$C102*Inputs!$D$106)-1</f>
        <v>0.16234439834024905</v>
      </c>
      <c r="I102" s="405">
        <f>'Rate Tables'!I120/(+Inputs!$D$113+$C102*Inputs!$D$107)-1</f>
        <v>0.1482558139534884</v>
      </c>
      <c r="J102" s="406">
        <f>'Rate Tables'!J120/(+Inputs!$D$114+$C102*Inputs!$D$108)-1</f>
        <v>0.11471321695760617</v>
      </c>
      <c r="K102" s="47"/>
    </row>
    <row r="103" spans="1:11" ht="15.75">
      <c r="A103" s="4"/>
      <c r="B103" s="74"/>
      <c r="C103" s="398">
        <v>6</v>
      </c>
      <c r="D103" s="399"/>
      <c r="E103" s="405">
        <f>'Rate Tables'!E121/(+Inputs!$D$112+$C103*Inputs!$D$103)-1</f>
        <v>0.16441281138790065</v>
      </c>
      <c r="F103" s="405">
        <f>'Rate Tables'!F121/(+Inputs!$D$112+$C103*Inputs!$D$104)-1</f>
        <v>0.17913262099308613</v>
      </c>
      <c r="G103" s="405">
        <f>'Rate Tables'!G121/(+Inputs!$D$112+$C103*Inputs!$D$105)-1</f>
        <v>0.16602739726027416</v>
      </c>
      <c r="H103" s="405">
        <f>'Rate Tables'!H121/(+Inputs!$D$112+$C103*Inputs!$D$106)-1</f>
        <v>0.1623529411764706</v>
      </c>
      <c r="I103" s="405">
        <f>'Rate Tables'!I121/(+Inputs!$D$113+$C103*Inputs!$D$107)-1</f>
        <v>0.1607305936073058</v>
      </c>
      <c r="J103" s="406">
        <f>'Rate Tables'!J121/(+Inputs!$D$114+$C103*Inputs!$D$108)-1</f>
        <v>0.1223021582733812</v>
      </c>
      <c r="K103" s="47"/>
    </row>
    <row r="104" spans="1:11" ht="15.75">
      <c r="A104" s="4"/>
      <c r="B104" s="74"/>
      <c r="C104" s="398">
        <v>7</v>
      </c>
      <c r="D104" s="399"/>
      <c r="E104" s="405">
        <f>'Rate Tables'!E122/(+Inputs!$D$112+$C104*Inputs!$D$103)-1</f>
        <v>0.16464237516869096</v>
      </c>
      <c r="F104" s="405">
        <f>'Rate Tables'!F122/(+Inputs!$D$112+$C104*Inputs!$D$104)-1</f>
        <v>0.18069452619187776</v>
      </c>
      <c r="G104" s="405">
        <f>'Rate Tables'!G122/(+Inputs!$D$112+$C104*Inputs!$D$105)-1</f>
        <v>0.16632860040567943</v>
      </c>
      <c r="H104" s="405">
        <f>'Rate Tables'!H122/(+Inputs!$D$112+$C104*Inputs!$D$106)-1</f>
        <v>0.16236003445305758</v>
      </c>
      <c r="I104" s="405">
        <f>'Rate Tables'!I122/(+Inputs!$D$113+$C104*Inputs!$D$107)-1</f>
        <v>0.17184801381692583</v>
      </c>
      <c r="J104" s="406">
        <f>'Rate Tables'!J122/(+Inputs!$D$114+$C104*Inputs!$D$108)-1</f>
        <v>0.1293302540415706</v>
      </c>
      <c r="K104" s="47"/>
    </row>
    <row r="105" spans="1:11" ht="15.75">
      <c r="A105" s="4"/>
      <c r="B105" s="74"/>
      <c r="C105" s="398">
        <v>8</v>
      </c>
      <c r="D105" s="399"/>
      <c r="E105" s="405">
        <f>'Rate Tables'!E123/(+Inputs!$D$112+$C105*Inputs!$D$103)-1</f>
        <v>0.16484926234765873</v>
      </c>
      <c r="F105" s="405">
        <f>'Rate Tables'!F123/(+Inputs!$D$112+$C105*Inputs!$D$104)-1</f>
        <v>0.18206972883231876</v>
      </c>
      <c r="G105" s="405">
        <f>'Rate Tables'!G123/(+Inputs!$D$112+$C105*Inputs!$D$105)-1</f>
        <v>0.16658801321378025</v>
      </c>
      <c r="H105" s="405">
        <f>'Rate Tables'!H123/(+Inputs!$D$112+$C105*Inputs!$D$106)-1</f>
        <v>0.16236601826121477</v>
      </c>
      <c r="I105" s="405">
        <f>'Rate Tables'!I123/(+Inputs!$D$113+$C105*Inputs!$D$107)-1</f>
        <v>0.18181818181818188</v>
      </c>
      <c r="J105" s="406">
        <f>'Rate Tables'!J123/(+Inputs!$D$114+$C105*Inputs!$D$108)-1</f>
        <v>0.13585746102449892</v>
      </c>
      <c r="K105" s="47"/>
    </row>
    <row r="106" spans="1:11" ht="15.75">
      <c r="A106" s="4"/>
      <c r="B106" s="74"/>
      <c r="C106" s="398">
        <v>9</v>
      </c>
      <c r="D106" s="399"/>
      <c r="E106" s="405">
        <f>'Rate Tables'!E124/(+Inputs!$D$112+$C106*Inputs!$D$103)-1</f>
        <v>0.1650366748166261</v>
      </c>
      <c r="F106" s="405">
        <f>'Rate Tables'!F124/(+Inputs!$D$112+$C106*Inputs!$D$104)-1</f>
        <v>0.18328981723237603</v>
      </c>
      <c r="G106" s="405">
        <f>'Rate Tables'!G124/(+Inputs!$D$112+$C106*Inputs!$D$105)-1</f>
        <v>0.16681376875551646</v>
      </c>
      <c r="H106" s="405">
        <f>'Rate Tables'!H124/(+Inputs!$D$112+$C106*Inputs!$D$106)-1</f>
        <v>0.16237113402061842</v>
      </c>
      <c r="I106" s="405">
        <f>'Rate Tables'!I124/(+Inputs!$D$113+$C106*Inputs!$D$107)-1</f>
        <v>0.19080996884735213</v>
      </c>
      <c r="J106" s="406">
        <f>'Rate Tables'!J124/(+Inputs!$D$114+$C106*Inputs!$D$108)-1</f>
        <v>0.14193548387096766</v>
      </c>
      <c r="K106" s="47"/>
    </row>
    <row r="107" spans="1:11" ht="15.75">
      <c r="A107" s="4"/>
      <c r="B107" s="74"/>
      <c r="C107" s="398">
        <v>10</v>
      </c>
      <c r="D107" s="399"/>
      <c r="E107" s="405">
        <f>'Rate Tables'!E125/(+Inputs!$D$112+$C107*Inputs!$D$103)-1</f>
        <v>0.16520723876240506</v>
      </c>
      <c r="F107" s="405">
        <f>'Rate Tables'!F125/(+Inputs!$D$112+$C107*Inputs!$D$104)-1</f>
        <v>0.18437963420662373</v>
      </c>
      <c r="G107" s="405">
        <f>'Rate Tables'!G125/(+Inputs!$D$112+$C107*Inputs!$D$105)-1</f>
        <v>0.1670120182345629</v>
      </c>
      <c r="H107" s="405">
        <f>'Rate Tables'!H125/(+Inputs!$D$112+$C107*Inputs!$D$106)-1</f>
        <v>0.1623755578441468</v>
      </c>
      <c r="I107" s="405">
        <f>'Rate Tables'!I125/(+Inputs!$D$113+$C107*Inputs!$D$107)-1</f>
        <v>0.19896065330363766</v>
      </c>
      <c r="J107" s="406">
        <f>'Rate Tables'!J125/(+Inputs!$D$114+$C107*Inputs!$D$108)-1</f>
        <v>0.14760914760914767</v>
      </c>
      <c r="K107" s="47"/>
    </row>
    <row r="108" spans="1:11" ht="15.75">
      <c r="A108" s="4"/>
      <c r="B108" s="74"/>
      <c r="C108" s="398">
        <v>11</v>
      </c>
      <c r="D108" s="399"/>
      <c r="E108" s="405">
        <f>'Rate Tables'!E126/(+Inputs!$D$112+$C108*Inputs!$D$103)-1</f>
        <v>0.16536312849162016</v>
      </c>
      <c r="F108" s="405">
        <f>'Rate Tables'!F126/(+Inputs!$D$112+$C108*Inputs!$D$104)-1</f>
        <v>0.18535898639136583</v>
      </c>
      <c r="G108" s="405">
        <f>'Rate Tables'!G126/(+Inputs!$D$112+$C108*Inputs!$D$105)-1</f>
        <v>0.16718750000000004</v>
      </c>
      <c r="H108" s="405">
        <f>'Rate Tables'!H126/(+Inputs!$D$112+$C108*Inputs!$D$106)-1</f>
        <v>0.162379421221865</v>
      </c>
      <c r="I108" s="405">
        <f>'Rate Tables'!I126/(+Inputs!$D$113+$C108*Inputs!$D$107)-1</f>
        <v>0.20638297872340416</v>
      </c>
      <c r="J108" s="406">
        <f>'Rate Tables'!J126/(+Inputs!$D$114+$C108*Inputs!$D$108)-1</f>
        <v>0.1529175050301812</v>
      </c>
      <c r="K108" s="47"/>
    </row>
    <row r="109" spans="1:11" ht="15.75">
      <c r="A109" s="4"/>
      <c r="B109" s="74"/>
      <c r="C109" s="398">
        <v>12</v>
      </c>
      <c r="D109" s="399"/>
      <c r="E109" s="405">
        <f>'Rate Tables'!E127/(+Inputs!$D$112+$C109*Inputs!$D$103)-1</f>
        <v>0.16550615961435478</v>
      </c>
      <c r="F109" s="405">
        <f>'Rate Tables'!F127/(+Inputs!$D$112+$C109*Inputs!$D$104)-1</f>
        <v>0.18624385886556505</v>
      </c>
      <c r="G109" s="405">
        <f>'Rate Tables'!G127/(+Inputs!$D$112+$C109*Inputs!$D$105)-1</f>
        <v>0.16734392316217228</v>
      </c>
      <c r="H109" s="405">
        <f>'Rate Tables'!H127/(+Inputs!$D$112+$C109*Inputs!$D$106)-1</f>
        <v>0.16238282431206552</v>
      </c>
      <c r="I109" s="405">
        <f>'Rate Tables'!I127/(+Inputs!$D$113+$C109*Inputs!$D$107)-1</f>
        <v>0.21317040054310943</v>
      </c>
      <c r="J109" s="406">
        <f>'Rate Tables'!J127/(+Inputs!$D$114+$C109*Inputs!$D$108)-1</f>
        <v>0.1578947368421053</v>
      </c>
      <c r="K109" s="47"/>
    </row>
    <row r="110" spans="1:11" ht="15.75">
      <c r="A110" s="4"/>
      <c r="B110" s="74"/>
      <c r="C110" s="398">
        <v>13</v>
      </c>
      <c r="D110" s="399"/>
      <c r="E110" s="405">
        <f>'Rate Tables'!E128/(+Inputs!$D$112+$C110*Inputs!$D$103)-1</f>
        <v>0.16563786008230452</v>
      </c>
      <c r="F110" s="405">
        <f>'Rate Tables'!F128/(+Inputs!$D$112+$C110*Inputs!$D$104)-1</f>
        <v>0.1870472944184065</v>
      </c>
      <c r="G110" s="405">
        <f>'Rate Tables'!G128/(+Inputs!$D$112+$C110*Inputs!$D$105)-1</f>
        <v>0.1674842326559216</v>
      </c>
      <c r="H110" s="405">
        <f>'Rate Tables'!H128/(+Inputs!$D$112+$C110*Inputs!$D$106)-1</f>
        <v>0.16238584474885864</v>
      </c>
      <c r="I110" s="405">
        <f>'Rate Tables'!I128/(+Inputs!$D$113+$C110*Inputs!$D$107)-1</f>
        <v>0.21940104166666652</v>
      </c>
      <c r="J110" s="406">
        <f>'Rate Tables'!J128/(+Inputs!$D$114+$C110*Inputs!$D$108)-1</f>
        <v>0.16257088846880907</v>
      </c>
      <c r="K110" s="47"/>
    </row>
    <row r="111" spans="1:11" ht="15.75">
      <c r="A111" s="4"/>
      <c r="B111" s="74"/>
      <c r="C111" s="398">
        <v>14</v>
      </c>
      <c r="D111" s="399"/>
      <c r="E111" s="405">
        <f>'Rate Tables'!E129/(+Inputs!$D$112+$C111*Inputs!$D$103)-1</f>
        <v>0.1657595249876298</v>
      </c>
      <c r="F111" s="405">
        <f>'Rate Tables'!F129/(+Inputs!$D$112+$C111*Inputs!$D$104)-1</f>
        <v>0.18778004073319776</v>
      </c>
      <c r="G111" s="405">
        <f>'Rate Tables'!G129/(+Inputs!$D$112+$C111*Inputs!$D$105)-1</f>
        <v>0.1676107964011997</v>
      </c>
      <c r="H111" s="405">
        <f>'Rate Tables'!H129/(+Inputs!$D$112+$C111*Inputs!$D$106)-1</f>
        <v>0.16238854363685484</v>
      </c>
      <c r="I111" s="405">
        <f>'Rate Tables'!I129/(+Inputs!$D$113+$C111*Inputs!$D$107)-1</f>
        <v>0.22514071294559113</v>
      </c>
      <c r="J111" s="406">
        <f>'Rate Tables'!J129/(+Inputs!$D$114+$C111*Inputs!$D$108)-1</f>
        <v>0.16697247706422025</v>
      </c>
      <c r="K111" s="47"/>
    </row>
    <row r="112" spans="1:11" ht="15.75">
      <c r="A112" s="4"/>
      <c r="B112" s="74"/>
      <c r="C112" s="398">
        <v>15</v>
      </c>
      <c r="D112" s="399"/>
      <c r="E112" s="405">
        <f>'Rate Tables'!E130/(+Inputs!$D$112+$C112*Inputs!$D$103)-1</f>
        <v>0.16587225929456628</v>
      </c>
      <c r="F112" s="405">
        <f>'Rate Tables'!F130/(+Inputs!$D$112+$C112*Inputs!$D$104)-1</f>
        <v>0.1884510339445964</v>
      </c>
      <c r="G112" s="405">
        <f>'Rate Tables'!G130/(+Inputs!$D$112+$C112*Inputs!$D$105)-1</f>
        <v>0.16772554002541273</v>
      </c>
      <c r="H112" s="405">
        <f>'Rate Tables'!H130/(+Inputs!$D$112+$C112*Inputs!$D$106)-1</f>
        <v>0.16239096972806588</v>
      </c>
      <c r="I112" s="405">
        <f>'Rate Tables'!I130/(+Inputs!$D$113+$C112*Inputs!$D$107)-1</f>
        <v>0.23044524669073407</v>
      </c>
      <c r="J112" s="406">
        <f>'Rate Tables'!J130/(+Inputs!$D$114+$C112*Inputs!$D$108)-1</f>
        <v>0.17112299465240666</v>
      </c>
      <c r="K112" s="47"/>
    </row>
    <row r="113" spans="1:10" ht="16.5" thickBot="1">
      <c r="A113" s="179"/>
      <c r="B113" s="295"/>
      <c r="C113" s="402"/>
      <c r="D113" s="403"/>
      <c r="E113" s="393"/>
      <c r="F113" s="393"/>
      <c r="G113" s="394"/>
      <c r="H113" s="395"/>
      <c r="I113" s="395"/>
      <c r="J113" s="345"/>
    </row>
    <row r="114" spans="1:10" ht="12.75">
      <c r="A114" s="62"/>
      <c r="B114" s="39"/>
      <c r="C114" s="225"/>
      <c r="D114" s="225"/>
      <c r="E114" s="225"/>
      <c r="F114" s="225"/>
      <c r="G114" s="225"/>
      <c r="H114" s="225"/>
      <c r="I114" s="225"/>
      <c r="J114" s="226"/>
    </row>
    <row r="115" spans="1:10" ht="15.75">
      <c r="A115" s="63"/>
      <c r="B115" s="41"/>
      <c r="C115" s="203" t="s">
        <v>811</v>
      </c>
      <c r="D115" s="203"/>
      <c r="E115" s="227"/>
      <c r="F115" s="227"/>
      <c r="G115" s="227"/>
      <c r="H115" s="309"/>
      <c r="I115" s="227"/>
      <c r="J115" s="228"/>
    </row>
    <row r="116" spans="1:10" ht="13.5" thickBot="1">
      <c r="A116" s="63"/>
      <c r="B116" s="41"/>
      <c r="C116" s="229"/>
      <c r="D116" s="404"/>
      <c r="E116" s="230"/>
      <c r="F116" s="230"/>
      <c r="G116" s="230"/>
      <c r="H116" s="230"/>
      <c r="I116" s="230"/>
      <c r="J116" s="231"/>
    </row>
    <row r="117" spans="1:10" ht="13.5" thickTop="1">
      <c r="A117" s="63"/>
      <c r="B117" s="41"/>
      <c r="C117" s="227" t="s">
        <v>653</v>
      </c>
      <c r="D117" s="227"/>
      <c r="E117" s="227"/>
      <c r="F117" s="227"/>
      <c r="G117" s="227"/>
      <c r="H117" s="227"/>
      <c r="I117" s="227"/>
      <c r="J117" s="228"/>
    </row>
    <row r="118" spans="1:10" ht="12.75">
      <c r="A118" s="63"/>
      <c r="B118" s="41"/>
      <c r="C118" s="227" t="s">
        <v>526</v>
      </c>
      <c r="D118" s="227"/>
      <c r="E118" s="227"/>
      <c r="F118" s="227"/>
      <c r="G118" s="227"/>
      <c r="H118" s="227"/>
      <c r="I118" s="227"/>
      <c r="J118" s="228"/>
    </row>
    <row r="119" spans="1:10" ht="12.75">
      <c r="A119" s="63"/>
      <c r="B119" s="41"/>
      <c r="C119" s="227" t="s">
        <v>228</v>
      </c>
      <c r="D119" s="227"/>
      <c r="E119" s="227"/>
      <c r="F119" s="227"/>
      <c r="G119" s="227"/>
      <c r="H119" s="227"/>
      <c r="I119" s="227"/>
      <c r="J119" s="228"/>
    </row>
    <row r="120" spans="1:10" ht="12.75">
      <c r="A120" s="63"/>
      <c r="B120" s="41"/>
      <c r="C120" s="227" t="s">
        <v>227</v>
      </c>
      <c r="D120" s="227"/>
      <c r="E120" s="227"/>
      <c r="F120" s="227"/>
      <c r="G120" s="227"/>
      <c r="H120" s="227"/>
      <c r="I120" s="227"/>
      <c r="J120" s="228"/>
    </row>
    <row r="121" spans="1:10" ht="12.75">
      <c r="A121" s="63"/>
      <c r="B121" s="41"/>
      <c r="C121" s="227" t="s">
        <v>528</v>
      </c>
      <c r="D121" s="227"/>
      <c r="E121" s="227"/>
      <c r="F121" s="227"/>
      <c r="G121" s="227"/>
      <c r="H121" s="227"/>
      <c r="I121" s="227"/>
      <c r="J121" s="228"/>
    </row>
    <row r="122" spans="1:10" ht="12.75">
      <c r="A122" s="63"/>
      <c r="B122" s="41"/>
      <c r="C122" s="227" t="s">
        <v>526</v>
      </c>
      <c r="D122" s="227"/>
      <c r="E122" s="227"/>
      <c r="F122" s="227"/>
      <c r="G122" s="227"/>
      <c r="H122" s="227"/>
      <c r="I122" s="227"/>
      <c r="J122" s="228"/>
    </row>
    <row r="123" spans="1:10" ht="12.75">
      <c r="A123" s="63"/>
      <c r="B123" s="41"/>
      <c r="C123" s="227" t="s">
        <v>229</v>
      </c>
      <c r="D123" s="227"/>
      <c r="E123" s="227"/>
      <c r="F123" s="227"/>
      <c r="G123" s="227"/>
      <c r="H123" s="227"/>
      <c r="I123" s="227"/>
      <c r="J123" s="228"/>
    </row>
    <row r="124" spans="1:10" ht="12.75">
      <c r="A124" s="63"/>
      <c r="B124" s="41"/>
      <c r="C124" s="227" t="s">
        <v>230</v>
      </c>
      <c r="D124" s="227"/>
      <c r="E124" s="227"/>
      <c r="F124" s="227"/>
      <c r="G124" s="227"/>
      <c r="H124" s="227"/>
      <c r="I124" s="227"/>
      <c r="J124" s="228"/>
    </row>
    <row r="125" spans="1:10" ht="12.75">
      <c r="A125" s="63"/>
      <c r="B125" s="41"/>
      <c r="C125" s="227" t="s">
        <v>652</v>
      </c>
      <c r="D125" s="227"/>
      <c r="E125" s="227"/>
      <c r="F125" s="227"/>
      <c r="G125" s="227"/>
      <c r="H125" s="227"/>
      <c r="I125" s="227"/>
      <c r="J125" s="228"/>
    </row>
    <row r="126" spans="1:10" ht="12.75">
      <c r="A126" s="63"/>
      <c r="B126" s="41"/>
      <c r="C126" s="227" t="s">
        <v>530</v>
      </c>
      <c r="D126" s="227"/>
      <c r="E126" s="227"/>
      <c r="F126" s="227"/>
      <c r="G126" s="227"/>
      <c r="H126" s="227"/>
      <c r="I126" s="227"/>
      <c r="J126" s="228"/>
    </row>
    <row r="127" spans="1:10" ht="12.75">
      <c r="A127" s="63"/>
      <c r="B127" s="41"/>
      <c r="C127" s="227" t="s">
        <v>526</v>
      </c>
      <c r="D127" s="227"/>
      <c r="E127" s="227"/>
      <c r="F127" s="227"/>
      <c r="G127" s="227"/>
      <c r="H127" s="227"/>
      <c r="I127" s="227"/>
      <c r="J127" s="228"/>
    </row>
    <row r="128" spans="1:10" ht="12.75">
      <c r="A128" s="63"/>
      <c r="B128" s="41"/>
      <c r="C128" s="227" t="s">
        <v>231</v>
      </c>
      <c r="D128" s="227"/>
      <c r="E128" s="227"/>
      <c r="F128" s="227"/>
      <c r="G128" s="227"/>
      <c r="H128" s="227"/>
      <c r="I128" s="227"/>
      <c r="J128" s="228"/>
    </row>
    <row r="129" spans="1:10" ht="12.75">
      <c r="A129" s="63"/>
      <c r="B129" s="41"/>
      <c r="C129" s="227" t="s">
        <v>230</v>
      </c>
      <c r="D129" s="227"/>
      <c r="E129" s="227"/>
      <c r="F129" s="227"/>
      <c r="G129" s="227"/>
      <c r="H129" s="227"/>
      <c r="I129" s="227"/>
      <c r="J129" s="228"/>
    </row>
    <row r="130" spans="1:10" ht="12.75">
      <c r="A130" s="63"/>
      <c r="B130" s="41"/>
      <c r="C130" s="227" t="s">
        <v>652</v>
      </c>
      <c r="D130" s="227"/>
      <c r="E130" s="227"/>
      <c r="F130" s="227"/>
      <c r="G130" s="227"/>
      <c r="H130" s="227"/>
      <c r="I130" s="227"/>
      <c r="J130" s="228"/>
    </row>
    <row r="131" spans="1:10" ht="12.75">
      <c r="A131" s="63"/>
      <c r="B131" s="41"/>
      <c r="C131" s="227"/>
      <c r="D131" s="227"/>
      <c r="E131" s="227"/>
      <c r="F131" s="227"/>
      <c r="G131" s="227"/>
      <c r="H131" s="227"/>
      <c r="I131" s="227"/>
      <c r="J131" s="228"/>
    </row>
    <row r="132" spans="1:10" ht="13.5" thickBot="1">
      <c r="A132" s="21"/>
      <c r="B132" s="43"/>
      <c r="C132" s="233"/>
      <c r="D132" s="233"/>
      <c r="E132" s="233"/>
      <c r="F132" s="233"/>
      <c r="G132" s="233"/>
      <c r="H132" s="233"/>
      <c r="I132" s="233"/>
      <c r="J132" s="234"/>
    </row>
    <row r="135" ht="13.5" thickBot="1"/>
    <row r="136" spans="1:11" ht="15">
      <c r="A136" s="173"/>
      <c r="B136" s="174"/>
      <c r="C136" s="175"/>
      <c r="D136" s="175"/>
      <c r="E136" s="175"/>
      <c r="F136" s="175"/>
      <c r="G136" s="175"/>
      <c r="H136" s="175"/>
      <c r="I136" s="175"/>
      <c r="J136" s="175"/>
      <c r="K136" s="176"/>
    </row>
    <row r="137" spans="1:11" ht="15.75">
      <c r="A137" s="4"/>
      <c r="B137" s="5"/>
      <c r="C137" s="23"/>
      <c r="D137" s="23"/>
      <c r="E137" s="23"/>
      <c r="F137" s="23"/>
      <c r="G137" s="23"/>
      <c r="H137" s="23"/>
      <c r="I137" s="23"/>
      <c r="J137" s="36"/>
      <c r="K137" s="665" t="s">
        <v>591</v>
      </c>
    </row>
    <row r="138" spans="1:11" ht="15.75">
      <c r="A138" s="4"/>
      <c r="B138" s="5"/>
      <c r="C138" s="23"/>
      <c r="D138" s="23"/>
      <c r="E138" s="23"/>
      <c r="F138" s="23"/>
      <c r="G138" s="23"/>
      <c r="H138" s="23"/>
      <c r="I138" s="23"/>
      <c r="J138" s="36"/>
      <c r="K138" s="665" t="s">
        <v>795</v>
      </c>
    </row>
    <row r="139" spans="1:11" ht="21">
      <c r="A139" s="692" t="s">
        <v>751</v>
      </c>
      <c r="B139" s="693"/>
      <c r="C139" s="693"/>
      <c r="D139" s="693"/>
      <c r="E139" s="693"/>
      <c r="F139" s="693"/>
      <c r="G139" s="693"/>
      <c r="H139" s="693"/>
      <c r="I139" s="693"/>
      <c r="J139" s="693"/>
      <c r="K139" s="694"/>
    </row>
    <row r="140" spans="1:11" ht="15.75" thickBot="1">
      <c r="A140" s="15"/>
      <c r="B140" s="11"/>
      <c r="C140" s="11"/>
      <c r="D140" s="11"/>
      <c r="E140" s="11"/>
      <c r="F140" s="11"/>
      <c r="G140" s="11"/>
      <c r="H140" s="11"/>
      <c r="I140" s="11"/>
      <c r="J140" s="11"/>
      <c r="K140" s="13"/>
    </row>
    <row r="141" spans="1:11" ht="16.5" thickTop="1">
      <c r="A141" s="4"/>
      <c r="B141" s="178"/>
      <c r="C141" s="156"/>
      <c r="D141" s="149"/>
      <c r="E141" s="127"/>
      <c r="F141" s="149"/>
      <c r="G141" s="149"/>
      <c r="H141" s="149"/>
      <c r="I141" s="149"/>
      <c r="J141" s="149"/>
      <c r="K141" s="128"/>
    </row>
    <row r="142" spans="1:11" ht="15.75">
      <c r="A142" s="4"/>
      <c r="B142" s="14"/>
      <c r="C142" s="156"/>
      <c r="D142" s="149"/>
      <c r="E142" s="154"/>
      <c r="F142" s="82"/>
      <c r="G142" s="82"/>
      <c r="H142" s="82"/>
      <c r="I142" s="82"/>
      <c r="J142" s="82"/>
      <c r="K142" s="160"/>
    </row>
    <row r="143" spans="1:11" ht="15.75">
      <c r="A143" s="4"/>
      <c r="B143" s="178"/>
      <c r="C143" s="702" t="s">
        <v>853</v>
      </c>
      <c r="D143" s="703"/>
      <c r="E143" s="157"/>
      <c r="F143" s="157"/>
      <c r="G143" s="157"/>
      <c r="H143" s="157"/>
      <c r="I143" s="127"/>
      <c r="J143" s="237"/>
      <c r="K143" s="193"/>
    </row>
    <row r="144" spans="1:11" ht="15.75">
      <c r="A144" s="4"/>
      <c r="B144" s="178"/>
      <c r="C144" s="702" t="s">
        <v>799</v>
      </c>
      <c r="D144" s="703"/>
      <c r="E144" s="157" t="s">
        <v>855</v>
      </c>
      <c r="F144" s="157" t="s">
        <v>856</v>
      </c>
      <c r="G144" s="157" t="s">
        <v>857</v>
      </c>
      <c r="H144" s="157" t="s">
        <v>858</v>
      </c>
      <c r="I144" s="127" t="s">
        <v>859</v>
      </c>
      <c r="J144" s="157" t="s">
        <v>860</v>
      </c>
      <c r="K144" s="193" t="s">
        <v>861</v>
      </c>
    </row>
    <row r="145" spans="1:11" ht="15.75">
      <c r="A145" s="4"/>
      <c r="B145" s="178"/>
      <c r="C145" s="718" t="s">
        <v>800</v>
      </c>
      <c r="D145" s="720"/>
      <c r="E145" s="269"/>
      <c r="F145" s="158"/>
      <c r="G145" s="158"/>
      <c r="H145" s="158"/>
      <c r="I145" s="159"/>
      <c r="J145" s="158"/>
      <c r="K145" s="194"/>
    </row>
    <row r="146" spans="1:11" ht="15.75">
      <c r="A146" s="4"/>
      <c r="B146" s="178"/>
      <c r="C146" s="396"/>
      <c r="D146" s="397"/>
      <c r="E146" s="299"/>
      <c r="F146" s="279"/>
      <c r="G146" s="280"/>
      <c r="H146" s="273"/>
      <c r="I146" s="273"/>
      <c r="J146" s="273"/>
      <c r="K146" s="283"/>
    </row>
    <row r="147" spans="1:11" ht="15.75">
      <c r="A147" s="4"/>
      <c r="B147" s="178"/>
      <c r="C147" s="396">
        <v>1.5</v>
      </c>
      <c r="D147" s="397"/>
      <c r="E147" s="405">
        <f>'Rate Tables'!E174/(+Inputs!$D$111+$C147*Inputs!$D$95-Inputs!$D$117)-1</f>
        <v>0.1956954962136308</v>
      </c>
      <c r="F147" s="405">
        <f>+'Rate Tables'!F174/(+Inputs!$D$111+$C147*Inputs!$D$96-Inputs!$D$117)-1</f>
        <v>0.1939487975174552</v>
      </c>
      <c r="G147" s="405">
        <f>'Rate Tables'!G174/(+Inputs!$D$111+$C147*Inputs!$D$97-Inputs!$D$117)-1</f>
        <v>0.19554730983302404</v>
      </c>
      <c r="H147" s="405">
        <f>'Rate Tables'!H174/(+Inputs!$D$111+$C147*Inputs!$D$98-Inputs!$D$117)-1</f>
        <v>0.18800420904945625</v>
      </c>
      <c r="I147" s="405">
        <f>'Rate Tables'!I174/(+Inputs!$D$111+$C147*Inputs!$D$99-Inputs!$D$117)-1</f>
        <v>0.1892251413368804</v>
      </c>
      <c r="J147" s="405">
        <f>'Rate Tables'!J174/(+Inputs!$D$111+$C147*Inputs!$D$100-Inputs!$D$117)-1</f>
        <v>0.16380118787120956</v>
      </c>
      <c r="K147" s="406">
        <f>'Rate Tables'!K174/(+Inputs!$D$111+$C147*Inputs!$D$101-Inputs!$D$117)-1</f>
        <v>0.1509859154929578</v>
      </c>
    </row>
    <row r="148" spans="1:11" ht="15.75">
      <c r="A148" s="4"/>
      <c r="B148" s="74"/>
      <c r="C148" s="396">
        <v>2</v>
      </c>
      <c r="D148" s="397"/>
      <c r="E148" s="405">
        <f>'Rate Tables'!E175/(+Inputs!$D$111+$C148*Inputs!$D$95-Inputs!$D$117)-1</f>
        <v>0.2019969278033793</v>
      </c>
      <c r="F148" s="405">
        <f>+'Rate Tables'!F175/(+Inputs!$D$111+$C148*Inputs!$D$96-Inputs!$D$117)-1</f>
        <v>0.19955489614243316</v>
      </c>
      <c r="G148" s="405">
        <f>'Rate Tables'!G175/(+Inputs!$D$111+$C148*Inputs!$D$97-Inputs!$D$117)-1</f>
        <v>0.20126227208976144</v>
      </c>
      <c r="H148" s="405">
        <f>'Rate Tables'!H175/(+Inputs!$D$111+$C148*Inputs!$D$98-Inputs!$D$117)-1</f>
        <v>0.1915032679738562</v>
      </c>
      <c r="I148" s="405">
        <f>'Rate Tables'!I175/(+Inputs!$D$111+$C148*Inputs!$D$99-Inputs!$D$117)-1</f>
        <v>0.1927784577723377</v>
      </c>
      <c r="J148" s="405">
        <f>'Rate Tables'!J175/(+Inputs!$D$111+$C148*Inputs!$D$100-Inputs!$D$117)-1</f>
        <v>0.1617480136208851</v>
      </c>
      <c r="K148" s="406">
        <f>'Rate Tables'!K175/(+Inputs!$D$111+$C148*Inputs!$D$101-Inputs!$D$117)-1</f>
        <v>0.14679358717434865</v>
      </c>
    </row>
    <row r="149" spans="1:11" ht="15.75">
      <c r="A149" s="4"/>
      <c r="B149" s="74"/>
      <c r="C149" s="398">
        <v>2.5</v>
      </c>
      <c r="D149" s="399"/>
      <c r="E149" s="405">
        <f>'Rate Tables'!E176/(+Inputs!$D$111+$C149*Inputs!$D$95-Inputs!$D$117)-1</f>
        <v>0.2078547610226007</v>
      </c>
      <c r="F149" s="405">
        <f>+'Rate Tables'!F176/(+Inputs!$D$111+$C149*Inputs!$D$96-Inputs!$D$117)-1</f>
        <v>0.20469083155650303</v>
      </c>
      <c r="G149" s="405">
        <f>'Rate Tables'!G176/(+Inputs!$D$111+$C149*Inputs!$D$97-Inputs!$D$117)-1</f>
        <v>0.2063808574277166</v>
      </c>
      <c r="H149" s="405">
        <f>'Rate Tables'!H176/(+Inputs!$D$111+$C149*Inputs!$D$98-Inputs!$D$117)-1</f>
        <v>0.19455490975833567</v>
      </c>
      <c r="I149" s="405">
        <f>'Rate Tables'!I176/(+Inputs!$D$111+$C149*Inputs!$D$99-Inputs!$D$117)-1</f>
        <v>0.1958061773873616</v>
      </c>
      <c r="J149" s="405">
        <f>'Rate Tables'!J176/(+Inputs!$D$111+$C149*Inputs!$D$100-Inputs!$D$117)-1</f>
        <v>0.16004156923876312</v>
      </c>
      <c r="K149" s="406">
        <f>'Rate Tables'!K176/(+Inputs!$D$111+$C149*Inputs!$D$101-Inputs!$D$117)-1</f>
        <v>0.14343707713125853</v>
      </c>
    </row>
    <row r="150" spans="1:11" ht="15.75">
      <c r="A150" s="4"/>
      <c r="B150" s="74"/>
      <c r="C150" s="398">
        <v>3</v>
      </c>
      <c r="D150" s="399"/>
      <c r="E150" s="405">
        <f>'Rate Tables'!E177/(+Inputs!$D$111+$C150*Inputs!$D$95-Inputs!$D$117)-1</f>
        <v>0.21331424481030758</v>
      </c>
      <c r="F150" s="405">
        <f>+'Rate Tables'!F177/(+Inputs!$D$111+$C150*Inputs!$D$96-Inputs!$D$117)-1</f>
        <v>0.20941336971350588</v>
      </c>
      <c r="G150" s="405">
        <f>'Rate Tables'!G177/(+Inputs!$D$111+$C150*Inputs!$D$97-Inputs!$D$117)-1</f>
        <v>0.21099178774478822</v>
      </c>
      <c r="H150" s="405">
        <f>'Rate Tables'!H177/(+Inputs!$D$111+$C150*Inputs!$D$98-Inputs!$D$117)-1</f>
        <v>0.19723979298447358</v>
      </c>
      <c r="I150" s="405">
        <f>'Rate Tables'!I177/(+Inputs!$D$111+$C150*Inputs!$D$99-Inputs!$D$117)-1</f>
        <v>0.19841688654353562</v>
      </c>
      <c r="J150" s="405">
        <f>'Rate Tables'!J177/(+Inputs!$D$111+$C150*Inputs!$D$100-Inputs!$D$117)-1</f>
        <v>0.15860086248203165</v>
      </c>
      <c r="K150" s="406">
        <f>'Rate Tables'!K177/(+Inputs!$D$111+$C150*Inputs!$D$101-Inputs!$D$117)-1</f>
        <v>0.1406890894175552</v>
      </c>
    </row>
    <row r="151" spans="1:11" ht="15.75">
      <c r="A151" s="4"/>
      <c r="B151" s="74"/>
      <c r="C151" s="398">
        <v>3.5</v>
      </c>
      <c r="D151" s="399"/>
      <c r="E151" s="405">
        <f>'Rate Tables'!E178/(+Inputs!$D$111+$C151*Inputs!$D$95-Inputs!$D$117)-1</f>
        <v>0.21841467635860146</v>
      </c>
      <c r="F151" s="405">
        <f>+'Rate Tables'!F178/(+Inputs!$D$111+$C151*Inputs!$D$96-Inputs!$D$117)-1</f>
        <v>0.21377049180327856</v>
      </c>
      <c r="G151" s="405">
        <f>'Rate Tables'!G178/(+Inputs!$D$111+$C151*Inputs!$D$97-Inputs!$D$117)-1</f>
        <v>0.21516701775504066</v>
      </c>
      <c r="H151" s="405">
        <f>'Rate Tables'!H178/(+Inputs!$D$111+$C151*Inputs!$D$98-Inputs!$D$117)-1</f>
        <v>0.19962028749660954</v>
      </c>
      <c r="I151" s="405">
        <f>'Rate Tables'!I178/(+Inputs!$D$111+$C151*Inputs!$D$99-Inputs!$D$117)-1</f>
        <v>0.20069118736114522</v>
      </c>
      <c r="J151" s="405">
        <f>'Rate Tables'!J178/(+Inputs!$D$111+$C151*Inputs!$D$100-Inputs!$D$117)-1</f>
        <v>0.15736830406757063</v>
      </c>
      <c r="K151" s="406">
        <f>'Rate Tables'!K178/(+Inputs!$D$111+$C151*Inputs!$D$101-Inputs!$D$117)-1</f>
        <v>0.13839789394509205</v>
      </c>
    </row>
    <row r="152" spans="1:11" ht="18" customHeight="1">
      <c r="A152" s="4"/>
      <c r="B152" s="74"/>
      <c r="C152" s="398">
        <v>4</v>
      </c>
      <c r="D152" s="399"/>
      <c r="E152" s="405">
        <f>'Rate Tables'!E179/(+Inputs!$D$111+$C152*Inputs!$D$95-Inputs!$D$117)-1</f>
        <v>0.22319034852546915</v>
      </c>
      <c r="F152" s="405">
        <f>+'Rate Tables'!F179/(+Inputs!$D$111+$C152*Inputs!$D$96-Inputs!$D$117)-1</f>
        <v>0.21780303030303005</v>
      </c>
      <c r="G152" s="405">
        <f>'Rate Tables'!G179/(+Inputs!$D$111+$C152*Inputs!$D$97-Inputs!$D$117)-1</f>
        <v>0.21896551724137914</v>
      </c>
      <c r="H152" s="405">
        <f>'Rate Tables'!H179/(+Inputs!$D$111+$C152*Inputs!$D$98-Inputs!$D$117)-1</f>
        <v>0.20174537987679675</v>
      </c>
      <c r="I152" s="405">
        <f>'Rate Tables'!I179/(+Inputs!$D$111+$C152*Inputs!$D$99-Inputs!$D$117)-1</f>
        <v>0.20269016697588116</v>
      </c>
      <c r="J152" s="405">
        <f>'Rate Tables'!J179/(+Inputs!$D$111+$C152*Inputs!$D$100-Inputs!$D$117)-1</f>
        <v>0.15630182421227157</v>
      </c>
      <c r="K152" s="406">
        <f>'Rate Tables'!K179/(+Inputs!$D$111+$C152*Inputs!$D$101-Inputs!$D$117)-1</f>
        <v>0.13645833333333313</v>
      </c>
    </row>
    <row r="153" spans="1:11" ht="15.75">
      <c r="A153" s="4"/>
      <c r="B153" s="74"/>
      <c r="C153" s="398">
        <v>4.5</v>
      </c>
      <c r="D153" s="399"/>
      <c r="E153" s="405">
        <f>'Rate Tables'!E180/(+Inputs!$D$111+$C153*Inputs!$D$95-Inputs!$D$117)-1</f>
        <v>0.22767132185774597</v>
      </c>
      <c r="F153" s="405">
        <f>+'Rate Tables'!F180/(+Inputs!$D$111+$C153*Inputs!$D$96-Inputs!$D$117)-1</f>
        <v>0.22154595252586717</v>
      </c>
      <c r="G153" s="405">
        <f>'Rate Tables'!G180/(+Inputs!$D$111+$C153*Inputs!$D$97-Inputs!$D$117)-1</f>
        <v>0.2224360736871045</v>
      </c>
      <c r="H153" s="405">
        <f>'Rate Tables'!H180/(+Inputs!$D$111+$C153*Inputs!$D$98-Inputs!$D$117)-1</f>
        <v>0.2036540803897684</v>
      </c>
      <c r="I153" s="405">
        <f>'Rate Tables'!I180/(+Inputs!$D$111+$C153*Inputs!$D$99-Inputs!$D$117)-1</f>
        <v>0.2044609665427508</v>
      </c>
      <c r="J153" s="405">
        <f>'Rate Tables'!J180/(+Inputs!$D$111+$C153*Inputs!$D$100-Inputs!$D$117)-1</f>
        <v>0.15536997475237913</v>
      </c>
      <c r="K153" s="406">
        <f>'Rate Tables'!K180/(+Inputs!$D$111+$C153*Inputs!$D$101-Inputs!$D$117)-1</f>
        <v>0.13479522734601734</v>
      </c>
    </row>
    <row r="154" spans="1:11" ht="15.75">
      <c r="A154" s="4"/>
      <c r="B154" s="74"/>
      <c r="C154" s="398">
        <v>5</v>
      </c>
      <c r="D154" s="399"/>
      <c r="E154" s="405">
        <f>'Rate Tables'!E181/(+Inputs!$D$111+$C154*Inputs!$D$95-Inputs!$D$117)-1</f>
        <v>0.2318840579710144</v>
      </c>
      <c r="F154" s="405">
        <f>+'Rate Tables'!F181/(+Inputs!$D$111+$C154*Inputs!$D$96-Inputs!$D$117)-1</f>
        <v>0.2250293772032903</v>
      </c>
      <c r="G154" s="405">
        <f>'Rate Tables'!G181/(+Inputs!$D$111+$C154*Inputs!$D$97-Inputs!$D$117)-1</f>
        <v>0.22561939905113326</v>
      </c>
      <c r="H154" s="405">
        <f>'Rate Tables'!H181/(+Inputs!$D$111+$C154*Inputs!$D$98-Inputs!$D$117)-1</f>
        <v>0.20537783959202582</v>
      </c>
      <c r="I154" s="405">
        <f>'Rate Tables'!I181/(+Inputs!$D$111+$C154*Inputs!$D$99-Inputs!$D$117)-1</f>
        <v>0.20604054613156797</v>
      </c>
      <c r="J154" s="405">
        <f>'Rate Tables'!J181/(+Inputs!$D$111+$C154*Inputs!$D$100-Inputs!$D$117)-1</f>
        <v>0.154548776032152</v>
      </c>
      <c r="K154" s="406">
        <f>'Rate Tables'!K181/(+Inputs!$D$111+$C154*Inputs!$D$101-Inputs!$D$117)-1</f>
        <v>0.13335340156532194</v>
      </c>
    </row>
    <row r="155" spans="1:11" ht="15.75">
      <c r="A155" s="4"/>
      <c r="B155" s="74"/>
      <c r="C155" s="398">
        <v>6</v>
      </c>
      <c r="D155" s="399"/>
      <c r="E155" s="405">
        <f>'Rate Tables'!E182/(+Inputs!$D$111+$C155*Inputs!$D$95-Inputs!$D$117)-1</f>
        <v>0.23959571938168822</v>
      </c>
      <c r="F155" s="405">
        <f>+'Rate Tables'!F182/(+Inputs!$D$111+$C155*Inputs!$D$96-Inputs!$D$117)-1</f>
        <v>0.23131868131868116</v>
      </c>
      <c r="G155" s="405">
        <f>'Rate Tables'!G182/(+Inputs!$D$111+$C155*Inputs!$D$97-Inputs!$D$117)-1</f>
        <v>0.2312560856864656</v>
      </c>
      <c r="H155" s="405">
        <f>'Rate Tables'!H182/(+Inputs!$D$111+$C155*Inputs!$D$98-Inputs!$D$117)-1</f>
        <v>0.20836855452240055</v>
      </c>
      <c r="I155" s="405">
        <f>'Rate Tables'!I182/(+Inputs!$D$111+$C155*Inputs!$D$99-Inputs!$D$117)-1</f>
        <v>0.2087378640776698</v>
      </c>
      <c r="J155" s="405">
        <f>'Rate Tables'!J182/(+Inputs!$D$111+$C155*Inputs!$D$100-Inputs!$D$117)-1</f>
        <v>0.15316786414108408</v>
      </c>
      <c r="K155" s="406">
        <f>'Rate Tables'!K182/(+Inputs!$D$111+$C155*Inputs!$D$101-Inputs!$D$117)-1</f>
        <v>0.13097768331562154</v>
      </c>
    </row>
    <row r="156" spans="1:11" ht="15.75">
      <c r="A156" s="4"/>
      <c r="B156" s="74"/>
      <c r="C156" s="398">
        <v>7</v>
      </c>
      <c r="D156" s="399"/>
      <c r="E156" s="405">
        <f>'Rate Tables'!E183/(+Inputs!$D$111+$C156*Inputs!$D$95-Inputs!$D$117)-1</f>
        <v>0.2464828362408551</v>
      </c>
      <c r="F156" s="405">
        <f>+'Rate Tables'!F183/(+Inputs!$D$111+$C156*Inputs!$D$96-Inputs!$D$117)-1</f>
        <v>0.23684210526315796</v>
      </c>
      <c r="G156" s="405">
        <f>'Rate Tables'!G183/(+Inputs!$D$111+$C156*Inputs!$D$97-Inputs!$D$117)-1</f>
        <v>0.23609226594301203</v>
      </c>
      <c r="H156" s="405">
        <f>'Rate Tables'!H183/(+Inputs!$D$111+$C156*Inputs!$D$98-Inputs!$D$117)-1</f>
        <v>0.21087378640776722</v>
      </c>
      <c r="I156" s="405">
        <f>'Rate Tables'!I183/(+Inputs!$D$111+$C156*Inputs!$D$99-Inputs!$D$117)-1</f>
        <v>0.2109561075195645</v>
      </c>
      <c r="J156" s="405">
        <f>'Rate Tables'!J183/(+Inputs!$D$111+$C156*Inputs!$D$100-Inputs!$D$117)-1</f>
        <v>0.15205196338943017</v>
      </c>
      <c r="K156" s="406">
        <f>'Rate Tables'!K183/(+Inputs!$D$111+$C156*Inputs!$D$101-Inputs!$D$117)-1</f>
        <v>0.12910128388017128</v>
      </c>
    </row>
    <row r="157" spans="1:11" ht="15.75">
      <c r="A157" s="4"/>
      <c r="B157" s="74"/>
      <c r="C157" s="398">
        <v>8</v>
      </c>
      <c r="D157" s="399"/>
      <c r="E157" s="405">
        <f>'Rate Tables'!E184/(+Inputs!$D$111+$C157*Inputs!$D$95-Inputs!$D$117)-1</f>
        <v>0.25267094017093994</v>
      </c>
      <c r="F157" s="405">
        <f>+'Rate Tables'!F184/(+Inputs!$D$111+$C157*Inputs!$D$96-Inputs!$D$117)-1</f>
        <v>0.24173151750972766</v>
      </c>
      <c r="G157" s="405">
        <f>'Rate Tables'!G184/(+Inputs!$D$111+$C157*Inputs!$D$97-Inputs!$D$117)-1</f>
        <v>0.24028716216216206</v>
      </c>
      <c r="H157" s="405">
        <f>'Rate Tables'!H184/(+Inputs!$D$111+$C157*Inputs!$D$98-Inputs!$D$117)-1</f>
        <v>0.21300287356321812</v>
      </c>
      <c r="I157" s="405">
        <f>'Rate Tables'!I184/(+Inputs!$D$111+$C157*Inputs!$D$99-Inputs!$D$117)-1</f>
        <v>0.21281250000000007</v>
      </c>
      <c r="J157" s="405">
        <f>'Rate Tables'!J184/(+Inputs!$D$111+$C157*Inputs!$D$100-Inputs!$D$117)-1</f>
        <v>0.15113146551724133</v>
      </c>
      <c r="K157" s="406">
        <f>'Rate Tables'!K184/(+Inputs!$D$111+$C157*Inputs!$D$101-Inputs!$D$117)-1</f>
        <v>0.1275817555938037</v>
      </c>
    </row>
    <row r="158" spans="1:11" ht="15.75">
      <c r="A158" s="4"/>
      <c r="B158" s="74"/>
      <c r="C158" s="398">
        <v>9</v>
      </c>
      <c r="D158" s="399"/>
      <c r="E158" s="405">
        <f>'Rate Tables'!E185/(+Inputs!$D$111+$C158*Inputs!$D$95-Inputs!$D$117)-1</f>
        <v>0.2582613116420944</v>
      </c>
      <c r="F158" s="405">
        <f>+'Rate Tables'!F185/(+Inputs!$D$111+$C158*Inputs!$D$96-Inputs!$D$117)-1</f>
        <v>0.2460901563937441</v>
      </c>
      <c r="G158" s="405">
        <f>'Rate Tables'!G185/(+Inputs!$D$111+$C158*Inputs!$D$97-Inputs!$D$117)-1</f>
        <v>0.24396039603960396</v>
      </c>
      <c r="H158" s="405">
        <f>'Rate Tables'!H185/(+Inputs!$D$111+$C158*Inputs!$D$98-Inputs!$D$117)-1</f>
        <v>0.21483461409956583</v>
      </c>
      <c r="I158" s="405">
        <f>'Rate Tables'!I185/(+Inputs!$D$111+$C158*Inputs!$D$99-Inputs!$D$117)-1</f>
        <v>0.21438890494076857</v>
      </c>
      <c r="J158" s="405">
        <f>'Rate Tables'!J185/(+Inputs!$D$111+$C158*Inputs!$D$100-Inputs!$D$117)-1</f>
        <v>0.15035917760713402</v>
      </c>
      <c r="K158" s="406">
        <f>'Rate Tables'!K185/(+Inputs!$D$111+$C158*Inputs!$D$101-Inputs!$D$117)-1</f>
        <v>0.12632612966601164</v>
      </c>
    </row>
    <row r="159" spans="1:11" ht="15.75">
      <c r="A159" s="4"/>
      <c r="B159" s="74"/>
      <c r="C159" s="398">
        <v>10</v>
      </c>
      <c r="D159" s="399"/>
      <c r="E159" s="405">
        <f>'Rate Tables'!E186/(+Inputs!$D$111+$C159*Inputs!$D$95-Inputs!$D$117)-1</f>
        <v>0.2633365664403493</v>
      </c>
      <c r="F159" s="405">
        <f>+'Rate Tables'!F186/(+Inputs!$D$111+$C159*Inputs!$D$96-Inputs!$D$117)-1</f>
        <v>0.25</v>
      </c>
      <c r="G159" s="405">
        <f>'Rate Tables'!G186/(+Inputs!$D$111+$C159*Inputs!$D$97-Inputs!$D$117)-1</f>
        <v>0.24720357941834448</v>
      </c>
      <c r="H159" s="405">
        <f>'Rate Tables'!H186/(+Inputs!$D$111+$C159*Inputs!$D$98-Inputs!$D$117)-1</f>
        <v>0.2164272329793877</v>
      </c>
      <c r="I159" s="405">
        <f>'Rate Tables'!I186/(+Inputs!$D$111+$C159*Inputs!$D$99-Inputs!$D$117)-1</f>
        <v>0.21574422353573341</v>
      </c>
      <c r="J159" s="405">
        <f>'Rate Tables'!J186/(+Inputs!$D$111+$C159*Inputs!$D$100-Inputs!$D$117)-1</f>
        <v>0.14970197157267306</v>
      </c>
      <c r="K159" s="406">
        <f>'Rate Tables'!K186/(+Inputs!$D$111+$C159*Inputs!$D$101-Inputs!$D$117)-1</f>
        <v>0.12527114967462039</v>
      </c>
    </row>
    <row r="160" spans="1:11" ht="15.75">
      <c r="A160" s="4"/>
      <c r="B160" s="74"/>
      <c r="C160" s="398">
        <v>11</v>
      </c>
      <c r="D160" s="399"/>
      <c r="E160" s="405">
        <f>'Rate Tables'!E187/(+Inputs!$D$111+$C160*Inputs!$D$95-Inputs!$D$117)-1</f>
        <v>0.2679647658785351</v>
      </c>
      <c r="F160" s="405">
        <f>+'Rate Tables'!F187/(+Inputs!$D$111+$C160*Inputs!$D$96-Inputs!$D$117)-1</f>
        <v>0.25352697095435683</v>
      </c>
      <c r="G160" s="405">
        <f>'Rate Tables'!G187/(+Inputs!$D$111+$C160*Inputs!$D$97-Inputs!$D$117)-1</f>
        <v>0.25008805917576593</v>
      </c>
      <c r="H160" s="405">
        <f>'Rate Tables'!H187/(+Inputs!$D$111+$C160*Inputs!$D$98-Inputs!$D$117)-1</f>
        <v>0.21782468484315443</v>
      </c>
      <c r="I160" s="405">
        <f>'Rate Tables'!I187/(+Inputs!$D$111+$C160*Inputs!$D$99-Inputs!$D$117)-1</f>
        <v>0.21692191815214668</v>
      </c>
      <c r="J160" s="405">
        <f>'Rate Tables'!J187/(+Inputs!$D$111+$C160*Inputs!$D$100-Inputs!$D$117)-1</f>
        <v>0.1491359078301686</v>
      </c>
      <c r="K160" s="406">
        <f>'Rate Tables'!K187/(+Inputs!$D$111+$C160*Inputs!$D$101-Inputs!$D$117)-1</f>
        <v>0.12437227987947774</v>
      </c>
    </row>
    <row r="161" spans="1:11" ht="15.75">
      <c r="A161" s="4"/>
      <c r="B161" s="74"/>
      <c r="C161" s="398">
        <v>12</v>
      </c>
      <c r="D161" s="399"/>
      <c r="E161" s="405">
        <f>'Rate Tables'!E188/(+Inputs!$D$111+$C161*Inputs!$D$95-Inputs!$D$117)-1</f>
        <v>0.272202486678508</v>
      </c>
      <c r="F161" s="405">
        <f>+'Rate Tables'!F188/(+Inputs!$D$111+$C161*Inputs!$D$96-Inputs!$D$117)-1</f>
        <v>0.25672468354430356</v>
      </c>
      <c r="G161" s="405">
        <f>'Rate Tables'!G188/(+Inputs!$D$111+$C161*Inputs!$D$97-Inputs!$D$117)-1</f>
        <v>0.2526702269692924</v>
      </c>
      <c r="H161" s="405">
        <f>'Rate Tables'!H188/(+Inputs!$D$111+$C161*Inputs!$D$98-Inputs!$D$117)-1</f>
        <v>0.2190607734806631</v>
      </c>
      <c r="I161" s="405">
        <f>'Rate Tables'!I188/(+Inputs!$D$111+$C161*Inputs!$D$99-Inputs!$D$117)-1</f>
        <v>0.21795475966069744</v>
      </c>
      <c r="J161" s="405">
        <f>'Rate Tables'!J188/(+Inputs!$D$111+$C161*Inputs!$D$100-Inputs!$D$117)-1</f>
        <v>0.1486432561851554</v>
      </c>
      <c r="K161" s="406">
        <f>'Rate Tables'!K188/(+Inputs!$D$111+$C161*Inputs!$D$101-Inputs!$D$117)-1</f>
        <v>0.12359725685785516</v>
      </c>
    </row>
    <row r="162" spans="1:11" ht="15.75">
      <c r="A162" s="4"/>
      <c r="B162" s="74"/>
      <c r="C162" s="398">
        <v>13</v>
      </c>
      <c r="D162" s="399"/>
      <c r="E162" s="405">
        <f>'Rate Tables'!E189/(+Inputs!$D$111+$C162*Inputs!$D$95-Inputs!$D$117)-1</f>
        <v>0.2760971452918619</v>
      </c>
      <c r="F162" s="405">
        <f>+'Rate Tables'!F189/(+Inputs!$D$111+$C162*Inputs!$D$96-Inputs!$D$117)-1</f>
        <v>0.2596371882086168</v>
      </c>
      <c r="G162" s="405">
        <f>'Rate Tables'!G189/(+Inputs!$D$111+$C162*Inputs!$D$97-Inputs!$D$117)-1</f>
        <v>0.25499524262607043</v>
      </c>
      <c r="H162" s="405">
        <f>'Rate Tables'!H189/(+Inputs!$D$111+$C162*Inputs!$D$98-Inputs!$D$117)-1</f>
        <v>0.220161922172891</v>
      </c>
      <c r="I162" s="405">
        <f>'Rate Tables'!I189/(+Inputs!$D$111+$C162*Inputs!$D$99-Inputs!$D$117)-1</f>
        <v>0.21886792452830184</v>
      </c>
      <c r="J162" s="405">
        <f>'Rate Tables'!J189/(+Inputs!$D$111+$C162*Inputs!$D$100-Inputs!$D$117)-1</f>
        <v>0.14821060520891893</v>
      </c>
      <c r="K162" s="406">
        <f>'Rate Tables'!K189/(+Inputs!$D$111+$C162*Inputs!$D$101-Inputs!$D$117)-1</f>
        <v>0.12292213473315816</v>
      </c>
    </row>
    <row r="163" spans="1:11" ht="15.75">
      <c r="A163" s="4"/>
      <c r="B163" s="74"/>
      <c r="C163" s="398">
        <v>14</v>
      </c>
      <c r="D163" s="399"/>
      <c r="E163" s="405">
        <f>'Rate Tables'!E190/(+Inputs!$D$111+$C163*Inputs!$D$95-Inputs!$D$117)-1</f>
        <v>0.2796887796887797</v>
      </c>
      <c r="F163" s="405">
        <f>+'Rate Tables'!F190/(+Inputs!$D$111+$C163*Inputs!$D$96-Inputs!$D$117)-1</f>
        <v>0.2623010130246022</v>
      </c>
      <c r="G163" s="405">
        <f>'Rate Tables'!G190/(+Inputs!$D$111+$C163*Inputs!$D$97-Inputs!$D$117)-1</f>
        <v>0.25709969788519627</v>
      </c>
      <c r="H163" s="405">
        <f>'Rate Tables'!H190/(+Inputs!$D$111+$C163*Inputs!$D$98-Inputs!$D$117)-1</f>
        <v>0.22114908370480446</v>
      </c>
      <c r="I163" s="405">
        <f>'Rate Tables'!I190/(+Inputs!$D$111+$C163*Inputs!$D$99-Inputs!$D$117)-1</f>
        <v>0.21968107427612238</v>
      </c>
      <c r="J163" s="405">
        <f>'Rate Tables'!J190/(+Inputs!$D$111+$C163*Inputs!$D$100-Inputs!$D$117)-1</f>
        <v>0.14782762274814565</v>
      </c>
      <c r="K163" s="406">
        <f>'Rate Tables'!K190/(+Inputs!$D$111+$C163*Inputs!$D$101-Inputs!$D$117)-1</f>
        <v>0.12232876712328777</v>
      </c>
    </row>
    <row r="164" spans="1:11" ht="15.75">
      <c r="A164" s="4"/>
      <c r="B164" s="74"/>
      <c r="C164" s="398">
        <v>15</v>
      </c>
      <c r="D164" s="399"/>
      <c r="E164" s="405">
        <f>'Rate Tables'!E191/(+Inputs!$D$111+$C164*Inputs!$D$95-Inputs!$D$117)-1</f>
        <v>0.2830114308238074</v>
      </c>
      <c r="F164" s="405">
        <f>+'Rate Tables'!F191/(+Inputs!$D$111+$C164*Inputs!$D$96-Inputs!$D$117)-1</f>
        <v>0.2647467036780011</v>
      </c>
      <c r="G164" s="405">
        <f>'Rate Tables'!G191/(+Inputs!$D$111+$C164*Inputs!$D$97-Inputs!$D$117)-1</f>
        <v>0.2590135563888085</v>
      </c>
      <c r="H164" s="405">
        <f>'Rate Tables'!H191/(+Inputs!$D$111+$C164*Inputs!$D$98-Inputs!$D$117)-1</f>
        <v>0.22203908641393943</v>
      </c>
      <c r="I164" s="405">
        <f>'Rate Tables'!I191/(+Inputs!$D$111+$C164*Inputs!$D$99-Inputs!$D$117)-1</f>
        <v>0.22040978714939352</v>
      </c>
      <c r="J164" s="405">
        <f>'Rate Tables'!J191/(+Inputs!$D$111+$C164*Inputs!$D$100-Inputs!$D$117)-1</f>
        <v>0.14748622014364443</v>
      </c>
      <c r="K164" s="406">
        <f>'Rate Tables'!K191/(+Inputs!$D$111+$C164*Inputs!$D$101-Inputs!$D$117)-1</f>
        <v>0.12180315164040323</v>
      </c>
    </row>
    <row r="165" spans="1:11" ht="16.5" thickBot="1">
      <c r="A165" s="179"/>
      <c r="B165" s="295"/>
      <c r="C165" s="402"/>
      <c r="D165" s="403"/>
      <c r="E165" s="393"/>
      <c r="F165" s="393"/>
      <c r="G165" s="394"/>
      <c r="H165" s="395"/>
      <c r="I165" s="395"/>
      <c r="J165" s="395"/>
      <c r="K165" s="345"/>
    </row>
    <row r="166" spans="1:11" ht="12.75">
      <c r="A166" s="62"/>
      <c r="B166" s="39"/>
      <c r="C166" s="225"/>
      <c r="D166" s="225"/>
      <c r="E166" s="225"/>
      <c r="F166" s="225"/>
      <c r="G166" s="225"/>
      <c r="H166" s="225"/>
      <c r="I166" s="225"/>
      <c r="J166" s="225"/>
      <c r="K166" s="226"/>
    </row>
    <row r="167" spans="1:11" ht="15.75">
      <c r="A167" s="63"/>
      <c r="B167" s="41"/>
      <c r="C167" s="203" t="s">
        <v>811</v>
      </c>
      <c r="D167" s="203"/>
      <c r="E167" s="227"/>
      <c r="F167" s="227"/>
      <c r="G167" s="227"/>
      <c r="H167" s="309"/>
      <c r="I167" s="227"/>
      <c r="J167" s="227"/>
      <c r="K167" s="228"/>
    </row>
    <row r="168" spans="1:11" ht="13.5" thickBot="1">
      <c r="A168" s="63"/>
      <c r="B168" s="41"/>
      <c r="C168" s="229"/>
      <c r="D168" s="404"/>
      <c r="E168" s="230"/>
      <c r="F168" s="230"/>
      <c r="G168" s="230"/>
      <c r="H168" s="230"/>
      <c r="I168" s="230"/>
      <c r="J168" s="230"/>
      <c r="K168" s="231"/>
    </row>
    <row r="169" spans="1:11" ht="13.5" thickTop="1">
      <c r="A169" s="63"/>
      <c r="B169" s="41"/>
      <c r="C169" s="227" t="s">
        <v>533</v>
      </c>
      <c r="D169" s="227"/>
      <c r="E169" s="227"/>
      <c r="F169" s="227"/>
      <c r="G169" s="227"/>
      <c r="H169" s="227"/>
      <c r="I169" s="227"/>
      <c r="J169" s="227"/>
      <c r="K169" s="228"/>
    </row>
    <row r="170" spans="1:11" ht="12.75">
      <c r="A170" s="63"/>
      <c r="B170" s="41"/>
      <c r="C170" s="227" t="s">
        <v>534</v>
      </c>
      <c r="D170" s="227"/>
      <c r="E170" s="227"/>
      <c r="F170" s="227"/>
      <c r="G170" s="227"/>
      <c r="H170" s="227"/>
      <c r="I170" s="227"/>
      <c r="J170" s="227"/>
      <c r="K170" s="228"/>
    </row>
    <row r="171" spans="1:11" ht="12.75">
      <c r="A171" s="63"/>
      <c r="B171" s="41"/>
      <c r="C171" s="227" t="s">
        <v>232</v>
      </c>
      <c r="D171" s="227"/>
      <c r="E171" s="227"/>
      <c r="F171" s="227"/>
      <c r="G171" s="227"/>
      <c r="H171" s="227"/>
      <c r="I171" s="227"/>
      <c r="J171" s="227"/>
      <c r="K171" s="228"/>
    </row>
    <row r="172" spans="1:11" ht="12.75">
      <c r="A172" s="63"/>
      <c r="B172" s="41"/>
      <c r="C172" s="227" t="s">
        <v>227</v>
      </c>
      <c r="D172" s="227"/>
      <c r="E172" s="227"/>
      <c r="F172" s="227"/>
      <c r="G172" s="227"/>
      <c r="H172" s="227"/>
      <c r="I172" s="227"/>
      <c r="J172" s="227"/>
      <c r="K172" s="228"/>
    </row>
    <row r="173" spans="1:11" ht="12.75">
      <c r="A173" s="63"/>
      <c r="B173" s="41"/>
      <c r="C173" s="227"/>
      <c r="D173" s="227"/>
      <c r="E173" s="227"/>
      <c r="F173" s="227"/>
      <c r="G173" s="227"/>
      <c r="H173" s="227"/>
      <c r="I173" s="227"/>
      <c r="J173" s="227"/>
      <c r="K173" s="228"/>
    </row>
    <row r="174" spans="1:11" ht="13.5" thickBot="1">
      <c r="A174" s="21"/>
      <c r="B174" s="43"/>
      <c r="C174" s="233"/>
      <c r="D174" s="233"/>
      <c r="E174" s="233"/>
      <c r="F174" s="233"/>
      <c r="G174" s="233"/>
      <c r="H174" s="233"/>
      <c r="I174" s="233"/>
      <c r="J174" s="233"/>
      <c r="K174" s="234"/>
    </row>
    <row r="177" ht="13.5" thickBot="1"/>
    <row r="178" spans="1:10" ht="15">
      <c r="A178" s="173"/>
      <c r="B178" s="174"/>
      <c r="C178" s="175"/>
      <c r="D178" s="175"/>
      <c r="E178" s="175"/>
      <c r="F178" s="175"/>
      <c r="G178" s="175"/>
      <c r="H178" s="175"/>
      <c r="I178" s="175"/>
      <c r="J178" s="176"/>
    </row>
    <row r="179" spans="1:10" ht="15.75">
      <c r="A179" s="4"/>
      <c r="B179" s="5"/>
      <c r="C179" s="23"/>
      <c r="D179" s="23"/>
      <c r="E179" s="23"/>
      <c r="F179" s="23"/>
      <c r="G179" s="23"/>
      <c r="H179" s="36"/>
      <c r="I179" s="36"/>
      <c r="J179" s="665" t="s">
        <v>591</v>
      </c>
    </row>
    <row r="180" spans="1:10" ht="15.75">
      <c r="A180" s="4"/>
      <c r="B180" s="5"/>
      <c r="C180" s="23"/>
      <c r="D180" s="23"/>
      <c r="E180" s="23"/>
      <c r="F180" s="23"/>
      <c r="G180" s="23"/>
      <c r="H180" s="36"/>
      <c r="I180" s="36"/>
      <c r="J180" s="665" t="s">
        <v>914</v>
      </c>
    </row>
    <row r="181" spans="1:10" ht="18">
      <c r="A181" s="692" t="s">
        <v>810</v>
      </c>
      <c r="B181" s="693"/>
      <c r="C181" s="693"/>
      <c r="D181" s="693"/>
      <c r="E181" s="693"/>
      <c r="F181" s="693"/>
      <c r="G181" s="693"/>
      <c r="H181" s="693"/>
      <c r="I181" s="693"/>
      <c r="J181" s="694"/>
    </row>
    <row r="182" spans="1:10" ht="18">
      <c r="A182" s="692" t="s">
        <v>738</v>
      </c>
      <c r="B182" s="693"/>
      <c r="C182" s="693"/>
      <c r="D182" s="693"/>
      <c r="E182" s="693"/>
      <c r="F182" s="693"/>
      <c r="G182" s="693"/>
      <c r="H182" s="693"/>
      <c r="I182" s="693"/>
      <c r="J182" s="694"/>
    </row>
    <row r="183" spans="1:10" ht="15.75" thickBot="1">
      <c r="A183" s="15"/>
      <c r="B183" s="11"/>
      <c r="C183" s="11"/>
      <c r="D183" s="11"/>
      <c r="E183" s="11"/>
      <c r="F183" s="11"/>
      <c r="G183" s="11"/>
      <c r="H183" s="11"/>
      <c r="I183" s="11"/>
      <c r="J183" s="13"/>
    </row>
    <row r="184" spans="1:10" ht="16.5" thickTop="1">
      <c r="A184" s="4"/>
      <c r="B184" s="178"/>
      <c r="C184" s="156"/>
      <c r="D184" s="149"/>
      <c r="E184" s="127"/>
      <c r="F184" s="149"/>
      <c r="G184" s="149"/>
      <c r="H184" s="149"/>
      <c r="I184" s="157"/>
      <c r="J184" s="193"/>
    </row>
    <row r="185" spans="1:10" ht="18.75">
      <c r="A185" s="4"/>
      <c r="B185" s="14"/>
      <c r="C185" s="156"/>
      <c r="D185" s="149"/>
      <c r="E185" s="697" t="s">
        <v>649</v>
      </c>
      <c r="F185" s="719"/>
      <c r="G185" s="719"/>
      <c r="H185" s="720"/>
      <c r="I185" s="157"/>
      <c r="J185" s="193"/>
    </row>
    <row r="186" spans="1:10" ht="18.75">
      <c r="A186" s="4"/>
      <c r="B186" s="178"/>
      <c r="C186" s="702" t="s">
        <v>853</v>
      </c>
      <c r="D186" s="703"/>
      <c r="E186" s="157"/>
      <c r="F186" s="157"/>
      <c r="G186" s="157"/>
      <c r="H186" s="127"/>
      <c r="I186" s="157" t="s">
        <v>650</v>
      </c>
      <c r="J186" s="193" t="s">
        <v>651</v>
      </c>
    </row>
    <row r="187" spans="1:10" ht="15.75">
      <c r="A187" s="4"/>
      <c r="B187" s="178"/>
      <c r="C187" s="702" t="s">
        <v>799</v>
      </c>
      <c r="D187" s="703"/>
      <c r="E187" s="157" t="s">
        <v>855</v>
      </c>
      <c r="F187" s="157" t="s">
        <v>856</v>
      </c>
      <c r="G187" s="157" t="s">
        <v>857</v>
      </c>
      <c r="H187" s="127" t="s">
        <v>858</v>
      </c>
      <c r="I187" s="157"/>
      <c r="J187" s="193"/>
    </row>
    <row r="188" spans="1:10" ht="15.75">
      <c r="A188" s="4"/>
      <c r="B188" s="178"/>
      <c r="C188" s="718" t="s">
        <v>800</v>
      </c>
      <c r="D188" s="720"/>
      <c r="E188" s="269"/>
      <c r="F188" s="158"/>
      <c r="G188" s="158"/>
      <c r="H188" s="159"/>
      <c r="I188" s="158"/>
      <c r="J188" s="194"/>
    </row>
    <row r="189" spans="1:12" ht="15.75">
      <c r="A189" s="4"/>
      <c r="B189" s="178"/>
      <c r="C189" s="396"/>
      <c r="D189" s="397"/>
      <c r="E189" s="299"/>
      <c r="F189" s="279"/>
      <c r="G189" s="280"/>
      <c r="H189" s="273"/>
      <c r="I189" s="273"/>
      <c r="J189" s="283"/>
      <c r="K189" s="60"/>
      <c r="L189" s="37"/>
    </row>
    <row r="190" spans="1:12" ht="15.75">
      <c r="A190" s="4"/>
      <c r="B190" s="178"/>
      <c r="C190" s="396">
        <v>1.5</v>
      </c>
      <c r="D190" s="397"/>
      <c r="E190" s="405">
        <f>'Rate Tables'!E220/(+Inputs!$D$112-Inputs!$D$117+$C190*Inputs!$D$103)-1</f>
        <v>0.1903513371788148</v>
      </c>
      <c r="F190" s="405">
        <f>'Rate Tables'!F220/(+Inputs!$D$112-Inputs!$D$117+$C190*Inputs!$D$104)-1</f>
        <v>0.19500000000000006</v>
      </c>
      <c r="G190" s="405">
        <f>'Rate Tables'!G220/(+Inputs!$D$112-Inputs!$D$117+$C190*Inputs!$D$105)-1</f>
        <v>0.18847425602267354</v>
      </c>
      <c r="H190" s="405">
        <f>'Rate Tables'!H220/(+Inputs!$D$112-Inputs!$D$117+$C190*Inputs!$D$106)-1</f>
        <v>0.1852668725187474</v>
      </c>
      <c r="I190" s="470">
        <f>+'Rate Tables'!I220/(+Inputs!$D$113-Inputs!$D$117+$C190*Inputs!$D$107)-1</f>
        <v>0.11535739561217273</v>
      </c>
      <c r="J190" s="406">
        <f>+'Rate Tables'!J220/(+Inputs!$D$114-Inputs!$D$117+$C190*Inputs!$D$108)-1</f>
        <v>0.11282051282051264</v>
      </c>
      <c r="K190" s="481"/>
      <c r="L190" s="37"/>
    </row>
    <row r="191" spans="1:12" ht="15.75">
      <c r="A191" s="4"/>
      <c r="B191" s="74"/>
      <c r="C191" s="396">
        <v>2</v>
      </c>
      <c r="D191" s="397"/>
      <c r="E191" s="405">
        <f>'Rate Tables'!E221/(+Inputs!$D$112-Inputs!$D$117+$C191*Inputs!$D$103)-1</f>
        <v>0.189516129032258</v>
      </c>
      <c r="F191" s="405">
        <f>'Rate Tables'!F221/(+Inputs!$D$112-Inputs!$D$117+$C191*Inputs!$D$104)-1</f>
        <v>0.1954459203036052</v>
      </c>
      <c r="G191" s="405">
        <f>'Rate Tables'!G221/(+Inputs!$D$112-Inputs!$D$117+$C191*Inputs!$D$105)-1</f>
        <v>0.1872791519434629</v>
      </c>
      <c r="H191" s="405">
        <f>'Rate Tables'!H221/(+Inputs!$D$112-Inputs!$D$117+$C191*Inputs!$D$106)-1</f>
        <v>0.18344155844155852</v>
      </c>
      <c r="I191" s="470">
        <f>+'Rate Tables'!I221/(+Inputs!$D$113-Inputs!$D$117+$C191*Inputs!$D$107)-1</f>
        <v>0.1260162601626016</v>
      </c>
      <c r="J191" s="406">
        <f>+'Rate Tables'!J221/(+Inputs!$D$114-Inputs!$D$117+$C191*Inputs!$D$108)-1</f>
        <v>0.11813643926788675</v>
      </c>
      <c r="K191" s="481"/>
      <c r="L191" s="37"/>
    </row>
    <row r="192" spans="1:12" ht="15.75">
      <c r="A192" s="4"/>
      <c r="B192" s="74"/>
      <c r="C192" s="398">
        <v>2.5</v>
      </c>
      <c r="D192" s="399"/>
      <c r="E192" s="405">
        <f>'Rate Tables'!E222/(+Inputs!$D$112-Inputs!$D$117+$C192*Inputs!$D$103)-1</f>
        <v>0.1887433284813198</v>
      </c>
      <c r="F192" s="405">
        <f>'Rate Tables'!F222/(+Inputs!$D$112-Inputs!$D$117+$C192*Inputs!$D$104)-1</f>
        <v>0.19584837545126343</v>
      </c>
      <c r="G192" s="405">
        <f>'Rate Tables'!G222/(+Inputs!$D$112-Inputs!$D$117+$C192*Inputs!$D$105)-1</f>
        <v>0.18622978017420144</v>
      </c>
      <c r="H192" s="405">
        <f>'Rate Tables'!H222/(+Inputs!$D$112-Inputs!$D$117+$C192*Inputs!$D$106)-1</f>
        <v>0.18188650883126645</v>
      </c>
      <c r="I192" s="470">
        <f>+'Rate Tables'!I222/(+Inputs!$D$113-Inputs!$D$117+$C192*Inputs!$D$107)-1</f>
        <v>0.13580246913580263</v>
      </c>
      <c r="J192" s="406">
        <f>+'Rate Tables'!J222/(+Inputs!$D$114-Inputs!$D$117+$C192*Inputs!$D$108)-1</f>
        <v>0.12317666126418136</v>
      </c>
      <c r="K192" s="481"/>
      <c r="L192" s="37"/>
    </row>
    <row r="193" spans="1:12" ht="15.75">
      <c r="A193" s="4"/>
      <c r="B193" s="74"/>
      <c r="C193" s="398">
        <v>3</v>
      </c>
      <c r="D193" s="399"/>
      <c r="E193" s="405">
        <f>'Rate Tables'!E223/(+Inputs!$D$112-Inputs!$D$117+$C193*Inputs!$D$103)-1</f>
        <v>0.18802619270346121</v>
      </c>
      <c r="F193" s="405">
        <f>'Rate Tables'!F223/(+Inputs!$D$112-Inputs!$D$117+$C193*Inputs!$D$104)-1</f>
        <v>0.1962134251290879</v>
      </c>
      <c r="G193" s="405">
        <f>'Rate Tables'!G223/(+Inputs!$D$112-Inputs!$D$117+$C193*Inputs!$D$105)-1</f>
        <v>0.1853010164190776</v>
      </c>
      <c r="H193" s="405">
        <f>'Rate Tables'!H223/(+Inputs!$D$112-Inputs!$D$117+$C193*Inputs!$D$106)-1</f>
        <v>0.18054583624912546</v>
      </c>
      <c r="I193" s="470">
        <f>+'Rate Tables'!I223/(+Inputs!$D$113-Inputs!$D$117+$C193*Inputs!$D$107)-1</f>
        <v>0.14481897627965057</v>
      </c>
      <c r="J193" s="406">
        <f>+'Rate Tables'!J223/(+Inputs!$D$114-Inputs!$D$117+$C193*Inputs!$D$108)-1</f>
        <v>0.12796208530805675</v>
      </c>
      <c r="K193" s="481"/>
      <c r="L193" s="37"/>
    </row>
    <row r="194" spans="1:12" ht="15.75">
      <c r="A194" s="4"/>
      <c r="B194" s="74"/>
      <c r="C194" s="398">
        <v>3.5</v>
      </c>
      <c r="D194" s="399"/>
      <c r="E194" s="405">
        <f>'Rate Tables'!E224/(+Inputs!$D$112-Inputs!$D$117+$C194*Inputs!$D$103)-1</f>
        <v>0.1873589164785554</v>
      </c>
      <c r="F194" s="405">
        <f>'Rate Tables'!F224/(+Inputs!$D$112-Inputs!$D$117+$C194*Inputs!$D$104)-1</f>
        <v>0.19654605263157898</v>
      </c>
      <c r="G194" s="405">
        <f>'Rate Tables'!G224/(+Inputs!$D$112-Inputs!$D$117+$C194*Inputs!$D$105)-1</f>
        <v>0.1844731977818852</v>
      </c>
      <c r="H194" s="405">
        <f>'Rate Tables'!H224/(+Inputs!$D$112-Inputs!$D$117+$C194*Inputs!$D$106)-1</f>
        <v>0.1793780687397708</v>
      </c>
      <c r="I194" s="470">
        <f>+'Rate Tables'!I224/(+Inputs!$D$113-Inputs!$D$117+$C194*Inputs!$D$107)-1</f>
        <v>0.15315315315315314</v>
      </c>
      <c r="J194" s="406">
        <f>+'Rate Tables'!J224/(+Inputs!$D$114-Inputs!$D$117+$C194*Inputs!$D$108)-1</f>
        <v>0.1325115562403698</v>
      </c>
      <c r="K194" s="481"/>
      <c r="L194" s="37"/>
    </row>
    <row r="195" spans="1:12" ht="15.75">
      <c r="A195" s="4"/>
      <c r="B195" s="74"/>
      <c r="C195" s="398">
        <v>4</v>
      </c>
      <c r="D195" s="399"/>
      <c r="E195" s="405">
        <f>'Rate Tables'!E225/(+Inputs!$D$112-Inputs!$D$117+$C195*Inputs!$D$103)-1</f>
        <v>0.18673647469458987</v>
      </c>
      <c r="F195" s="405">
        <f>'Rate Tables'!F225/(+Inputs!$D$112-Inputs!$D$117+$C195*Inputs!$D$104)-1</f>
        <v>0.1968503937007875</v>
      </c>
      <c r="G195" s="405">
        <f>'Rate Tables'!G225/(+Inputs!$D$112-Inputs!$D$117+$C195*Inputs!$D$105)-1</f>
        <v>0.1837307152875176</v>
      </c>
      <c r="H195" s="405">
        <f>'Rate Tables'!H225/(+Inputs!$D$112-Inputs!$D$117+$C195*Inputs!$D$106)-1</f>
        <v>0.1783517835178352</v>
      </c>
      <c r="I195" s="470">
        <f>+'Rate Tables'!I225/(+Inputs!$D$113-Inputs!$D$117+$C195*Inputs!$D$107)-1</f>
        <v>0.16087962962962976</v>
      </c>
      <c r="J195" s="406">
        <f>+'Rate Tables'!J225/(+Inputs!$D$114-Inputs!$D$117+$C195*Inputs!$D$108)-1</f>
        <v>0.13684210526315788</v>
      </c>
      <c r="K195" s="481"/>
      <c r="L195" s="37"/>
    </row>
    <row r="196" spans="1:12" ht="15.75">
      <c r="A196" s="4"/>
      <c r="B196" s="74"/>
      <c r="C196" s="398">
        <v>4.5</v>
      </c>
      <c r="D196" s="399"/>
      <c r="E196" s="405">
        <f>'Rate Tables'!E226/(+Inputs!$D$112-Inputs!$D$117+$C196*Inputs!$D$103)-1</f>
        <v>0.18615449556775032</v>
      </c>
      <c r="F196" s="405">
        <f>'Rate Tables'!F226/(+Inputs!$D$112-Inputs!$D$117+$C196*Inputs!$D$104)-1</f>
        <v>0.19712990936555896</v>
      </c>
      <c r="G196" s="405">
        <f>'Rate Tables'!G226/(+Inputs!$D$112-Inputs!$D$117+$C196*Inputs!$D$105)-1</f>
        <v>0.1830610203401135</v>
      </c>
      <c r="H196" s="405">
        <f>'Rate Tables'!H226/(+Inputs!$D$112-Inputs!$D$117+$C196*Inputs!$D$106)-1</f>
        <v>0.17744273702522473</v>
      </c>
      <c r="I196" s="470">
        <f>+'Rate Tables'!I226/(+Inputs!$D$113-Inputs!$D$117+$C196*Inputs!$D$107)-1</f>
        <v>0.16806253489670575</v>
      </c>
      <c r="J196" s="406">
        <f>+'Rate Tables'!J226/(+Inputs!$D$114-Inputs!$D$117+$C196*Inputs!$D$108)-1</f>
        <v>0.14096916299559448</v>
      </c>
      <c r="K196" s="481"/>
      <c r="L196" s="37"/>
    </row>
    <row r="197" spans="1:12" ht="15.75">
      <c r="A197" s="4"/>
      <c r="B197" s="74"/>
      <c r="C197" s="398">
        <v>5</v>
      </c>
      <c r="D197" s="399"/>
      <c r="E197" s="405">
        <f>'Rate Tables'!E227/(+Inputs!$D$112-Inputs!$D$117+$C197*Inputs!$D$103)-1</f>
        <v>0.18560915780866738</v>
      </c>
      <c r="F197" s="405">
        <f>'Rate Tables'!F227/(+Inputs!$D$112-Inputs!$D$117+$C197*Inputs!$D$104)-1</f>
        <v>0.19738751814223487</v>
      </c>
      <c r="G197" s="405">
        <f>'Rate Tables'!G227/(+Inputs!$D$112-Inputs!$D$117+$C197*Inputs!$D$105)-1</f>
        <v>0.1824539097266369</v>
      </c>
      <c r="H197" s="405">
        <f>'Rate Tables'!H227/(+Inputs!$D$112-Inputs!$D$117+$C197*Inputs!$D$106)-1</f>
        <v>0.17663192539769623</v>
      </c>
      <c r="I197" s="470">
        <f>+'Rate Tables'!I227/(+Inputs!$D$113-Inputs!$D$117+$C197*Inputs!$D$107)-1</f>
        <v>0.17475728155339798</v>
      </c>
      <c r="J197" s="406">
        <f>+'Rate Tables'!J227/(+Inputs!$D$114-Inputs!$D$117+$C197*Inputs!$D$108)-1</f>
        <v>0.1449067431850788</v>
      </c>
      <c r="K197" s="481"/>
      <c r="L197" s="37"/>
    </row>
    <row r="198" spans="1:12" ht="15.75">
      <c r="A198" s="4"/>
      <c r="B198" s="74"/>
      <c r="C198" s="398">
        <v>6</v>
      </c>
      <c r="D198" s="399"/>
      <c r="E198" s="405">
        <f>'Rate Tables'!E228/(+Inputs!$D$112-Inputs!$D$117+$C198*Inputs!$D$103)-1</f>
        <v>0.18461538461538485</v>
      </c>
      <c r="F198" s="405">
        <f>'Rate Tables'!F228/(+Inputs!$D$112-Inputs!$D$117+$C198*Inputs!$D$104)-1</f>
        <v>0.19784656796769862</v>
      </c>
      <c r="G198" s="405">
        <f>'Rate Tables'!G228/(+Inputs!$D$112-Inputs!$D$117+$C198*Inputs!$D$105)-1</f>
        <v>0.18139534883720954</v>
      </c>
      <c r="H198" s="405">
        <f>'Rate Tables'!H228/(+Inputs!$D$112-Inputs!$D$117+$C198*Inputs!$D$106)-1</f>
        <v>0.17524752475247518</v>
      </c>
      <c r="I198" s="470">
        <f>+'Rate Tables'!I228/(+Inputs!$D$113-Inputs!$D$117+$C198*Inputs!$D$107)-1</f>
        <v>0.18686868686868685</v>
      </c>
      <c r="J198" s="406">
        <f>+'Rate Tables'!J228/(+Inputs!$D$114-Inputs!$D$117+$C198*Inputs!$D$108)-1</f>
        <v>0.15226337448559657</v>
      </c>
      <c r="K198" s="481"/>
      <c r="L198" s="37"/>
    </row>
    <row r="199" spans="1:12" ht="15.75">
      <c r="A199" s="4"/>
      <c r="B199" s="74"/>
      <c r="C199" s="398">
        <v>7</v>
      </c>
      <c r="D199" s="399"/>
      <c r="E199" s="405">
        <f>'Rate Tables'!E229/(+Inputs!$D$112-Inputs!$D$117+$C199*Inputs!$D$103)-1</f>
        <v>0.18373275236020326</v>
      </c>
      <c r="F199" s="405">
        <f>'Rate Tables'!F229/(+Inputs!$D$112-Inputs!$D$117+$C199*Inputs!$D$104)-1</f>
        <v>0.19824341279799262</v>
      </c>
      <c r="G199" s="405">
        <f>'Rate Tables'!G229/(+Inputs!$D$112-Inputs!$D$117+$C199*Inputs!$D$105)-1</f>
        <v>0.1805034815211568</v>
      </c>
      <c r="H199" s="405">
        <f>'Rate Tables'!H229/(+Inputs!$D$112-Inputs!$D$117+$C199*Inputs!$D$106)-1</f>
        <v>0.17410915651781678</v>
      </c>
      <c r="I199" s="470">
        <f>+'Rate Tables'!I229/(+Inputs!$D$113-Inputs!$D$117+$C199*Inputs!$D$107)-1</f>
        <v>0.19753086419753108</v>
      </c>
      <c r="J199" s="406">
        <f>+'Rate Tables'!J229/(+Inputs!$D$114-Inputs!$D$117+$C199*Inputs!$D$108)-1</f>
        <v>0.1590013140604467</v>
      </c>
      <c r="K199" s="481"/>
      <c r="L199" s="37"/>
    </row>
    <row r="200" spans="1:12" ht="15.75">
      <c r="A200" s="4"/>
      <c r="B200" s="74"/>
      <c r="C200" s="398">
        <v>8</v>
      </c>
      <c r="D200" s="399"/>
      <c r="E200" s="405">
        <f>'Rate Tables'!E230/(+Inputs!$D$112-Inputs!$D$117+$C200*Inputs!$D$103)-1</f>
        <v>0.18294360385144426</v>
      </c>
      <c r="F200" s="405">
        <f>'Rate Tables'!F230/(+Inputs!$D$112-Inputs!$D$117+$C200*Inputs!$D$104)-1</f>
        <v>0.1985898942420683</v>
      </c>
      <c r="G200" s="405">
        <f>'Rate Tables'!G230/(+Inputs!$D$112-Inputs!$D$117+$C200*Inputs!$D$105)-1</f>
        <v>0.17974180734856016</v>
      </c>
      <c r="H200" s="405">
        <f>'Rate Tables'!H230/(+Inputs!$D$112-Inputs!$D$117+$C200*Inputs!$D$106)-1</f>
        <v>0.17315658657829314</v>
      </c>
      <c r="I200" s="470">
        <f>+'Rate Tables'!I230/(+Inputs!$D$113-Inputs!$D$117+$C200*Inputs!$D$107)-1</f>
        <v>0.20698924731182777</v>
      </c>
      <c r="J200" s="406">
        <f>+'Rate Tables'!J230/(+Inputs!$D$114-Inputs!$D$117+$C200*Inputs!$D$108)-1</f>
        <v>0.16519546027742726</v>
      </c>
      <c r="K200" s="481"/>
      <c r="L200" s="37"/>
    </row>
    <row r="201" spans="1:12" ht="15.75">
      <c r="A201" s="4"/>
      <c r="B201" s="74"/>
      <c r="C201" s="398">
        <v>9</v>
      </c>
      <c r="D201" s="399"/>
      <c r="E201" s="405">
        <f>'Rate Tables'!E231/(+Inputs!$D$112-Inputs!$D$117+$C201*Inputs!$D$103)-1</f>
        <v>0.18223383409536265</v>
      </c>
      <c r="F201" s="405">
        <f>'Rate Tables'!F231/(+Inputs!$D$112-Inputs!$D$117+$C201*Inputs!$D$104)-1</f>
        <v>0.19889502762430933</v>
      </c>
      <c r="G201" s="405">
        <f>'Rate Tables'!G231/(+Inputs!$D$112-Inputs!$D$117+$C201*Inputs!$D$105)-1</f>
        <v>0.17908375751966688</v>
      </c>
      <c r="H201" s="405">
        <f>'Rate Tables'!H231/(+Inputs!$D$112-Inputs!$D$117+$C201*Inputs!$D$106)-1</f>
        <v>0.17234775947912673</v>
      </c>
      <c r="I201" s="470">
        <f>+'Rate Tables'!I231/(+Inputs!$D$113-Inputs!$D$117+$C201*Inputs!$D$107)-1</f>
        <v>0.21543681085665822</v>
      </c>
      <c r="J201" s="406">
        <f>+'Rate Tables'!J231/(+Inputs!$D$114-Inputs!$D$117+$C201*Inputs!$D$108)-1</f>
        <v>0.17090909090909068</v>
      </c>
      <c r="K201" s="481"/>
      <c r="L201" s="37"/>
    </row>
    <row r="202" spans="1:12" ht="15.75">
      <c r="A202" s="4"/>
      <c r="B202" s="74"/>
      <c r="C202" s="398">
        <v>10</v>
      </c>
      <c r="D202" s="399"/>
      <c r="E202" s="405">
        <f>'Rate Tables'!E232/(+Inputs!$D$112-Inputs!$D$117+$C202*Inputs!$D$103)-1</f>
        <v>0.18159203980099492</v>
      </c>
      <c r="F202" s="405">
        <f>'Rate Tables'!F232/(+Inputs!$D$112-Inputs!$D$117+$C202*Inputs!$D$104)-1</f>
        <v>0.19916579770594356</v>
      </c>
      <c r="G202" s="405">
        <f>'Rate Tables'!G232/(+Inputs!$D$112-Inputs!$D$117+$C202*Inputs!$D$105)-1</f>
        <v>0.17850953206239173</v>
      </c>
      <c r="H202" s="405">
        <f>'Rate Tables'!H232/(+Inputs!$D$112-Inputs!$D$117+$C202*Inputs!$D$106)-1</f>
        <v>0.17165242165242156</v>
      </c>
      <c r="I202" s="470">
        <f>+'Rate Tables'!I232/(+Inputs!$D$113-Inputs!$D$117+$C202*Inputs!$D$107)-1</f>
        <v>0.22302737520128812</v>
      </c>
      <c r="J202" s="406">
        <f>+'Rate Tables'!J232/(+Inputs!$D$114-Inputs!$D$117+$C202*Inputs!$D$108)-1</f>
        <v>0.17619603267211215</v>
      </c>
      <c r="K202" s="481"/>
      <c r="L202" s="37"/>
    </row>
    <row r="203" spans="1:12" ht="15.75">
      <c r="A203" s="4"/>
      <c r="B203" s="74"/>
      <c r="C203" s="398">
        <v>11</v>
      </c>
      <c r="D203" s="399"/>
      <c r="E203" s="405">
        <f>'Rate Tables'!E233/(+Inputs!$D$112-Inputs!$D$117+$C203*Inputs!$D$103)-1</f>
        <v>0.18100890207715126</v>
      </c>
      <c r="F203" s="405">
        <f>'Rate Tables'!F233/(+Inputs!$D$112-Inputs!$D$117+$C203*Inputs!$D$104)-1</f>
        <v>0.19940769990128349</v>
      </c>
      <c r="G203" s="405">
        <f>'Rate Tables'!G233/(+Inputs!$D$112-Inputs!$D$117+$C203*Inputs!$D$105)-1</f>
        <v>0.17800407331975543</v>
      </c>
      <c r="H203" s="405">
        <f>'Rate Tables'!H233/(+Inputs!$D$112-Inputs!$D$117+$C203*Inputs!$D$106)-1</f>
        <v>0.17104825291181358</v>
      </c>
      <c r="I203" s="470">
        <f>+'Rate Tables'!I233/(+Inputs!$D$113-Inputs!$D$117+$C203*Inputs!$D$107)-1</f>
        <v>0.2298850574712643</v>
      </c>
      <c r="J203" s="406">
        <f>+'Rate Tables'!J233/(+Inputs!$D$114-Inputs!$D$117+$C203*Inputs!$D$108)-1</f>
        <v>0.18110236220472453</v>
      </c>
      <c r="K203" s="481"/>
      <c r="L203" s="37"/>
    </row>
    <row r="204" spans="1:12" ht="15.75">
      <c r="A204" s="4"/>
      <c r="B204" s="74"/>
      <c r="C204" s="398">
        <v>12</v>
      </c>
      <c r="D204" s="399"/>
      <c r="E204" s="405">
        <f>'Rate Tables'!E234/(+Inputs!$D$112-Inputs!$D$117+$C204*Inputs!$D$103)-1</f>
        <v>0.18047673098751416</v>
      </c>
      <c r="F204" s="405">
        <f>'Rate Tables'!F234/(+Inputs!$D$112-Inputs!$D$117+$C204*Inputs!$D$104)-1</f>
        <v>0.19962511715089049</v>
      </c>
      <c r="G204" s="405">
        <f>'Rate Tables'!G234/(+Inputs!$D$112-Inputs!$D$117+$C204*Inputs!$D$105)-1</f>
        <v>0.17755572636433525</v>
      </c>
      <c r="H204" s="405">
        <f>'Rate Tables'!H234/(+Inputs!$D$112-Inputs!$D$117+$C204*Inputs!$D$106)-1</f>
        <v>0.1705184259837602</v>
      </c>
      <c r="I204" s="470">
        <f>+'Rate Tables'!I234/(+Inputs!$D$113-Inputs!$D$117+$C204*Inputs!$D$107)-1</f>
        <v>0.23611111111111116</v>
      </c>
      <c r="J204" s="406">
        <f>+'Rate Tables'!J234/(+Inputs!$D$114-Inputs!$D$117+$C204*Inputs!$D$108)-1</f>
        <v>0.18566775244299683</v>
      </c>
      <c r="K204" s="481"/>
      <c r="L204" s="37"/>
    </row>
    <row r="205" spans="1:12" ht="15.75">
      <c r="A205" s="4"/>
      <c r="B205" s="74"/>
      <c r="C205" s="398">
        <v>13</v>
      </c>
      <c r="D205" s="399"/>
      <c r="E205" s="405">
        <f>'Rate Tables'!E235/(+Inputs!$D$112-Inputs!$D$117+$C205*Inputs!$D$103)-1</f>
        <v>0.17998912452419802</v>
      </c>
      <c r="F205" s="405">
        <f>'Rate Tables'!F235/(+Inputs!$D$112-Inputs!$D$117+$C205*Inputs!$D$104)-1</f>
        <v>0.199821587867975</v>
      </c>
      <c r="G205" s="405">
        <f>'Rate Tables'!G235/(+Inputs!$D$112-Inputs!$D$117+$C205*Inputs!$D$105)-1</f>
        <v>0.17715532921062205</v>
      </c>
      <c r="H205" s="405">
        <f>'Rate Tables'!H235/(+Inputs!$D$112-Inputs!$D$117+$C205*Inputs!$D$106)-1</f>
        <v>0.17005001471020886</v>
      </c>
      <c r="I205" s="470">
        <f>+'Rate Tables'!I235/(+Inputs!$D$113-Inputs!$D$117+$C205*Inputs!$D$107)-1</f>
        <v>0.24178895877009077</v>
      </c>
      <c r="J205" s="406">
        <f>+'Rate Tables'!J235/(+Inputs!$D$114-Inputs!$D$117+$C205*Inputs!$D$108)-1</f>
        <v>0.18992654774396622</v>
      </c>
      <c r="K205" s="481"/>
      <c r="L205" s="37"/>
    </row>
    <row r="206" spans="1:12" ht="15.75">
      <c r="A206" s="4"/>
      <c r="B206" s="74"/>
      <c r="C206" s="398">
        <v>14</v>
      </c>
      <c r="D206" s="399"/>
      <c r="E206" s="405">
        <f>'Rate Tables'!E236/(+Inputs!$D$112-Inputs!$D$117+$C206*Inputs!$D$103)-1</f>
        <v>0.17954070981210846</v>
      </c>
      <c r="F206" s="405">
        <f>'Rate Tables'!F236/(+Inputs!$D$112-Inputs!$D$117+$C206*Inputs!$D$104)-1</f>
        <v>0.20000000000000018</v>
      </c>
      <c r="G206" s="405">
        <f>'Rate Tables'!G236/(+Inputs!$D$112-Inputs!$D$117+$C206*Inputs!$D$105)-1</f>
        <v>0.17679558011049723</v>
      </c>
      <c r="H206" s="405">
        <f>'Rate Tables'!H236/(+Inputs!$D$112-Inputs!$D$117+$C206*Inputs!$D$106)-1</f>
        <v>0.16963292547274733</v>
      </c>
      <c r="I206" s="470">
        <f>+'Rate Tables'!I236/(+Inputs!$D$113-Inputs!$D$117+$C206*Inputs!$D$107)-1</f>
        <v>0.24698795180722888</v>
      </c>
      <c r="J206" s="406">
        <f>+'Rate Tables'!J236/(+Inputs!$D$114-Inputs!$D$117+$C206*Inputs!$D$108)-1</f>
        <v>0.19390862944162435</v>
      </c>
      <c r="K206" s="481"/>
      <c r="L206" s="37"/>
    </row>
    <row r="207" spans="1:12" ht="15.75">
      <c r="A207" s="4"/>
      <c r="B207" s="74"/>
      <c r="C207" s="398">
        <v>15</v>
      </c>
      <c r="D207" s="399"/>
      <c r="E207" s="405">
        <f>'Rate Tables'!E237/(+Inputs!$D$112-Inputs!$D$117+$C207*Inputs!$D$103)-1</f>
        <v>0.1791269443050676</v>
      </c>
      <c r="F207" s="405">
        <f>'Rate Tables'!F237/(+Inputs!$D$112-Inputs!$D$117+$C207*Inputs!$D$104)-1</f>
        <v>0.2001627339300247</v>
      </c>
      <c r="G207" s="405">
        <f>'Rate Tables'!G237/(+Inputs!$D$112-Inputs!$D$117+$C207*Inputs!$D$105)-1</f>
        <v>0.17647058823529393</v>
      </c>
      <c r="H207" s="405">
        <f>'Rate Tables'!H237/(+Inputs!$D$112-Inputs!$D$117+$C207*Inputs!$D$106)-1</f>
        <v>0.16925916161349863</v>
      </c>
      <c r="I207" s="470">
        <f>+'Rate Tables'!I237/(+Inputs!$D$113-Inputs!$D$117+$C207*Inputs!$D$107)-1</f>
        <v>0.25176621708413616</v>
      </c>
      <c r="J207" s="406">
        <f>+'Rate Tables'!J237/(+Inputs!$D$114-Inputs!$D$117+$C207*Inputs!$D$108)-1</f>
        <v>0.1976401179941003</v>
      </c>
      <c r="K207" s="60"/>
      <c r="L207" s="37"/>
    </row>
    <row r="208" spans="1:11" ht="16.5" thickBot="1">
      <c r="A208" s="179"/>
      <c r="B208" s="295"/>
      <c r="C208" s="402"/>
      <c r="D208" s="403"/>
      <c r="E208" s="393"/>
      <c r="F208" s="393"/>
      <c r="G208" s="394"/>
      <c r="H208" s="395"/>
      <c r="I208" s="395"/>
      <c r="J208" s="345"/>
      <c r="K208" s="61"/>
    </row>
    <row r="209" spans="1:10" ht="12.75">
      <c r="A209" s="62"/>
      <c r="B209" s="39"/>
      <c r="C209" s="225"/>
      <c r="D209" s="225"/>
      <c r="E209" s="225"/>
      <c r="F209" s="225"/>
      <c r="G209" s="225"/>
      <c r="H209" s="225"/>
      <c r="I209" s="225"/>
      <c r="J209" s="226"/>
    </row>
    <row r="210" spans="1:10" ht="15.75">
      <c r="A210" s="63"/>
      <c r="B210" s="41"/>
      <c r="C210" s="203" t="s">
        <v>811</v>
      </c>
      <c r="D210" s="203"/>
      <c r="E210" s="227"/>
      <c r="F210" s="227"/>
      <c r="G210" s="227"/>
      <c r="H210" s="309"/>
      <c r="I210" s="227"/>
      <c r="J210" s="228"/>
    </row>
    <row r="211" spans="1:10" ht="13.5" thickBot="1">
      <c r="A211" s="63"/>
      <c r="B211" s="41"/>
      <c r="C211" s="229"/>
      <c r="D211" s="404"/>
      <c r="E211" s="230"/>
      <c r="F211" s="230"/>
      <c r="G211" s="230"/>
      <c r="H211" s="230"/>
      <c r="I211" s="230"/>
      <c r="J211" s="231"/>
    </row>
    <row r="212" spans="1:10" ht="13.5" thickTop="1">
      <c r="A212" s="63"/>
      <c r="B212" s="41"/>
      <c r="C212" s="227" t="s">
        <v>653</v>
      </c>
      <c r="D212" s="227"/>
      <c r="E212" s="227"/>
      <c r="F212" s="227"/>
      <c r="G212" s="227"/>
      <c r="H212" s="227"/>
      <c r="I212" s="227"/>
      <c r="J212" s="228"/>
    </row>
    <row r="213" spans="1:10" ht="12.75">
      <c r="A213" s="63"/>
      <c r="B213" s="41"/>
      <c r="C213" s="227" t="s">
        <v>535</v>
      </c>
      <c r="D213" s="227"/>
      <c r="E213" s="227"/>
      <c r="F213" s="227"/>
      <c r="G213" s="227"/>
      <c r="H213" s="227"/>
      <c r="I213" s="227"/>
      <c r="J213" s="228"/>
    </row>
    <row r="214" spans="1:10" ht="12.75">
      <c r="A214" s="63"/>
      <c r="B214" s="41"/>
      <c r="C214" s="227" t="s">
        <v>767</v>
      </c>
      <c r="D214" s="227"/>
      <c r="E214" s="227"/>
      <c r="F214" s="227"/>
      <c r="G214" s="227"/>
      <c r="H214" s="227"/>
      <c r="I214" s="227"/>
      <c r="J214" s="228"/>
    </row>
    <row r="215" spans="1:10" ht="12.75">
      <c r="A215" s="63"/>
      <c r="B215" s="41"/>
      <c r="C215" s="227" t="s">
        <v>233</v>
      </c>
      <c r="D215" s="227"/>
      <c r="E215" s="227"/>
      <c r="F215" s="227"/>
      <c r="G215" s="227"/>
      <c r="H215" s="227"/>
      <c r="I215" s="227"/>
      <c r="J215" s="228"/>
    </row>
    <row r="216" spans="1:10" ht="12" customHeight="1">
      <c r="A216" s="63"/>
      <c r="B216" s="41"/>
      <c r="C216" s="227" t="s">
        <v>227</v>
      </c>
      <c r="D216" s="227"/>
      <c r="E216" s="227"/>
      <c r="F216" s="227"/>
      <c r="G216" s="227"/>
      <c r="H216" s="227"/>
      <c r="I216" s="227"/>
      <c r="J216" s="228"/>
    </row>
    <row r="217" spans="1:10" ht="12.75">
      <c r="A217" s="63"/>
      <c r="B217" s="41"/>
      <c r="C217" s="227" t="s">
        <v>527</v>
      </c>
      <c r="D217" s="227"/>
      <c r="E217" s="227"/>
      <c r="F217" s="227"/>
      <c r="G217" s="227"/>
      <c r="H217" s="227"/>
      <c r="I217" s="227"/>
      <c r="J217" s="228"/>
    </row>
    <row r="218" spans="1:10" ht="12.75">
      <c r="A218" s="63"/>
      <c r="B218" s="41"/>
      <c r="C218" s="227" t="s">
        <v>537</v>
      </c>
      <c r="D218" s="227"/>
      <c r="E218" s="227"/>
      <c r="F218" s="227"/>
      <c r="G218" s="227"/>
      <c r="H218" s="227"/>
      <c r="I218" s="227"/>
      <c r="J218" s="228"/>
    </row>
    <row r="219" spans="1:10" ht="12.75">
      <c r="A219" s="63"/>
      <c r="B219" s="41"/>
      <c r="C219" s="227" t="s">
        <v>234</v>
      </c>
      <c r="D219" s="227"/>
      <c r="E219" s="227"/>
      <c r="F219" s="227"/>
      <c r="G219" s="227"/>
      <c r="H219" s="227"/>
      <c r="I219" s="227"/>
      <c r="J219" s="228"/>
    </row>
    <row r="220" spans="1:10" ht="12.75">
      <c r="A220" s="63"/>
      <c r="B220" s="41"/>
      <c r="C220" s="227" t="s">
        <v>235</v>
      </c>
      <c r="D220" s="227"/>
      <c r="E220" s="227"/>
      <c r="F220" s="227"/>
      <c r="G220" s="227"/>
      <c r="H220" s="227"/>
      <c r="I220" s="227"/>
      <c r="J220" s="228"/>
    </row>
    <row r="221" spans="1:10" ht="12.75">
      <c r="A221" s="63"/>
      <c r="B221" s="41"/>
      <c r="C221" s="227" t="s">
        <v>522</v>
      </c>
      <c r="D221" s="227"/>
      <c r="E221" s="227"/>
      <c r="F221" s="227"/>
      <c r="G221" s="227"/>
      <c r="H221" s="227"/>
      <c r="I221" s="227"/>
      <c r="J221" s="228"/>
    </row>
    <row r="222" spans="1:10" ht="12.75">
      <c r="A222" s="63"/>
      <c r="B222" s="41"/>
      <c r="C222" s="227" t="s">
        <v>529</v>
      </c>
      <c r="D222" s="227"/>
      <c r="E222" s="227"/>
      <c r="F222" s="227"/>
      <c r="G222" s="227"/>
      <c r="H222" s="227"/>
      <c r="I222" s="227"/>
      <c r="J222" s="228"/>
    </row>
    <row r="223" spans="1:10" ht="12.75">
      <c r="A223" s="63"/>
      <c r="B223" s="41"/>
      <c r="C223" s="227" t="s">
        <v>537</v>
      </c>
      <c r="D223" s="227"/>
      <c r="E223" s="227"/>
      <c r="F223" s="227"/>
      <c r="G223" s="227"/>
      <c r="H223" s="227"/>
      <c r="I223" s="227"/>
      <c r="J223" s="228"/>
    </row>
    <row r="224" spans="1:10" ht="12.75">
      <c r="A224" s="63"/>
      <c r="B224" s="41"/>
      <c r="C224" s="227" t="s">
        <v>236</v>
      </c>
      <c r="D224" s="227"/>
      <c r="E224" s="227"/>
      <c r="F224" s="227"/>
      <c r="G224" s="227"/>
      <c r="H224" s="227"/>
      <c r="I224" s="227"/>
      <c r="J224" s="228"/>
    </row>
    <row r="225" spans="1:10" ht="12.75">
      <c r="A225" s="63"/>
      <c r="B225" s="41"/>
      <c r="C225" s="227" t="s">
        <v>235</v>
      </c>
      <c r="D225" s="227"/>
      <c r="E225" s="227"/>
      <c r="F225" s="227"/>
      <c r="G225" s="227"/>
      <c r="H225" s="227"/>
      <c r="I225" s="227"/>
      <c r="J225" s="228"/>
    </row>
    <row r="226" spans="1:10" ht="12.75">
      <c r="A226" s="63"/>
      <c r="B226" s="41"/>
      <c r="C226" s="227" t="s">
        <v>522</v>
      </c>
      <c r="D226" s="227"/>
      <c r="E226" s="227"/>
      <c r="F226" s="227"/>
      <c r="G226" s="227"/>
      <c r="H226" s="227"/>
      <c r="I226" s="227"/>
      <c r="J226" s="228"/>
    </row>
    <row r="227" spans="1:10" ht="12.75">
      <c r="A227" s="63"/>
      <c r="B227" s="41"/>
      <c r="C227" s="227"/>
      <c r="D227" s="227"/>
      <c r="E227" s="227"/>
      <c r="F227" s="227"/>
      <c r="G227" s="227"/>
      <c r="H227" s="227"/>
      <c r="I227" s="227"/>
      <c r="J227" s="228"/>
    </row>
    <row r="228" spans="1:10" ht="13.5" thickBot="1">
      <c r="A228" s="21"/>
      <c r="B228" s="43"/>
      <c r="C228" s="233"/>
      <c r="D228" s="233"/>
      <c r="E228" s="233"/>
      <c r="F228" s="233"/>
      <c r="G228" s="233"/>
      <c r="H228" s="233"/>
      <c r="I228" s="233"/>
      <c r="J228" s="234"/>
    </row>
  </sheetData>
  <mergeCells count="24">
    <mergeCell ref="C187:D187"/>
    <mergeCell ref="C188:D188"/>
    <mergeCell ref="A4:K4"/>
    <mergeCell ref="A44:K44"/>
    <mergeCell ref="A139:K139"/>
    <mergeCell ref="A86:J86"/>
    <mergeCell ref="A181:J181"/>
    <mergeCell ref="A182:J182"/>
    <mergeCell ref="E185:H185"/>
    <mergeCell ref="E90:H90"/>
    <mergeCell ref="C91:D91"/>
    <mergeCell ref="C92:D92"/>
    <mergeCell ref="A87:J87"/>
    <mergeCell ref="C93:D93"/>
    <mergeCell ref="C8:D8"/>
    <mergeCell ref="C9:D9"/>
    <mergeCell ref="C144:D144"/>
    <mergeCell ref="C186:D186"/>
    <mergeCell ref="C145:D145"/>
    <mergeCell ref="C143:D143"/>
    <mergeCell ref="C10:D10"/>
    <mergeCell ref="C48:D48"/>
    <mergeCell ref="C49:D49"/>
    <mergeCell ref="C50:D50"/>
  </mergeCells>
  <printOptions/>
  <pageMargins left="0.75" right="0.75" top="1" bottom="1" header="0.5" footer="0.5"/>
  <pageSetup fitToHeight="0" horizontalDpi="600" verticalDpi="600" orientation="portrait" scale="75" r:id="rId1"/>
  <headerFooter alignWithMargins="0">
    <oddHeader>&amp;RUSPS-LR-L-41
Bound Printed Matter Spreadsheets
&amp;A</oddHeader>
    <oddFooter>&amp;CPage &amp;P of &amp;N&amp;R&amp;D</oddFooter>
  </headerFooter>
  <rowBreaks count="4" manualBreakCount="4">
    <brk id="38" max="255" man="1"/>
    <brk id="80" max="255" man="1"/>
    <brk id="133" max="255" man="1"/>
    <brk id="17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2.7109375" style="0" customWidth="1"/>
    <col min="4" max="4" width="15.421875" style="0" customWidth="1"/>
    <col min="5" max="10" width="14.140625" style="0" customWidth="1"/>
    <col min="11" max="11" width="14.7109375" style="0" customWidth="1"/>
    <col min="12" max="12" width="17.00390625" style="0" customWidth="1"/>
    <col min="13" max="13" width="16.421875" style="0" customWidth="1"/>
    <col min="14" max="14" width="15.00390625" style="0" customWidth="1"/>
    <col min="15" max="15" width="18.140625" style="0" customWidth="1"/>
    <col min="16" max="16" width="14.7109375" style="0" customWidth="1"/>
    <col min="17" max="17" width="18.57421875" style="0" customWidth="1"/>
    <col min="19" max="19" width="12.7109375" style="0" bestFit="1" customWidth="1"/>
  </cols>
  <sheetData>
    <row r="1" spans="1:17" ht="15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</row>
    <row r="2" spans="1:17" ht="15.75">
      <c r="A2" s="4"/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36"/>
      <c r="Q2" s="665" t="s">
        <v>591</v>
      </c>
    </row>
    <row r="3" spans="1:17" ht="15.75">
      <c r="A3" s="4"/>
      <c r="B3" s="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36"/>
      <c r="Q3" s="665" t="s">
        <v>915</v>
      </c>
    </row>
    <row r="4" spans="1:17" ht="18">
      <c r="A4" s="692" t="s">
        <v>796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4"/>
    </row>
    <row r="5" spans="1:17" ht="15.75" thickBot="1">
      <c r="A5" s="1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7"/>
      <c r="N5" s="177"/>
      <c r="O5" s="11"/>
      <c r="P5" s="11"/>
      <c r="Q5" s="13"/>
    </row>
    <row r="6" spans="1:17" ht="16.5" thickTop="1">
      <c r="A6" s="4"/>
      <c r="B6" s="14"/>
      <c r="C6" s="118"/>
      <c r="D6" s="268"/>
      <c r="E6" s="115"/>
      <c r="F6" s="115"/>
      <c r="G6" s="115"/>
      <c r="H6" s="115"/>
      <c r="I6" s="115"/>
      <c r="J6" s="115"/>
      <c r="K6" s="115"/>
      <c r="L6" s="115"/>
      <c r="M6" s="116"/>
      <c r="N6" s="116"/>
      <c r="O6" s="151"/>
      <c r="P6" s="145"/>
      <c r="Q6" s="146"/>
    </row>
    <row r="7" spans="1:17" ht="18.75">
      <c r="A7" s="4"/>
      <c r="B7" s="14"/>
      <c r="C7" s="118"/>
      <c r="D7" s="127" t="s">
        <v>282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66" t="s">
        <v>283</v>
      </c>
      <c r="P7" s="67"/>
      <c r="Q7" s="68"/>
    </row>
    <row r="8" spans="1:17" ht="15.75">
      <c r="A8" s="4"/>
      <c r="B8" s="14"/>
      <c r="C8" s="118"/>
      <c r="D8" s="154"/>
      <c r="E8" s="82"/>
      <c r="F8" s="82"/>
      <c r="G8" s="82"/>
      <c r="H8" s="82"/>
      <c r="I8" s="82"/>
      <c r="J8" s="82"/>
      <c r="K8" s="82"/>
      <c r="L8" s="82"/>
      <c r="M8" s="82"/>
      <c r="N8" s="82"/>
      <c r="O8" s="66"/>
      <c r="P8" s="67"/>
      <c r="Q8" s="68"/>
    </row>
    <row r="9" spans="1:17" ht="15.75">
      <c r="A9" s="4"/>
      <c r="B9" s="14"/>
      <c r="C9" s="118"/>
      <c r="D9" s="237"/>
      <c r="E9" s="296"/>
      <c r="F9" s="163"/>
      <c r="G9" s="515"/>
      <c r="H9" s="296"/>
      <c r="I9" s="163"/>
      <c r="J9" s="163"/>
      <c r="K9" s="163"/>
      <c r="L9" s="163"/>
      <c r="M9" s="163"/>
      <c r="N9" s="515"/>
      <c r="O9" s="67"/>
      <c r="P9" s="67"/>
      <c r="Q9" s="68"/>
    </row>
    <row r="10" spans="1:17" ht="15.75">
      <c r="A10" s="4"/>
      <c r="B10" s="14"/>
      <c r="C10" s="118"/>
      <c r="D10" s="157"/>
      <c r="E10" s="127" t="s">
        <v>879</v>
      </c>
      <c r="F10" s="149"/>
      <c r="G10" s="514"/>
      <c r="H10" s="127"/>
      <c r="I10" s="149"/>
      <c r="J10" s="149"/>
      <c r="K10" s="149"/>
      <c r="L10" s="149"/>
      <c r="M10" s="149"/>
      <c r="N10" s="514"/>
      <c r="O10" s="67"/>
      <c r="P10" s="67"/>
      <c r="Q10" s="68"/>
    </row>
    <row r="11" spans="1:17" ht="15.75">
      <c r="A11" s="4"/>
      <c r="B11" s="178"/>
      <c r="C11" s="153"/>
      <c r="D11" s="243"/>
      <c r="E11" s="154"/>
      <c r="F11" s="82"/>
      <c r="G11" s="516"/>
      <c r="H11" s="154"/>
      <c r="I11" s="149"/>
      <c r="J11" s="149"/>
      <c r="K11" s="67"/>
      <c r="L11" s="67"/>
      <c r="M11" s="67"/>
      <c r="N11" s="483"/>
      <c r="O11" s="82"/>
      <c r="P11" s="82"/>
      <c r="Q11" s="160"/>
    </row>
    <row r="12" spans="1:17" ht="15.75">
      <c r="A12" s="4"/>
      <c r="B12" s="178"/>
      <c r="C12" s="156"/>
      <c r="D12" s="157"/>
      <c r="E12" s="237"/>
      <c r="F12" s="237"/>
      <c r="G12" s="237"/>
      <c r="H12" s="149"/>
      <c r="I12" s="684" t="s">
        <v>144</v>
      </c>
      <c r="J12" s="685"/>
      <c r="K12" s="686"/>
      <c r="L12" s="684" t="s">
        <v>145</v>
      </c>
      <c r="M12" s="685"/>
      <c r="N12" s="686"/>
      <c r="O12" s="149"/>
      <c r="P12" s="127"/>
      <c r="Q12" s="193"/>
    </row>
    <row r="13" spans="1:17" ht="15.75">
      <c r="A13" s="4"/>
      <c r="B13" s="178"/>
      <c r="C13" s="156"/>
      <c r="D13" s="157" t="s">
        <v>536</v>
      </c>
      <c r="E13" s="157"/>
      <c r="F13" s="157"/>
      <c r="G13" s="157" t="s">
        <v>898</v>
      </c>
      <c r="H13" s="149"/>
      <c r="I13" s="157" t="s">
        <v>847</v>
      </c>
      <c r="J13" s="157" t="s">
        <v>847</v>
      </c>
      <c r="K13" s="157" t="s">
        <v>847</v>
      </c>
      <c r="L13" s="157" t="s">
        <v>901</v>
      </c>
      <c r="M13" s="157" t="s">
        <v>901</v>
      </c>
      <c r="N13" s="157" t="s">
        <v>901</v>
      </c>
      <c r="O13" s="149"/>
      <c r="P13" s="127" t="s">
        <v>841</v>
      </c>
      <c r="Q13" s="193" t="s">
        <v>844</v>
      </c>
    </row>
    <row r="14" spans="1:17" ht="15.75">
      <c r="A14" s="4"/>
      <c r="B14" s="178"/>
      <c r="C14" s="156"/>
      <c r="D14" s="157" t="s">
        <v>844</v>
      </c>
      <c r="E14" s="157" t="s">
        <v>844</v>
      </c>
      <c r="F14" s="157" t="s">
        <v>897</v>
      </c>
      <c r="G14" s="157" t="s">
        <v>899</v>
      </c>
      <c r="H14" s="149" t="s">
        <v>844</v>
      </c>
      <c r="I14" s="157" t="s">
        <v>844</v>
      </c>
      <c r="J14" s="157" t="s">
        <v>897</v>
      </c>
      <c r="K14" s="157" t="s">
        <v>900</v>
      </c>
      <c r="L14" s="157" t="s">
        <v>844</v>
      </c>
      <c r="M14" s="157" t="s">
        <v>897</v>
      </c>
      <c r="N14" s="157" t="s">
        <v>900</v>
      </c>
      <c r="O14" s="149" t="s">
        <v>844</v>
      </c>
      <c r="P14" s="127" t="s">
        <v>842</v>
      </c>
      <c r="Q14" s="193" t="s">
        <v>846</v>
      </c>
    </row>
    <row r="15" spans="1:17" ht="15.75">
      <c r="A15" s="4"/>
      <c r="B15" s="178"/>
      <c r="C15" s="81" t="s">
        <v>848</v>
      </c>
      <c r="D15" s="269" t="s">
        <v>163</v>
      </c>
      <c r="E15" s="158" t="s">
        <v>164</v>
      </c>
      <c r="F15" s="158" t="s">
        <v>165</v>
      </c>
      <c r="G15" s="158" t="s">
        <v>166</v>
      </c>
      <c r="H15" s="298" t="s">
        <v>167</v>
      </c>
      <c r="I15" s="158" t="s">
        <v>168</v>
      </c>
      <c r="J15" s="158" t="s">
        <v>169</v>
      </c>
      <c r="K15" s="158" t="s">
        <v>170</v>
      </c>
      <c r="L15" s="158" t="s">
        <v>171</v>
      </c>
      <c r="M15" s="158" t="s">
        <v>172</v>
      </c>
      <c r="N15" s="158" t="s">
        <v>289</v>
      </c>
      <c r="O15" s="82" t="s">
        <v>691</v>
      </c>
      <c r="P15" s="154" t="s">
        <v>692</v>
      </c>
      <c r="Q15" s="246" t="s">
        <v>693</v>
      </c>
    </row>
    <row r="16" spans="1:17" ht="15.75">
      <c r="A16" s="4"/>
      <c r="B16" s="178"/>
      <c r="C16" s="222"/>
      <c r="D16" s="270"/>
      <c r="E16" s="271"/>
      <c r="F16" s="271"/>
      <c r="G16" s="271"/>
      <c r="H16" s="271"/>
      <c r="I16" s="271"/>
      <c r="J16" s="271"/>
      <c r="K16" s="272"/>
      <c r="L16" s="271"/>
      <c r="M16" s="271"/>
      <c r="N16" s="271"/>
      <c r="O16" s="273"/>
      <c r="P16" s="207"/>
      <c r="Q16" s="274"/>
    </row>
    <row r="17" spans="1:19" ht="15.75">
      <c r="A17" s="4"/>
      <c r="B17" s="178" t="s">
        <v>151</v>
      </c>
      <c r="C17" s="222" t="s">
        <v>881</v>
      </c>
      <c r="D17" s="275">
        <f>+Inputs!D45</f>
        <v>654853182.784023</v>
      </c>
      <c r="E17" s="276">
        <f>+$D$17*'Distribution Factors'!D66</f>
        <v>31275632.04928627</v>
      </c>
      <c r="F17" s="276">
        <f>+E17*Inputs!$D$32</f>
        <v>13733261.752042515</v>
      </c>
      <c r="G17" s="276">
        <f>+E17-F17</f>
        <v>17542370.29724375</v>
      </c>
      <c r="H17" s="165">
        <f>+I17+L17</f>
        <v>623577550.7347367</v>
      </c>
      <c r="I17" s="276">
        <f>+$D$17*'Distribution Factors'!E66</f>
        <v>455355656.478007</v>
      </c>
      <c r="J17" s="276">
        <f>+I17*Inputs!$D$33</f>
        <v>177655470.5881147</v>
      </c>
      <c r="K17" s="276">
        <f>+I17-J17</f>
        <v>277700185.88989234</v>
      </c>
      <c r="L17" s="276">
        <f>+$D$17*'Distribution Factors'!F66</f>
        <v>168221894.25672972</v>
      </c>
      <c r="M17" s="276">
        <f>+L17*Inputs!$D$34</f>
        <v>109764295.45704946</v>
      </c>
      <c r="N17" s="276">
        <f>+L17-M17</f>
        <v>58457598.79968026</v>
      </c>
      <c r="O17" s="277">
        <f>+Q17+P17</f>
        <v>1527624496.7246058</v>
      </c>
      <c r="P17" s="277">
        <f>+'Distribution Factors'!D22/'Distribution Factors'!D63*E17</f>
        <v>67896095.16860673</v>
      </c>
      <c r="Q17" s="520">
        <f>+'Distribution Factors'!E22/('Distribution Factors'!E63+'Distribution Factors'!F63)*(H17)</f>
        <v>1459728401.555999</v>
      </c>
      <c r="S17" s="18"/>
    </row>
    <row r="18" spans="1:17" ht="15.75">
      <c r="A18" s="4"/>
      <c r="B18" s="74"/>
      <c r="C18" s="129"/>
      <c r="D18" s="279"/>
      <c r="E18" s="150"/>
      <c r="F18" s="150"/>
      <c r="G18" s="150"/>
      <c r="H18" s="150"/>
      <c r="I18" s="161"/>
      <c r="J18" s="276"/>
      <c r="K18" s="276"/>
      <c r="L18" s="150"/>
      <c r="M18" s="276"/>
      <c r="N18" s="276"/>
      <c r="O18" s="280"/>
      <c r="P18" s="150"/>
      <c r="Q18" s="195"/>
    </row>
    <row r="19" spans="1:18" ht="15.75">
      <c r="A19" s="4"/>
      <c r="B19" s="74" t="s">
        <v>152</v>
      </c>
      <c r="C19" s="83" t="s">
        <v>849</v>
      </c>
      <c r="D19" s="276">
        <f aca="true" t="shared" si="0" ref="D19:D25">+I19+L19+E19</f>
        <v>497151055.28554755</v>
      </c>
      <c r="E19" s="164">
        <f>+E$17*('Distribution Factors'!G54+'Distribution Factors'!G55)</f>
        <v>11119000.604470419</v>
      </c>
      <c r="F19" s="276">
        <f>+E19*Inputs!$D$32</f>
        <v>4882399.993761146</v>
      </c>
      <c r="G19" s="276">
        <f aca="true" t="shared" si="1" ref="G19:G25">+E19-F19</f>
        <v>6236600.610709272</v>
      </c>
      <c r="H19" s="165">
        <f aca="true" t="shared" si="2" ref="H19:H25">+I19+L19</f>
        <v>486032054.6810771</v>
      </c>
      <c r="I19" s="164">
        <f>+I$17*('Distribution Factors'!H54+'Distribution Factors'!H55)</f>
        <v>327497695.91858435</v>
      </c>
      <c r="J19" s="276">
        <f>+I19*Inputs!$D$33</f>
        <v>127772119.34721948</v>
      </c>
      <c r="K19" s="276">
        <f aca="true" t="shared" si="3" ref="K19:K25">+I19-J19</f>
        <v>199725576.57136488</v>
      </c>
      <c r="L19" s="164">
        <f>+L$17*('Distribution Factors'!I54+'Distribution Factors'!I55)</f>
        <v>158534358.7624928</v>
      </c>
      <c r="M19" s="276">
        <f>+L19*Inputs!$D$34</f>
        <v>103443206.7965136</v>
      </c>
      <c r="N19" s="276">
        <f aca="true" t="shared" si="4" ref="N19:N25">+L19-M19</f>
        <v>55091151.9659792</v>
      </c>
      <c r="O19" s="277">
        <f aca="true" t="shared" si="5" ref="O19:O25">+Q19+P19</f>
        <v>1176767152.2269495</v>
      </c>
      <c r="P19" s="249">
        <f>+P$17*('Distribution Factors'!G13+'Distribution Factors'!G14)</f>
        <v>23242691.359682944</v>
      </c>
      <c r="Q19" s="250">
        <f>+$Q$17*('Distribution Factors'!H13+'Distribution Factors'!H14)</f>
        <v>1153524460.8672664</v>
      </c>
      <c r="R19" s="18"/>
    </row>
    <row r="20" spans="1:18" ht="15.75">
      <c r="A20" s="4"/>
      <c r="B20" s="74" t="s">
        <v>153</v>
      </c>
      <c r="C20" s="83">
        <v>3</v>
      </c>
      <c r="D20" s="276">
        <f t="shared" si="0"/>
        <v>59553427.597028844</v>
      </c>
      <c r="E20" s="164">
        <f>+E$17*'Distribution Factors'!G56</f>
        <v>3365180.3850589343</v>
      </c>
      <c r="F20" s="276">
        <f>+E20*Inputs!$D$32</f>
        <v>1477664.8797384806</v>
      </c>
      <c r="G20" s="276">
        <f t="shared" si="1"/>
        <v>1887515.5053204538</v>
      </c>
      <c r="H20" s="165">
        <f t="shared" si="2"/>
        <v>56188247.21196991</v>
      </c>
      <c r="I20" s="164">
        <f>+I$17*'Distribution Factors'!H56</f>
        <v>50120651.47620967</v>
      </c>
      <c r="J20" s="276">
        <f>+I20*Inputs!$D$33</f>
        <v>19554402.800350353</v>
      </c>
      <c r="K20" s="276">
        <f t="shared" si="3"/>
        <v>30566248.675859317</v>
      </c>
      <c r="L20" s="164">
        <f>+L$17*'Distribution Factors'!I56</f>
        <v>6067595.7357602455</v>
      </c>
      <c r="M20" s="276">
        <f>+L20*Inputs!$D$34</f>
        <v>3959088.524098446</v>
      </c>
      <c r="N20" s="276">
        <f t="shared" si="4"/>
        <v>2108507.2116617993</v>
      </c>
      <c r="O20" s="277">
        <f t="shared" si="5"/>
        <v>149193250.45845473</v>
      </c>
      <c r="P20" s="249">
        <f>+P$17*'Distribution Factors'!G15</f>
        <v>7716375.5377974585</v>
      </c>
      <c r="Q20" s="250">
        <f>+$Q$17*('Distribution Factors'!H15)</f>
        <v>141476874.92065728</v>
      </c>
      <c r="R20" s="18"/>
    </row>
    <row r="21" spans="1:18" ht="15.75">
      <c r="A21" s="4"/>
      <c r="B21" s="74" t="s">
        <v>154</v>
      </c>
      <c r="C21" s="83">
        <v>4</v>
      </c>
      <c r="D21" s="276">
        <f t="shared" si="0"/>
        <v>33778986.90644385</v>
      </c>
      <c r="E21" s="164">
        <f>+E$17*'Distribution Factors'!G57</f>
        <v>4727336.152537069</v>
      </c>
      <c r="F21" s="276">
        <f>+E21*Inputs!$D$32</f>
        <v>2075793.2140388738</v>
      </c>
      <c r="G21" s="276">
        <f t="shared" si="1"/>
        <v>2651542.9384981953</v>
      </c>
      <c r="H21" s="165">
        <f t="shared" si="2"/>
        <v>29051650.75390678</v>
      </c>
      <c r="I21" s="164">
        <f>+I$17*'Distribution Factors'!H57</f>
        <v>27398910.63404104</v>
      </c>
      <c r="J21" s="276">
        <f>+I21*Inputs!$D$33</f>
        <v>10689592.394527238</v>
      </c>
      <c r="K21" s="276">
        <f t="shared" si="3"/>
        <v>16709318.239513803</v>
      </c>
      <c r="L21" s="164">
        <f>+L$17*'Distribution Factors'!I57</f>
        <v>1652740.119865737</v>
      </c>
      <c r="M21" s="276">
        <f>+L21*Inputs!$D$34</f>
        <v>1078408.1087198</v>
      </c>
      <c r="N21" s="276">
        <f t="shared" si="4"/>
        <v>574332.011145937</v>
      </c>
      <c r="O21" s="277">
        <f t="shared" si="5"/>
        <v>76658957.4436667</v>
      </c>
      <c r="P21" s="249">
        <f>+P$17*'Distribution Factors'!G16</f>
        <v>10579114.45499338</v>
      </c>
      <c r="Q21" s="250">
        <f>+$Q$17*('Distribution Factors'!H16)</f>
        <v>66079842.98867332</v>
      </c>
      <c r="R21" s="18"/>
    </row>
    <row r="22" spans="1:18" ht="15.75">
      <c r="A22" s="4"/>
      <c r="B22" s="74" t="s">
        <v>155</v>
      </c>
      <c r="C22" s="83">
        <v>5</v>
      </c>
      <c r="D22" s="276">
        <f t="shared" si="0"/>
        <v>25131585.604837924</v>
      </c>
      <c r="E22" s="164">
        <f>+E$17*'Distribution Factors'!G58</f>
        <v>4840301.64335919</v>
      </c>
      <c r="F22" s="276">
        <f>+E22*Inputs!$D$32</f>
        <v>2125396.8368198094</v>
      </c>
      <c r="G22" s="276">
        <f t="shared" si="1"/>
        <v>2714904.8065393805</v>
      </c>
      <c r="H22" s="165">
        <f t="shared" si="2"/>
        <v>20291283.961478733</v>
      </c>
      <c r="I22" s="164">
        <f>+I$17*'Distribution Factors'!H58</f>
        <v>19642578.532388683</v>
      </c>
      <c r="J22" s="276">
        <f>+I22*Inputs!$D$33</f>
        <v>7663485.636098722</v>
      </c>
      <c r="K22" s="276">
        <f t="shared" si="3"/>
        <v>11979092.896289961</v>
      </c>
      <c r="L22" s="164">
        <f>+L$17*'Distribution Factors'!I58</f>
        <v>648705.429090051</v>
      </c>
      <c r="M22" s="276">
        <f>+L22*Inputs!$D$34</f>
        <v>423278.40081603325</v>
      </c>
      <c r="N22" s="276">
        <f t="shared" si="4"/>
        <v>225427.02827401774</v>
      </c>
      <c r="O22" s="277">
        <f t="shared" si="5"/>
        <v>50238698.76490213</v>
      </c>
      <c r="P22" s="249">
        <f>+P$17*'Distribution Factors'!G17</f>
        <v>10986635.927241419</v>
      </c>
      <c r="Q22" s="250">
        <f>+$Q$17*('Distribution Factors'!H17)</f>
        <v>39252062.837660715</v>
      </c>
      <c r="R22" s="18"/>
    </row>
    <row r="23" spans="1:18" ht="15.75">
      <c r="A23" s="4"/>
      <c r="B23" s="74" t="s">
        <v>156</v>
      </c>
      <c r="C23" s="83">
        <v>6</v>
      </c>
      <c r="D23" s="276">
        <f t="shared" si="0"/>
        <v>13508001.193603564</v>
      </c>
      <c r="E23" s="164">
        <f>+E$17*'Distribution Factors'!G59</f>
        <v>2651038.0069715395</v>
      </c>
      <c r="F23" s="276">
        <f>+E23*Inputs!$D$32</f>
        <v>1164081.9538668317</v>
      </c>
      <c r="G23" s="276">
        <f t="shared" si="1"/>
        <v>1486956.0531047077</v>
      </c>
      <c r="H23" s="165">
        <f t="shared" si="2"/>
        <v>10856963.186632024</v>
      </c>
      <c r="I23" s="164">
        <f>+I$17*'Distribution Factors'!H59</f>
        <v>10682759.624233108</v>
      </c>
      <c r="J23" s="276">
        <f>+I23*Inputs!$D$33</f>
        <v>4167842.567064954</v>
      </c>
      <c r="K23" s="276">
        <f t="shared" si="3"/>
        <v>6514917.057168154</v>
      </c>
      <c r="L23" s="164">
        <f>+L$17*'Distribution Factors'!I59</f>
        <v>174203.56239891695</v>
      </c>
      <c r="M23" s="276">
        <f>+L23*Inputs!$D$34</f>
        <v>113667.3164769117</v>
      </c>
      <c r="N23" s="276">
        <f t="shared" si="4"/>
        <v>60536.245922005255</v>
      </c>
      <c r="O23" s="277">
        <f t="shared" si="5"/>
        <v>26659575.14741753</v>
      </c>
      <c r="P23" s="249">
        <f>+P$17*'Distribution Factors'!G18</f>
        <v>5934925.010103378</v>
      </c>
      <c r="Q23" s="250">
        <f>+$Q$17*('Distribution Factors'!H18)</f>
        <v>20724650.137314152</v>
      </c>
      <c r="R23" s="18"/>
    </row>
    <row r="24" spans="1:18" ht="15.75">
      <c r="A24" s="4"/>
      <c r="B24" s="74" t="s">
        <v>157</v>
      </c>
      <c r="C24" s="83">
        <v>7</v>
      </c>
      <c r="D24" s="276">
        <f t="shared" si="0"/>
        <v>8882499.41226794</v>
      </c>
      <c r="E24" s="164">
        <f>+E$17*'Distribution Factors'!G60</f>
        <v>1606724.858820539</v>
      </c>
      <c r="F24" s="276">
        <f>+E24*Inputs!$D$32</f>
        <v>705519.6523262451</v>
      </c>
      <c r="G24" s="276">
        <f t="shared" si="1"/>
        <v>901205.2064942939</v>
      </c>
      <c r="H24" s="165">
        <f t="shared" si="2"/>
        <v>7275774.553447401</v>
      </c>
      <c r="I24" s="164">
        <f>+I$17*'Distribution Factors'!H60</f>
        <v>6720864.856984196</v>
      </c>
      <c r="J24" s="276">
        <f>+I24*Inputs!$D$33</f>
        <v>2622122.7120834454</v>
      </c>
      <c r="K24" s="276">
        <f t="shared" si="3"/>
        <v>4098742.144900751</v>
      </c>
      <c r="L24" s="164">
        <f>+L$17*'Distribution Factors'!I60</f>
        <v>554909.696463205</v>
      </c>
      <c r="M24" s="276">
        <f>+L24*Inputs!$D$34</f>
        <v>362076.9587911842</v>
      </c>
      <c r="N24" s="276">
        <f t="shared" si="4"/>
        <v>192832.73767202086</v>
      </c>
      <c r="O24" s="277">
        <f t="shared" si="5"/>
        <v>17508026.95857107</v>
      </c>
      <c r="P24" s="249">
        <f>+P$17*'Distribution Factors'!G19</f>
        <v>3380157.682503557</v>
      </c>
      <c r="Q24" s="250">
        <f>+$Q$17*('Distribution Factors'!H19)</f>
        <v>14127869.276067512</v>
      </c>
      <c r="R24" s="18"/>
    </row>
    <row r="25" spans="1:18" ht="15.75">
      <c r="A25" s="4"/>
      <c r="B25" s="74" t="s">
        <v>158</v>
      </c>
      <c r="C25" s="83">
        <v>8</v>
      </c>
      <c r="D25" s="276">
        <f t="shared" si="0"/>
        <v>16847626.784293342</v>
      </c>
      <c r="E25" s="164">
        <f>+E$17*'Distribution Factors'!G61</f>
        <v>2966050.3980685803</v>
      </c>
      <c r="F25" s="276">
        <f>+E25*Inputs!$D$32</f>
        <v>1302405.2214911282</v>
      </c>
      <c r="G25" s="276">
        <f t="shared" si="1"/>
        <v>1663645.176577452</v>
      </c>
      <c r="H25" s="165">
        <f t="shared" si="2"/>
        <v>13881576.386224763</v>
      </c>
      <c r="I25" s="164">
        <f>+I$17*'Distribution Factors'!H61</f>
        <v>13292195.435566034</v>
      </c>
      <c r="J25" s="276">
        <f>+I25*Inputs!$D$33</f>
        <v>5185905.1307705175</v>
      </c>
      <c r="K25" s="276">
        <f t="shared" si="3"/>
        <v>8106290.304795517</v>
      </c>
      <c r="L25" s="164">
        <f>+L$17*'Distribution Factors'!I61</f>
        <v>589380.9506587299</v>
      </c>
      <c r="M25" s="276">
        <f>+L25*Inputs!$D$34</f>
        <v>384569.35163345106</v>
      </c>
      <c r="N25" s="276">
        <f t="shared" si="4"/>
        <v>204811.59902527882</v>
      </c>
      <c r="O25" s="277">
        <f t="shared" si="5"/>
        <v>30598835.72464422</v>
      </c>
      <c r="P25" s="249">
        <f>+P$17*'Distribution Factors'!G20</f>
        <v>6056195.196284583</v>
      </c>
      <c r="Q25" s="250">
        <f>+$Q$17*('Distribution Factors'!H20)</f>
        <v>24542640.52835964</v>
      </c>
      <c r="R25" s="18"/>
    </row>
    <row r="26" spans="1:17" ht="15.75">
      <c r="A26" s="4"/>
      <c r="B26" s="74"/>
      <c r="C26" s="83"/>
      <c r="D26" s="279"/>
      <c r="E26" s="134"/>
      <c r="F26" s="134"/>
      <c r="G26" s="134"/>
      <c r="H26" s="134"/>
      <c r="I26" s="134"/>
      <c r="J26" s="134"/>
      <c r="K26" s="166"/>
      <c r="L26" s="134"/>
      <c r="M26" s="134"/>
      <c r="N26" s="134"/>
      <c r="O26" s="281"/>
      <c r="P26" s="247"/>
      <c r="Q26" s="250"/>
    </row>
    <row r="27" spans="1:17" ht="16.5" thickBot="1">
      <c r="A27" s="179"/>
      <c r="B27" s="236"/>
      <c r="C27" s="135"/>
      <c r="D27" s="242"/>
      <c r="E27" s="171"/>
      <c r="F27" s="171"/>
      <c r="G27" s="171"/>
      <c r="H27" s="171"/>
      <c r="I27" s="171"/>
      <c r="J27" s="171"/>
      <c r="K27" s="170"/>
      <c r="L27" s="172"/>
      <c r="M27" s="137"/>
      <c r="N27" s="137"/>
      <c r="O27" s="241"/>
      <c r="P27" s="172"/>
      <c r="Q27" s="495"/>
    </row>
    <row r="28" spans="1:17" ht="12.75">
      <c r="A28" s="62"/>
      <c r="B28" s="39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6"/>
    </row>
    <row r="29" spans="1:17" ht="15.75">
      <c r="A29" s="63"/>
      <c r="B29" s="41"/>
      <c r="C29" s="203" t="s">
        <v>811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8"/>
    </row>
    <row r="30" spans="1:17" ht="13.5" thickBot="1">
      <c r="A30" s="63"/>
      <c r="B30" s="41"/>
      <c r="C30" s="229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</row>
    <row r="31" spans="1:17" ht="13.5" thickTop="1">
      <c r="A31" s="63"/>
      <c r="B31" s="41"/>
      <c r="C31" s="227" t="s">
        <v>237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8"/>
    </row>
    <row r="32" spans="1:17" ht="12.75">
      <c r="A32" s="63"/>
      <c r="B32" s="41"/>
      <c r="C32" s="227" t="s">
        <v>930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8"/>
    </row>
    <row r="33" spans="1:17" ht="12.75">
      <c r="A33" s="63"/>
      <c r="B33" s="41"/>
      <c r="C33" s="227" t="s">
        <v>931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</row>
    <row r="34" spans="1:17" ht="12.75">
      <c r="A34" s="63"/>
      <c r="B34" s="41"/>
      <c r="C34" s="227" t="s">
        <v>932</v>
      </c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</row>
    <row r="35" spans="1:17" ht="12.75">
      <c r="A35" s="63"/>
      <c r="B35" s="41"/>
      <c r="C35" s="227" t="s">
        <v>538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/>
    </row>
    <row r="36" spans="1:17" ht="12.75">
      <c r="A36" s="63"/>
      <c r="B36" s="41"/>
      <c r="C36" s="227" t="s">
        <v>539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8"/>
    </row>
    <row r="37" spans="1:17" ht="12.75">
      <c r="A37" s="63"/>
      <c r="B37" s="41"/>
      <c r="C37" s="227" t="s">
        <v>543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8"/>
    </row>
    <row r="38" spans="1:17" ht="12.75">
      <c r="A38" s="63"/>
      <c r="B38" s="41"/>
      <c r="C38" s="227" t="s">
        <v>540</v>
      </c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8"/>
    </row>
    <row r="39" spans="1:17" ht="12.75">
      <c r="A39" s="63"/>
      <c r="B39" s="41"/>
      <c r="C39" s="227" t="s">
        <v>541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8"/>
    </row>
    <row r="40" spans="1:17" ht="12.75">
      <c r="A40" s="63"/>
      <c r="B40" s="41"/>
      <c r="C40" s="227" t="s">
        <v>238</v>
      </c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8"/>
    </row>
    <row r="41" spans="1:17" ht="12.75">
      <c r="A41" s="63"/>
      <c r="B41" s="41"/>
      <c r="C41" s="227" t="s">
        <v>542</v>
      </c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8"/>
    </row>
    <row r="42" spans="1:17" ht="12.75">
      <c r="A42" s="63"/>
      <c r="B42" s="41"/>
      <c r="C42" s="227" t="s">
        <v>239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8"/>
    </row>
    <row r="43" spans="1:17" ht="12.75">
      <c r="A43" s="63"/>
      <c r="B43" s="41"/>
      <c r="C43" s="227" t="s">
        <v>544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8"/>
    </row>
    <row r="44" spans="1:17" ht="12.75">
      <c r="A44" s="63"/>
      <c r="B44" s="41"/>
      <c r="C44" s="227" t="s">
        <v>240</v>
      </c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8"/>
    </row>
    <row r="45" spans="1:17" ht="12.75">
      <c r="A45" s="63"/>
      <c r="B45" s="41"/>
      <c r="C45" s="227" t="s">
        <v>545</v>
      </c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8"/>
    </row>
    <row r="46" spans="1:17" ht="12.75">
      <c r="A46" s="63"/>
      <c r="B46" s="41"/>
      <c r="C46" s="227" t="s">
        <v>546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8"/>
    </row>
    <row r="47" spans="1:17" ht="12.75">
      <c r="A47" s="63"/>
      <c r="B47" s="41"/>
      <c r="C47" s="227" t="s">
        <v>551</v>
      </c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8"/>
    </row>
    <row r="48" spans="1:17" ht="12.75">
      <c r="A48" s="63"/>
      <c r="B48" s="41"/>
      <c r="C48" s="227" t="s">
        <v>552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8"/>
    </row>
    <row r="49" spans="1:17" ht="12.75">
      <c r="A49" s="63"/>
      <c r="B49" s="41"/>
      <c r="C49" s="227" t="s">
        <v>241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8"/>
    </row>
    <row r="50" spans="1:17" ht="12.75">
      <c r="A50" s="63"/>
      <c r="B50" s="41"/>
      <c r="C50" s="227" t="s">
        <v>553</v>
      </c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8"/>
    </row>
    <row r="51" spans="1:17" ht="12.75">
      <c r="A51" s="63"/>
      <c r="B51" s="41"/>
      <c r="C51" s="227" t="s">
        <v>554</v>
      </c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8"/>
    </row>
    <row r="52" spans="1:17" ht="12.75">
      <c r="A52" s="63"/>
      <c r="B52" s="41"/>
      <c r="C52" s="227" t="s">
        <v>555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8"/>
    </row>
    <row r="53" spans="1:17" ht="12.75">
      <c r="A53" s="63"/>
      <c r="B53" s="41"/>
      <c r="C53" s="227" t="s">
        <v>556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8"/>
    </row>
    <row r="54" spans="1:17" ht="12.75">
      <c r="A54" s="63"/>
      <c r="B54" s="41"/>
      <c r="C54" s="227" t="s">
        <v>242</v>
      </c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8"/>
    </row>
    <row r="55" spans="1:17" ht="12.75">
      <c r="A55" s="63"/>
      <c r="B55" s="41"/>
      <c r="C55" s="227" t="s">
        <v>557</v>
      </c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8"/>
    </row>
    <row r="56" spans="1:17" ht="12.75">
      <c r="A56" s="63"/>
      <c r="B56" s="41"/>
      <c r="C56" s="227" t="s">
        <v>558</v>
      </c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8"/>
    </row>
    <row r="57" spans="1:17" ht="12.75">
      <c r="A57" s="63"/>
      <c r="B57" s="41"/>
      <c r="C57" s="227" t="s">
        <v>559</v>
      </c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8"/>
    </row>
    <row r="58" spans="1:17" ht="12.75">
      <c r="A58" s="63"/>
      <c r="B58" s="41"/>
      <c r="C58" s="227" t="s">
        <v>243</v>
      </c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8"/>
    </row>
    <row r="59" spans="1:17" ht="12.75">
      <c r="A59" s="63"/>
      <c r="B59" s="41"/>
      <c r="C59" s="227" t="s">
        <v>113</v>
      </c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8"/>
    </row>
    <row r="60" spans="1:17" ht="12.75">
      <c r="A60" s="63"/>
      <c r="B60" s="41"/>
      <c r="C60" s="227" t="s">
        <v>132</v>
      </c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8"/>
    </row>
    <row r="61" spans="1:17" ht="12.75">
      <c r="A61" s="63"/>
      <c r="B61" s="41"/>
      <c r="C61" s="227" t="s">
        <v>114</v>
      </c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8"/>
    </row>
    <row r="62" spans="1:17" ht="12.75">
      <c r="A62" s="63"/>
      <c r="B62" s="41"/>
      <c r="C62" s="227" t="s">
        <v>115</v>
      </c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8"/>
    </row>
    <row r="63" spans="1:17" ht="12.75">
      <c r="A63" s="63"/>
      <c r="B63" s="41"/>
      <c r="C63" s="227" t="s">
        <v>116</v>
      </c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8"/>
    </row>
    <row r="64" spans="1:17" ht="12.75">
      <c r="A64" s="63"/>
      <c r="B64" s="41"/>
      <c r="C64" s="227" t="s">
        <v>117</v>
      </c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8"/>
    </row>
    <row r="65" spans="1:17" ht="12.75">
      <c r="A65" s="63"/>
      <c r="B65" s="41"/>
      <c r="C65" s="227" t="s">
        <v>118</v>
      </c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8"/>
    </row>
    <row r="66" spans="1:17" ht="12.75">
      <c r="A66" s="63"/>
      <c r="B66" s="41"/>
      <c r="C66" s="227" t="s">
        <v>119</v>
      </c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8"/>
    </row>
    <row r="67" spans="1:17" ht="12.75">
      <c r="A67" s="63"/>
      <c r="B67" s="41"/>
      <c r="C67" s="227" t="s">
        <v>120</v>
      </c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8"/>
    </row>
    <row r="68" spans="1:17" ht="12.75">
      <c r="A68" s="63"/>
      <c r="B68" s="41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8"/>
    </row>
    <row r="69" spans="1:17" ht="13.5" thickBot="1">
      <c r="A69" s="21"/>
      <c r="B69" s="4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4"/>
    </row>
  </sheetData>
  <mergeCells count="3">
    <mergeCell ref="L12:N12"/>
    <mergeCell ref="I12:K12"/>
    <mergeCell ref="A4:Q4"/>
  </mergeCells>
  <printOptions/>
  <pageMargins left="0.75" right="0.75" top="1" bottom="1" header="0.5" footer="0.5"/>
  <pageSetup fitToHeight="1" fitToWidth="1" horizontalDpi="600" verticalDpi="600" orientation="landscape" scale="49" r:id="rId1"/>
  <headerFooter alignWithMargins="0">
    <oddHeader>&amp;RUSPS-LR-L-41
Bound Printed Matter Spreadsheets
&amp;A</oddHeader>
    <oddFooter xml:space="preserve">&amp;CPage &amp;P of &amp;N&amp;R&amp;D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21.7109375" style="0" customWidth="1"/>
    <col min="4" max="4" width="14.57421875" style="0" customWidth="1"/>
    <col min="5" max="5" width="16.421875" style="0" customWidth="1"/>
    <col min="6" max="6" width="22.7109375" style="0" customWidth="1"/>
    <col min="7" max="7" width="16.140625" style="0" customWidth="1"/>
    <col min="8" max="8" width="16.00390625" style="0" customWidth="1"/>
    <col min="9" max="9" width="15.57421875" style="0" customWidth="1"/>
    <col min="10" max="10" width="15.421875" style="0" customWidth="1"/>
    <col min="11" max="11" width="10.00390625" style="0" customWidth="1"/>
  </cols>
  <sheetData>
    <row r="1" spans="1:10" ht="15">
      <c r="A1" s="173"/>
      <c r="B1" s="174"/>
      <c r="C1" s="175"/>
      <c r="D1" s="175"/>
      <c r="E1" s="175"/>
      <c r="F1" s="175"/>
      <c r="G1" s="175"/>
      <c r="H1" s="175"/>
      <c r="I1" s="175"/>
      <c r="J1" s="176"/>
    </row>
    <row r="2" spans="1:10" ht="15">
      <c r="A2" s="4"/>
      <c r="B2" s="5"/>
      <c r="C2" s="23"/>
      <c r="D2" s="23"/>
      <c r="E2" s="23"/>
      <c r="F2" s="23"/>
      <c r="G2" s="23"/>
      <c r="H2" s="23"/>
      <c r="I2" s="23"/>
      <c r="J2" s="657" t="s">
        <v>591</v>
      </c>
    </row>
    <row r="3" spans="1:10" ht="15">
      <c r="A3" s="4"/>
      <c r="B3" s="5"/>
      <c r="C3" s="23"/>
      <c r="D3" s="23"/>
      <c r="E3" s="23"/>
      <c r="F3" s="23"/>
      <c r="G3" s="23"/>
      <c r="H3" s="23"/>
      <c r="I3" s="23"/>
      <c r="J3" s="657" t="s">
        <v>916</v>
      </c>
    </row>
    <row r="4" spans="1:10" ht="18">
      <c r="A4" s="692" t="s">
        <v>797</v>
      </c>
      <c r="B4" s="693"/>
      <c r="C4" s="693"/>
      <c r="D4" s="693"/>
      <c r="E4" s="693"/>
      <c r="F4" s="693"/>
      <c r="G4" s="693"/>
      <c r="H4" s="693"/>
      <c r="I4" s="693"/>
      <c r="J4" s="694"/>
    </row>
    <row r="5" spans="1:10" ht="15.75" thickBot="1">
      <c r="A5" s="15"/>
      <c r="B5" s="11"/>
      <c r="C5" s="11"/>
      <c r="D5" s="11"/>
      <c r="E5" s="11"/>
      <c r="F5" s="11"/>
      <c r="G5" s="11"/>
      <c r="H5" s="11"/>
      <c r="I5" s="11"/>
      <c r="J5" s="13"/>
    </row>
    <row r="6" spans="1:10" ht="16.5" thickTop="1">
      <c r="A6" s="4"/>
      <c r="B6" s="14"/>
      <c r="C6" s="118"/>
      <c r="D6" s="204"/>
      <c r="E6" s="115"/>
      <c r="F6" s="115"/>
      <c r="G6" s="145"/>
      <c r="H6" s="145"/>
      <c r="I6" s="145"/>
      <c r="J6" s="152"/>
    </row>
    <row r="7" spans="1:10" ht="18.75">
      <c r="A7" s="4"/>
      <c r="B7" s="14"/>
      <c r="C7" s="118" t="s">
        <v>320</v>
      </c>
      <c r="D7" s="204"/>
      <c r="E7" s="115"/>
      <c r="F7" s="115"/>
      <c r="G7" s="145"/>
      <c r="H7" s="145"/>
      <c r="I7" s="145"/>
      <c r="J7" s="146"/>
    </row>
    <row r="8" spans="1:10" ht="16.5" thickBot="1">
      <c r="A8" s="4"/>
      <c r="B8" s="14"/>
      <c r="C8" s="120"/>
      <c r="D8" s="216"/>
      <c r="E8" s="121"/>
      <c r="F8" s="121"/>
      <c r="G8" s="147"/>
      <c r="H8" s="147"/>
      <c r="I8" s="147"/>
      <c r="J8" s="148"/>
    </row>
    <row r="9" spans="1:10" ht="16.5" thickTop="1">
      <c r="A9" s="4"/>
      <c r="B9" s="14"/>
      <c r="C9" s="156" t="s">
        <v>853</v>
      </c>
      <c r="D9" s="157" t="s">
        <v>855</v>
      </c>
      <c r="E9" s="157" t="s">
        <v>856</v>
      </c>
      <c r="F9" s="157" t="s">
        <v>857</v>
      </c>
      <c r="G9" s="157" t="s">
        <v>858</v>
      </c>
      <c r="H9" s="157" t="s">
        <v>859</v>
      </c>
      <c r="I9" s="157" t="s">
        <v>860</v>
      </c>
      <c r="J9" s="193" t="s">
        <v>861</v>
      </c>
    </row>
    <row r="10" spans="1:10" ht="15.75">
      <c r="A10" s="4"/>
      <c r="B10" s="14"/>
      <c r="C10" s="81" t="s">
        <v>854</v>
      </c>
      <c r="D10" s="158" t="s">
        <v>163</v>
      </c>
      <c r="E10" s="158" t="s">
        <v>164</v>
      </c>
      <c r="F10" s="158" t="s">
        <v>165</v>
      </c>
      <c r="G10" s="158" t="s">
        <v>166</v>
      </c>
      <c r="H10" s="158" t="s">
        <v>167</v>
      </c>
      <c r="I10" s="158" t="s">
        <v>168</v>
      </c>
      <c r="J10" s="194" t="s">
        <v>169</v>
      </c>
    </row>
    <row r="11" spans="1:10" ht="15.75">
      <c r="A11" s="4"/>
      <c r="B11" s="178"/>
      <c r="C11" s="129"/>
      <c r="D11" s="559"/>
      <c r="E11" s="482"/>
      <c r="F11" s="482"/>
      <c r="G11" s="482"/>
      <c r="H11" s="482"/>
      <c r="I11" s="482"/>
      <c r="J11" s="499"/>
    </row>
    <row r="12" spans="1:10" ht="15.75">
      <c r="A12" s="4"/>
      <c r="B12" s="74" t="s">
        <v>151</v>
      </c>
      <c r="C12" s="83" t="s">
        <v>131</v>
      </c>
      <c r="D12" s="275">
        <f>'TYAR Pieces and Pounds'!$E$17*('FY2005 SP Billing Det.'!E23)/'FY2005 SP Billing Det.'!$L$42*'Rate Tables'!E12</f>
        <v>12603655.01951977</v>
      </c>
      <c r="E12" s="275">
        <f>'TYAR Pieces and Pounds'!$E$17*'FY2005 SP Billing Det.'!F23/'FY2005 SP Billing Det.'!$L$42*'Rate Tables'!F12</f>
        <v>3578231.275495772</v>
      </c>
      <c r="F12" s="275">
        <f>'TYAR Pieces and Pounds'!$E$17*'FY2005 SP Billing Det.'!G23/'FY2005 SP Billing Det.'!$L$42*'Rate Tables'!G12</f>
        <v>4621093.190077442</v>
      </c>
      <c r="G12" s="275">
        <f>'TYAR Pieces and Pounds'!$E$17*'FY2005 SP Billing Det.'!H23/'FY2005 SP Billing Det.'!$L$42*'Rate Tables'!H12</f>
        <v>4692740.377686238</v>
      </c>
      <c r="H12" s="275">
        <f>'TYAR Pieces and Pounds'!$E$17*'FY2005 SP Billing Det.'!I23/'FY2005 SP Billing Det.'!$L$42*'Rate Tables'!I12</f>
        <v>2992207.7408897895</v>
      </c>
      <c r="I12" s="275">
        <f>'TYAR Pieces and Pounds'!$E$17*'FY2005 SP Billing Det.'!J23/'FY2005 SP Billing Det.'!$L$42*'Rate Tables'!J12</f>
        <v>1808449.054881049</v>
      </c>
      <c r="J12" s="498">
        <f>'TYAR Pieces and Pounds'!$E$17*'FY2005 SP Billing Det.'!K23/'FY2005 SP Billing Det.'!$L$42*'Rate Tables'!K12</f>
        <v>4392846.186797443</v>
      </c>
    </row>
    <row r="13" spans="1:10" ht="15.75">
      <c r="A13" s="4"/>
      <c r="B13" s="74" t="s">
        <v>152</v>
      </c>
      <c r="C13" s="83" t="s">
        <v>862</v>
      </c>
      <c r="D13" s="275">
        <f>'TYAR Pieces and Pounds'!$E$17*('FY2005 SP Billing Det.'!E24)/'FY2005 SP Billing Det.'!$L$42*'Rate Tables'!E13</f>
        <v>2797208.1793006766</v>
      </c>
      <c r="E13" s="275">
        <f>'TYAR Pieces and Pounds'!$E$17*'FY2005 SP Billing Det.'!F24/'FY2005 SP Billing Det.'!$L$42*'Rate Tables'!F13</f>
        <v>773105.786031963</v>
      </c>
      <c r="F13" s="275">
        <f>'TYAR Pieces and Pounds'!$E$17*'FY2005 SP Billing Det.'!G24/'FY2005 SP Billing Det.'!$L$42*'Rate Tables'!G13</f>
        <v>1354550.5403870144</v>
      </c>
      <c r="G13" s="275">
        <f>'TYAR Pieces and Pounds'!$E$17*'FY2005 SP Billing Det.'!H24/'FY2005 SP Billing Det.'!$L$42*'Rate Tables'!H13</f>
        <v>1555802.6852420666</v>
      </c>
      <c r="H13" s="275">
        <f>'TYAR Pieces and Pounds'!$E$17*'FY2005 SP Billing Det.'!I24/'FY2005 SP Billing Det.'!$L$42*'Rate Tables'!I13</f>
        <v>880376.7653726633</v>
      </c>
      <c r="I13" s="275">
        <f>'TYAR Pieces and Pounds'!$E$17*'FY2005 SP Billing Det.'!J24/'FY2005 SP Billing Det.'!$L$42*'Rate Tables'!J13</f>
        <v>664337.457947286</v>
      </c>
      <c r="J13" s="498">
        <f>'TYAR Pieces and Pounds'!$E$17*'FY2005 SP Billing Det.'!K24/'FY2005 SP Billing Det.'!$L$42*'Rate Tables'!K13</f>
        <v>897588.01820245</v>
      </c>
    </row>
    <row r="14" spans="1:10" ht="15.75">
      <c r="A14" s="4"/>
      <c r="B14" s="74" t="s">
        <v>153</v>
      </c>
      <c r="C14" s="83" t="s">
        <v>863</v>
      </c>
      <c r="D14" s="275">
        <f>'TYAR Pieces and Pounds'!$E$17*('FY2005 SP Billing Det.'!E25)/'FY2005 SP Billing Det.'!$L$42*'Rate Tables'!E14</f>
        <v>2183379.1698146053</v>
      </c>
      <c r="E14" s="275">
        <f>'TYAR Pieces and Pounds'!$E$17*'FY2005 SP Billing Det.'!F25/'FY2005 SP Billing Det.'!$L$42*'Rate Tables'!F14</f>
        <v>690501.3497536852</v>
      </c>
      <c r="F14" s="275">
        <f>'TYAR Pieces and Pounds'!$E$17*'FY2005 SP Billing Det.'!G25/'FY2005 SP Billing Det.'!$L$42*'Rate Tables'!G14</f>
        <v>1468667.4512092776</v>
      </c>
      <c r="G14" s="275">
        <f>'TYAR Pieces and Pounds'!$E$17*'FY2005 SP Billing Det.'!H25/'FY2005 SP Billing Det.'!$L$42*'Rate Tables'!H14</f>
        <v>1765751.2310066123</v>
      </c>
      <c r="H14" s="275">
        <f>'TYAR Pieces and Pounds'!$E$17*'FY2005 SP Billing Det.'!I25/'FY2005 SP Billing Det.'!$L$42*'Rate Tables'!I14</f>
        <v>882161.4582280392</v>
      </c>
      <c r="I14" s="275">
        <f>'TYAR Pieces and Pounds'!$E$17*'FY2005 SP Billing Det.'!J25/'FY2005 SP Billing Det.'!$L$42*'Rate Tables'!J14</f>
        <v>633080.9281555809</v>
      </c>
      <c r="J14" s="498">
        <f>'TYAR Pieces and Pounds'!$E$17*'FY2005 SP Billing Det.'!K25/'FY2005 SP Billing Det.'!$L$42*'Rate Tables'!K14</f>
        <v>980888.0134394112</v>
      </c>
    </row>
    <row r="15" spans="1:10" ht="15.75">
      <c r="A15" s="4"/>
      <c r="B15" s="74" t="s">
        <v>154</v>
      </c>
      <c r="C15" s="83" t="s">
        <v>864</v>
      </c>
      <c r="D15" s="275">
        <f>'TYAR Pieces and Pounds'!$E$17*('FY2005 SP Billing Det.'!E26)/'FY2005 SP Billing Det.'!$L$42*'Rate Tables'!E15</f>
        <v>2314525.7988417107</v>
      </c>
      <c r="E15" s="275">
        <f>'TYAR Pieces and Pounds'!$E$17*'FY2005 SP Billing Det.'!F26/'FY2005 SP Billing Det.'!$L$42*'Rate Tables'!F15</f>
        <v>544523.8468148782</v>
      </c>
      <c r="F15" s="275">
        <f>'TYAR Pieces and Pounds'!$E$17*'FY2005 SP Billing Det.'!G26/'FY2005 SP Billing Det.'!$L$42*'Rate Tables'!G15</f>
        <v>1300980.6468731214</v>
      </c>
      <c r="G15" s="275">
        <f>'TYAR Pieces and Pounds'!$E$17*'FY2005 SP Billing Det.'!H26/'FY2005 SP Billing Det.'!$L$42*'Rate Tables'!H15</f>
        <v>1193351.0893805681</v>
      </c>
      <c r="H15" s="275">
        <f>'TYAR Pieces and Pounds'!$E$17*'FY2005 SP Billing Det.'!I26/'FY2005 SP Billing Det.'!$L$42*'Rate Tables'!I15</f>
        <v>517934.8355483406</v>
      </c>
      <c r="I15" s="275">
        <f>'TYAR Pieces and Pounds'!$E$17*'FY2005 SP Billing Det.'!J26/'FY2005 SP Billing Det.'!$L$42*'Rate Tables'!J15</f>
        <v>468798.702348735</v>
      </c>
      <c r="J15" s="498">
        <f>'TYAR Pieces and Pounds'!$E$17*'FY2005 SP Billing Det.'!K26/'FY2005 SP Billing Det.'!$L$42*'Rate Tables'!K15</f>
        <v>619278.5949280965</v>
      </c>
    </row>
    <row r="16" spans="1:10" ht="15.75">
      <c r="A16" s="4"/>
      <c r="B16" s="74" t="s">
        <v>155</v>
      </c>
      <c r="C16" s="83" t="s">
        <v>865</v>
      </c>
      <c r="D16" s="275">
        <f>'TYAR Pieces and Pounds'!$E$17*('FY2005 SP Billing Det.'!E27)/'FY2005 SP Billing Det.'!$L$42*'Rate Tables'!E16</f>
        <v>1596429.5313525056</v>
      </c>
      <c r="E16" s="275">
        <f>'TYAR Pieces and Pounds'!$E$17*'FY2005 SP Billing Det.'!F27/'FY2005 SP Billing Det.'!$L$42*'Rate Tables'!F16</f>
        <v>765351.7681426395</v>
      </c>
      <c r="F16" s="275">
        <f>'TYAR Pieces and Pounds'!$E$17*'FY2005 SP Billing Det.'!G27/'FY2005 SP Billing Det.'!$L$42*'Rate Tables'!G16</f>
        <v>909637.8383342857</v>
      </c>
      <c r="G16" s="275">
        <f>'TYAR Pieces and Pounds'!$E$17*'FY2005 SP Billing Det.'!H27/'FY2005 SP Billing Det.'!$L$42*'Rate Tables'!H16</f>
        <v>971329.365149544</v>
      </c>
      <c r="H16" s="275">
        <f>'TYAR Pieces and Pounds'!$E$17*'FY2005 SP Billing Det.'!I27/'FY2005 SP Billing Det.'!$L$42*'Rate Tables'!I16</f>
        <v>482326.574476464</v>
      </c>
      <c r="I16" s="275">
        <f>'TYAR Pieces and Pounds'!$E$17*'FY2005 SP Billing Det.'!J27/'FY2005 SP Billing Det.'!$L$42*'Rate Tables'!J16</f>
        <v>186632.79569449642</v>
      </c>
      <c r="J16" s="498">
        <f>'TYAR Pieces and Pounds'!$E$17*'FY2005 SP Billing Det.'!K27/'FY2005 SP Billing Det.'!$L$42*'Rate Tables'!K16</f>
        <v>501442.81412496656</v>
      </c>
    </row>
    <row r="17" spans="1:10" ht="15.75">
      <c r="A17" s="4"/>
      <c r="B17" s="74" t="s">
        <v>156</v>
      </c>
      <c r="C17" s="83" t="s">
        <v>866</v>
      </c>
      <c r="D17" s="275">
        <f>'TYAR Pieces and Pounds'!$E$17*('FY2005 SP Billing Det.'!E28)/'FY2005 SP Billing Det.'!$L$42*'Rate Tables'!E17</f>
        <v>806134.6156807817</v>
      </c>
      <c r="E17" s="275">
        <f>'TYAR Pieces and Pounds'!$E$17*'FY2005 SP Billing Det.'!F28/'FY2005 SP Billing Det.'!$L$42*'Rate Tables'!F17</f>
        <v>451717.4525178552</v>
      </c>
      <c r="F17" s="275">
        <f>'TYAR Pieces and Pounds'!$E$17*'FY2005 SP Billing Det.'!G28/'FY2005 SP Billing Det.'!$L$42*'Rate Tables'!G17</f>
        <v>439494.6505158822</v>
      </c>
      <c r="G17" s="275">
        <f>'TYAR Pieces and Pounds'!$E$17*'FY2005 SP Billing Det.'!H28/'FY2005 SP Billing Det.'!$L$42*'Rate Tables'!H17</f>
        <v>475348.67154431634</v>
      </c>
      <c r="H17" s="275">
        <f>'TYAR Pieces and Pounds'!$E$17*'FY2005 SP Billing Det.'!I28/'FY2005 SP Billing Det.'!$L$42*'Rate Tables'!I17</f>
        <v>292042.9480917553</v>
      </c>
      <c r="I17" s="275">
        <f>'TYAR Pieces and Pounds'!$E$17*'FY2005 SP Billing Det.'!J28/'FY2005 SP Billing Det.'!$L$42*'Rate Tables'!J17</f>
        <v>124443.44830716625</v>
      </c>
      <c r="J17" s="498">
        <f>'TYAR Pieces and Pounds'!$E$17*'FY2005 SP Billing Det.'!K28/'FY2005 SP Billing Det.'!$L$42*'Rate Tables'!K17</f>
        <v>288832.25286088785</v>
      </c>
    </row>
    <row r="18" spans="1:10" ht="15.75">
      <c r="A18" s="4"/>
      <c r="B18" s="74" t="s">
        <v>157</v>
      </c>
      <c r="C18" s="83" t="s">
        <v>867</v>
      </c>
      <c r="D18" s="275">
        <f>'TYAR Pieces and Pounds'!$E$17*('FY2005 SP Billing Det.'!E29)/'FY2005 SP Billing Det.'!$L$42*'Rate Tables'!E18</f>
        <v>605932.0911270508</v>
      </c>
      <c r="E18" s="275">
        <f>'TYAR Pieces and Pounds'!$E$17*'FY2005 SP Billing Det.'!F29/'FY2005 SP Billing Det.'!$L$42*'Rate Tables'!F18</f>
        <v>211549.26868166754</v>
      </c>
      <c r="F18" s="275">
        <f>'TYAR Pieces and Pounds'!$E$17*'FY2005 SP Billing Det.'!G29/'FY2005 SP Billing Det.'!$L$42*'Rate Tables'!G18</f>
        <v>270626.5432519008</v>
      </c>
      <c r="G18" s="275">
        <f>'TYAR Pieces and Pounds'!$E$17*'FY2005 SP Billing Det.'!H29/'FY2005 SP Billing Det.'!$L$42*'Rate Tables'!H18</f>
        <v>408601.56827796047</v>
      </c>
      <c r="H18" s="275">
        <f>'TYAR Pieces and Pounds'!$E$17*'FY2005 SP Billing Det.'!I29/'FY2005 SP Billing Det.'!$L$42*'Rate Tables'!I18</f>
        <v>225323.4958294336</v>
      </c>
      <c r="I18" s="275">
        <f>'TYAR Pieces and Pounds'!$E$17*'FY2005 SP Billing Det.'!J29/'FY2005 SP Billing Det.'!$L$42*'Rate Tables'!J18</f>
        <v>147040.9450929081</v>
      </c>
      <c r="J18" s="498">
        <f>'TYAR Pieces and Pounds'!$E$17*'FY2005 SP Billing Det.'!K29/'FY2005 SP Billing Det.'!$L$42*'Rate Tables'!K18</f>
        <v>289344.4587125056</v>
      </c>
    </row>
    <row r="19" spans="1:10" ht="15.75">
      <c r="A19" s="4"/>
      <c r="B19" s="74" t="s">
        <v>158</v>
      </c>
      <c r="C19" s="83" t="s">
        <v>868</v>
      </c>
      <c r="D19" s="275">
        <f>'TYAR Pieces and Pounds'!$E$17*('FY2005 SP Billing Det.'!E30)/'FY2005 SP Billing Det.'!$L$42*'Rate Tables'!E19</f>
        <v>551505.4526890602</v>
      </c>
      <c r="E19" s="275">
        <f>'TYAR Pieces and Pounds'!$E$17*'FY2005 SP Billing Det.'!F30/'FY2005 SP Billing Det.'!$L$42*'Rate Tables'!F19</f>
        <v>171491.26205350968</v>
      </c>
      <c r="F19" s="275">
        <f>'TYAR Pieces and Pounds'!$E$17*'FY2005 SP Billing Det.'!G30/'FY2005 SP Billing Det.'!$L$42*'Rate Tables'!G19</f>
        <v>340625.62544829043</v>
      </c>
      <c r="G19" s="275">
        <f>'TYAR Pieces and Pounds'!$E$17*'FY2005 SP Billing Det.'!H30/'FY2005 SP Billing Det.'!$L$42*'Rate Tables'!H19</f>
        <v>341705.04229819257</v>
      </c>
      <c r="H19" s="275">
        <f>'TYAR Pieces and Pounds'!$E$17*'FY2005 SP Billing Det.'!I30/'FY2005 SP Billing Det.'!$L$42*'Rate Tables'!I19</f>
        <v>119637.7564502951</v>
      </c>
      <c r="I19" s="275">
        <f>'TYAR Pieces and Pounds'!$E$17*'FY2005 SP Billing Det.'!J30/'FY2005 SP Billing Det.'!$L$42*'Rate Tables'!J19</f>
        <v>101046.04939259721</v>
      </c>
      <c r="J19" s="498">
        <f>'TYAR Pieces and Pounds'!$E$17*'FY2005 SP Billing Det.'!K30/'FY2005 SP Billing Det.'!$L$42*'Rate Tables'!K19</f>
        <v>183653.00290064586</v>
      </c>
    </row>
    <row r="20" spans="1:10" ht="15.75">
      <c r="A20" s="4"/>
      <c r="B20" s="74" t="s">
        <v>159</v>
      </c>
      <c r="C20" s="83" t="s">
        <v>869</v>
      </c>
      <c r="D20" s="275">
        <f>'TYAR Pieces and Pounds'!$E$17*('FY2005 SP Billing Det.'!E31)/'FY2005 SP Billing Det.'!$L$42*'Rate Tables'!E20</f>
        <v>612925.755071737</v>
      </c>
      <c r="E20" s="275">
        <f>'TYAR Pieces and Pounds'!$E$17*'FY2005 SP Billing Det.'!F31/'FY2005 SP Billing Det.'!$L$42*'Rate Tables'!F20</f>
        <v>319745.8515622605</v>
      </c>
      <c r="F20" s="275">
        <f>'TYAR Pieces and Pounds'!$E$17*'FY2005 SP Billing Det.'!G31/'FY2005 SP Billing Det.'!$L$42*'Rate Tables'!G20</f>
        <v>290495.6936385894</v>
      </c>
      <c r="G20" s="275">
        <f>'TYAR Pieces and Pounds'!$E$17*'FY2005 SP Billing Det.'!H31/'FY2005 SP Billing Det.'!$L$42*'Rate Tables'!H20</f>
        <v>448875.0691391593</v>
      </c>
      <c r="H20" s="275">
        <f>'TYAR Pieces and Pounds'!$E$17*'FY2005 SP Billing Det.'!I31/'FY2005 SP Billing Det.'!$L$42*'Rate Tables'!I20</f>
        <v>231698.97966949985</v>
      </c>
      <c r="I20" s="275">
        <f>'TYAR Pieces and Pounds'!$E$17*'FY2005 SP Billing Det.'!J31/'FY2005 SP Billing Det.'!$L$42*'Rate Tables'!J20</f>
        <v>120345.25636774086</v>
      </c>
      <c r="J20" s="498">
        <f>'TYAR Pieces and Pounds'!$E$17*'FY2005 SP Billing Det.'!K31/'FY2005 SP Billing Det.'!$L$42*'Rate Tables'!K20</f>
        <v>228101.3398890159</v>
      </c>
    </row>
    <row r="21" spans="1:10" ht="15.75">
      <c r="A21" s="4"/>
      <c r="B21" s="74" t="s">
        <v>160</v>
      </c>
      <c r="C21" s="83" t="s">
        <v>870</v>
      </c>
      <c r="D21" s="275">
        <f>'TYAR Pieces and Pounds'!$E$17*('FY2005 SP Billing Det.'!E32)/'FY2005 SP Billing Det.'!$L$42*'Rate Tables'!E21</f>
        <v>416440.6994141985</v>
      </c>
      <c r="E21" s="275">
        <f>'TYAR Pieces and Pounds'!$E$17*'FY2005 SP Billing Det.'!F32/'FY2005 SP Billing Det.'!$L$42*'Rate Tables'!F21</f>
        <v>178168.203822637</v>
      </c>
      <c r="F21" s="275">
        <f>'TYAR Pieces and Pounds'!$E$17*'FY2005 SP Billing Det.'!G32/'FY2005 SP Billing Det.'!$L$42*'Rate Tables'!G21</f>
        <v>344913.70680841076</v>
      </c>
      <c r="G21" s="275">
        <f>'TYAR Pieces and Pounds'!$E$17*'FY2005 SP Billing Det.'!H32/'FY2005 SP Billing Det.'!$L$42*'Rate Tables'!H21</f>
        <v>347560.4708912854</v>
      </c>
      <c r="H21" s="275">
        <f>'TYAR Pieces and Pounds'!$E$17*'FY2005 SP Billing Det.'!I32/'FY2005 SP Billing Det.'!$L$42*'Rate Tables'!I21</f>
        <v>244542.13048633</v>
      </c>
      <c r="I21" s="275">
        <f>'TYAR Pieces and Pounds'!$E$17*'FY2005 SP Billing Det.'!J32/'FY2005 SP Billing Det.'!$L$42*'Rate Tables'!J21</f>
        <v>71615.29911728245</v>
      </c>
      <c r="J21" s="498">
        <f>'TYAR Pieces and Pounds'!$E$17*'FY2005 SP Billing Det.'!K32/'FY2005 SP Billing Det.'!$L$42*'Rate Tables'!K21</f>
        <v>184425.90375180004</v>
      </c>
    </row>
    <row r="22" spans="1:10" ht="15.75">
      <c r="A22" s="4"/>
      <c r="B22" s="74" t="s">
        <v>161</v>
      </c>
      <c r="C22" s="83" t="s">
        <v>871</v>
      </c>
      <c r="D22" s="275">
        <f>'TYAR Pieces and Pounds'!$E$17*('FY2005 SP Billing Det.'!E33)/'FY2005 SP Billing Det.'!$L$42*'Rate Tables'!E22</f>
        <v>269484.3077822813</v>
      </c>
      <c r="E22" s="275">
        <f>'TYAR Pieces and Pounds'!$E$17*'FY2005 SP Billing Det.'!F33/'FY2005 SP Billing Det.'!$L$42*'Rate Tables'!F22</f>
        <v>116863.39449890994</v>
      </c>
      <c r="F22" s="275">
        <f>'TYAR Pieces and Pounds'!$E$17*'FY2005 SP Billing Det.'!G33/'FY2005 SP Billing Det.'!$L$42*'Rate Tables'!G22</f>
        <v>118645.27575970249</v>
      </c>
      <c r="G22" s="275">
        <f>'TYAR Pieces and Pounds'!$E$17*'FY2005 SP Billing Det.'!H33/'FY2005 SP Billing Det.'!$L$42*'Rate Tables'!H22</f>
        <v>184757.55565938086</v>
      </c>
      <c r="H22" s="275">
        <f>'TYAR Pieces and Pounds'!$E$17*'FY2005 SP Billing Det.'!I33/'FY2005 SP Billing Det.'!$L$42*'Rate Tables'!I22</f>
        <v>63482.721130165155</v>
      </c>
      <c r="I22" s="275">
        <f>'TYAR Pieces and Pounds'!$E$17*'FY2005 SP Billing Det.'!J33/'FY2005 SP Billing Det.'!$L$42*'Rate Tables'!J22</f>
        <v>80767.42575702432</v>
      </c>
      <c r="J22" s="498">
        <f>'TYAR Pieces and Pounds'!$E$17*'FY2005 SP Billing Det.'!K33/'FY2005 SP Billing Det.'!$L$42*'Rate Tables'!K22</f>
        <v>40046.25414106601</v>
      </c>
    </row>
    <row r="23" spans="1:10" ht="15.75">
      <c r="A23" s="4"/>
      <c r="B23" s="74" t="s">
        <v>162</v>
      </c>
      <c r="C23" s="83" t="s">
        <v>872</v>
      </c>
      <c r="D23" s="275">
        <f>'TYAR Pieces and Pounds'!$E$17*('FY2005 SP Billing Det.'!E34)/'FY2005 SP Billing Det.'!$L$42*'Rate Tables'!E23</f>
        <v>149832.04346373986</v>
      </c>
      <c r="E23" s="275">
        <f>'TYAR Pieces and Pounds'!$E$17*'FY2005 SP Billing Det.'!F34/'FY2005 SP Billing Det.'!$L$42*'Rate Tables'!F23</f>
        <v>88920.55533231019</v>
      </c>
      <c r="F23" s="275">
        <f>'TYAR Pieces and Pounds'!$E$17*'FY2005 SP Billing Det.'!G34/'FY2005 SP Billing Det.'!$L$42*'Rate Tables'!G23</f>
        <v>102945.03977707034</v>
      </c>
      <c r="G23" s="275">
        <f>'TYAR Pieces and Pounds'!$E$17*'FY2005 SP Billing Det.'!H34/'FY2005 SP Billing Det.'!$L$42*'Rate Tables'!H23</f>
        <v>131754.0095975699</v>
      </c>
      <c r="H23" s="275">
        <f>'TYAR Pieces and Pounds'!$E$17*'FY2005 SP Billing Det.'!I34/'FY2005 SP Billing Det.'!$L$42*'Rate Tables'!I23</f>
        <v>111263.98855167467</v>
      </c>
      <c r="I23" s="275">
        <f>'TYAR Pieces and Pounds'!$E$17*'FY2005 SP Billing Det.'!J34/'FY2005 SP Billing Det.'!$L$42*'Rate Tables'!J23</f>
        <v>36303.5555207064</v>
      </c>
      <c r="J23" s="498">
        <f>'TYAR Pieces and Pounds'!$E$17*'FY2005 SP Billing Det.'!K34/'FY2005 SP Billing Det.'!$L$42*'Rate Tables'!K23</f>
        <v>130116.19882341822</v>
      </c>
    </row>
    <row r="24" spans="1:10" ht="15.75">
      <c r="A24" s="4"/>
      <c r="B24" s="74" t="s">
        <v>173</v>
      </c>
      <c r="C24" s="83" t="s">
        <v>873</v>
      </c>
      <c r="D24" s="275">
        <f>'TYAR Pieces and Pounds'!$E$17*('FY2005 SP Billing Det.'!E35)/'FY2005 SP Billing Det.'!$L$42*'Rate Tables'!E24</f>
        <v>195947.99258011306</v>
      </c>
      <c r="E24" s="275">
        <f>'TYAR Pieces and Pounds'!$E$17*'FY2005 SP Billing Det.'!F35/'FY2005 SP Billing Det.'!$L$42*'Rate Tables'!F24</f>
        <v>44005.29090919806</v>
      </c>
      <c r="F24" s="275">
        <f>'TYAR Pieces and Pounds'!$E$17*'FY2005 SP Billing Det.'!G35/'FY2005 SP Billing Det.'!$L$42*'Rate Tables'!G24</f>
        <v>32626.06131216615</v>
      </c>
      <c r="G24" s="275">
        <f>'TYAR Pieces and Pounds'!$E$17*'FY2005 SP Billing Det.'!H35/'FY2005 SP Billing Det.'!$L$42*'Rate Tables'!H24</f>
        <v>43424.30359021513</v>
      </c>
      <c r="H24" s="275">
        <f>'TYAR Pieces and Pounds'!$E$17*'FY2005 SP Billing Det.'!I35/'FY2005 SP Billing Det.'!$L$42*'Rate Tables'!I24</f>
        <v>22935.564657685944</v>
      </c>
      <c r="I24" s="275">
        <f>'TYAR Pieces and Pounds'!$E$17*'FY2005 SP Billing Det.'!J35/'FY2005 SP Billing Det.'!$L$42*'Rate Tables'!J24</f>
        <v>35582.71366417029</v>
      </c>
      <c r="J24" s="498">
        <f>'TYAR Pieces and Pounds'!$E$17*'FY2005 SP Billing Det.'!K35/'FY2005 SP Billing Det.'!$L$42*'Rate Tables'!K24</f>
        <v>76707.24014886771</v>
      </c>
    </row>
    <row r="25" spans="1:11" ht="15.75">
      <c r="A25" s="4"/>
      <c r="B25" s="74" t="s">
        <v>174</v>
      </c>
      <c r="C25" s="83" t="s">
        <v>134</v>
      </c>
      <c r="D25" s="275">
        <f>'TYAR Pieces and Pounds'!$E$17*('FY2005 SP Billing Det.'!E36)/'FY2005 SP Billing Det.'!$L$42*'Rate Tables'!E25</f>
        <v>157578.0540083611</v>
      </c>
      <c r="E25" s="275">
        <f>'TYAR Pieces and Pounds'!$E$17*'FY2005 SP Billing Det.'!F36/'FY2005 SP Billing Det.'!$L$42*'Rate Tables'!F25</f>
        <v>34777.02565856662</v>
      </c>
      <c r="F25" s="275">
        <f>'TYAR Pieces and Pounds'!$E$17*'FY2005 SP Billing Det.'!G36/'FY2005 SP Billing Det.'!$L$42*'Rate Tables'!G25</f>
        <v>101779.55657280289</v>
      </c>
      <c r="G25" s="275">
        <f>'TYAR Pieces and Pounds'!$E$17*'FY2005 SP Billing Det.'!H36/'FY2005 SP Billing Det.'!$L$42*'Rate Tables'!H25</f>
        <v>89914.38162543856</v>
      </c>
      <c r="H25" s="275">
        <f>'TYAR Pieces and Pounds'!$E$17*'FY2005 SP Billing Det.'!I36/'FY2005 SP Billing Det.'!$L$42*'Rate Tables'!I25</f>
        <v>148763.54393383485</v>
      </c>
      <c r="I25" s="275">
        <f>'TYAR Pieces and Pounds'!$E$17*'FY2005 SP Billing Det.'!J36/'FY2005 SP Billing Det.'!$L$42*'Rate Tables'!J25</f>
        <v>11713.066955548711</v>
      </c>
      <c r="J25" s="498">
        <f>'TYAR Pieces and Pounds'!$E$17*'FY2005 SP Billing Det.'!K36/'FY2005 SP Billing Det.'!$L$42*'Rate Tables'!K25</f>
        <v>74033.39618966871</v>
      </c>
      <c r="K25" s="47"/>
    </row>
    <row r="26" spans="1:11" ht="15.75">
      <c r="A26" s="4"/>
      <c r="B26" s="74" t="s">
        <v>176</v>
      </c>
      <c r="C26" s="83" t="s">
        <v>135</v>
      </c>
      <c r="D26" s="275">
        <f>'TYAR Pieces and Pounds'!$E$17*('FY2005 SP Billing Det.'!E37)/'FY2005 SP Billing Det.'!$L$42*'Rate Tables'!E26</f>
        <v>101492.53400279258</v>
      </c>
      <c r="E26" s="275">
        <f>'TYAR Pieces and Pounds'!$E$17*'FY2005 SP Billing Det.'!F37/'FY2005 SP Billing Det.'!$L$42*'Rate Tables'!F26</f>
        <v>64089.27565349358</v>
      </c>
      <c r="F26" s="275">
        <f>'TYAR Pieces and Pounds'!$E$17*'FY2005 SP Billing Det.'!G37/'FY2005 SP Billing Det.'!$L$42*'Rate Tables'!G26</f>
        <v>78093.50691707735</v>
      </c>
      <c r="G26" s="275">
        <f>'TYAR Pieces and Pounds'!$E$17*'FY2005 SP Billing Det.'!H37/'FY2005 SP Billing Det.'!$L$42*'Rate Tables'!H26</f>
        <v>37153.09015708023</v>
      </c>
      <c r="H26" s="275">
        <f>'TYAR Pieces and Pounds'!$E$17*'FY2005 SP Billing Det.'!I37/'FY2005 SP Billing Det.'!$L$42*'Rate Tables'!I26</f>
        <v>15202.166864025929</v>
      </c>
      <c r="I26" s="275">
        <f>'TYAR Pieces and Pounds'!$E$17*'FY2005 SP Billing Det.'!J37/'FY2005 SP Billing Det.'!$L$42*'Rate Tables'!J26</f>
        <v>8414.679184612947</v>
      </c>
      <c r="J26" s="498">
        <f>'TYAR Pieces and Pounds'!$E$17*'FY2005 SP Billing Det.'!K37/'FY2005 SP Billing Det.'!$L$42*'Rate Tables'!K26</f>
        <v>138612.1598186794</v>
      </c>
      <c r="K26" s="47"/>
    </row>
    <row r="27" spans="1:11" ht="15.75">
      <c r="A27" s="4"/>
      <c r="B27" s="74" t="s">
        <v>177</v>
      </c>
      <c r="C27" s="83" t="s">
        <v>136</v>
      </c>
      <c r="D27" s="275">
        <f>'TYAR Pieces and Pounds'!$E$17*('FY2005 SP Billing Det.'!E38)/'FY2005 SP Billing Det.'!$L$42*'Rate Tables'!E27</f>
        <v>61420.0104045297</v>
      </c>
      <c r="E27" s="275">
        <f>'TYAR Pieces and Pounds'!$E$17*'FY2005 SP Billing Det.'!F38/'FY2005 SP Billing Det.'!$L$42*'Rate Tables'!F27</f>
        <v>20964.210855723948</v>
      </c>
      <c r="F27" s="275">
        <f>'TYAR Pieces and Pounds'!$E$17*'FY2005 SP Billing Det.'!G38/'FY2005 SP Billing Det.'!$L$42*'Rate Tables'!G27</f>
        <v>16692.94315157892</v>
      </c>
      <c r="G27" s="275">
        <f>'TYAR Pieces and Pounds'!$E$17*'FY2005 SP Billing Det.'!H38/'FY2005 SP Billing Det.'!$L$42*'Rate Tables'!H27</f>
        <v>38772.615622077145</v>
      </c>
      <c r="H27" s="275">
        <f>'TYAR Pieces and Pounds'!$E$17*'FY2005 SP Billing Det.'!I38/'FY2005 SP Billing Det.'!$L$42*'Rate Tables'!I27</f>
        <v>45238.97827978472</v>
      </c>
      <c r="I27" s="275">
        <f>'TYAR Pieces and Pounds'!$E$17*'FY2005 SP Billing Det.'!J38/'FY2005 SP Billing Det.'!$L$42*'Rate Tables'!J27</f>
        <v>23800.875148741616</v>
      </c>
      <c r="J27" s="498">
        <f>'TYAR Pieces and Pounds'!$E$17*'FY2005 SP Billing Det.'!K38/'FY2005 SP Billing Det.'!$L$42*'Rate Tables'!K27</f>
        <v>25301.34663203032</v>
      </c>
      <c r="K27" s="47"/>
    </row>
    <row r="28" spans="1:11" ht="15.75">
      <c r="A28" s="4"/>
      <c r="B28" s="74" t="s">
        <v>183</v>
      </c>
      <c r="C28" s="83" t="s">
        <v>137</v>
      </c>
      <c r="D28" s="275">
        <f>'TYAR Pieces and Pounds'!$E$17*('FY2005 SP Billing Det.'!E39)/'FY2005 SP Billing Det.'!$L$42*'Rate Tables'!E28</f>
        <v>18720.28888716584</v>
      </c>
      <c r="E28" s="275">
        <f>'TYAR Pieces and Pounds'!$E$17*'FY2005 SP Billing Det.'!F39/'FY2005 SP Billing Det.'!$L$42*'Rate Tables'!F28</f>
        <v>56773.91961140705</v>
      </c>
      <c r="F28" s="275">
        <f>'TYAR Pieces and Pounds'!$E$17*'FY2005 SP Billing Det.'!G39/'FY2005 SP Billing Det.'!$L$42*'Rate Tables'!G28</f>
        <v>29605.406152188934</v>
      </c>
      <c r="G28" s="275">
        <f>'TYAR Pieces and Pounds'!$E$17*'FY2005 SP Billing Det.'!H39/'FY2005 SP Billing Det.'!$L$42*'Rate Tables'!H28</f>
        <v>12320.377309858886</v>
      </c>
      <c r="H28" s="275">
        <f>'TYAR Pieces and Pounds'!$E$17*'FY2005 SP Billing Det.'!I39/'FY2005 SP Billing Det.'!$L$42*'Rate Tables'!I28</f>
        <v>57461.25443611116</v>
      </c>
      <c r="I28" s="275">
        <f>'TYAR Pieces and Pounds'!$E$17*'FY2005 SP Billing Det.'!J39/'FY2005 SP Billing Det.'!$L$42*'Rate Tables'!J28</f>
        <v>32274.175026137418</v>
      </c>
      <c r="J28" s="498">
        <f>'TYAR Pieces and Pounds'!$E$17*'FY2005 SP Billing Det.'!K39/'FY2005 SP Billing Det.'!$L$42*'Rate Tables'!K28</f>
        <v>12670.693261730843</v>
      </c>
      <c r="K28" s="47"/>
    </row>
    <row r="29" spans="1:11" ht="15.75">
      <c r="A29" s="4"/>
      <c r="B29" s="74" t="s">
        <v>285</v>
      </c>
      <c r="C29" s="83" t="s">
        <v>138</v>
      </c>
      <c r="D29" s="275">
        <f>'TYAR Pieces and Pounds'!$E$17*('FY2005 SP Billing Det.'!E40)/'FY2005 SP Billing Det.'!$L$42*'Rate Tables'!E29</f>
        <v>49316.26798122318</v>
      </c>
      <c r="E29" s="275">
        <f>'TYAR Pieces and Pounds'!$E$17*'FY2005 SP Billing Det.'!F40/'FY2005 SP Billing Det.'!$L$42*'Rate Tables'!F29</f>
        <v>24971.763266811507</v>
      </c>
      <c r="F29" s="275">
        <f>'TYAR Pieces and Pounds'!$E$17*'FY2005 SP Billing Det.'!G40/'FY2005 SP Billing Det.'!$L$42*'Rate Tables'!G29</f>
        <v>33583.42840026242</v>
      </c>
      <c r="G29" s="275">
        <f>'TYAR Pieces and Pounds'!$E$17*'FY2005 SP Billing Det.'!H40/'FY2005 SP Billing Det.'!$L$42*'Rate Tables'!H29</f>
        <v>85940.88097507988</v>
      </c>
      <c r="H29" s="275">
        <f>'TYAR Pieces and Pounds'!$E$17*'FY2005 SP Billing Det.'!I40/'FY2005 SP Billing Det.'!$L$42*'Rate Tables'!I29</f>
        <v>7609.60867320078</v>
      </c>
      <c r="I29" s="275">
        <f>'TYAR Pieces and Pounds'!$E$17*'FY2005 SP Billing Det.'!J40/'FY2005 SP Billing Det.'!$L$42*'Rate Tables'!J29</f>
        <v>0</v>
      </c>
      <c r="J29" s="498">
        <f>'TYAR Pieces and Pounds'!$E$17*'FY2005 SP Billing Det.'!K40/'FY2005 SP Billing Det.'!$L$42*'Rate Tables'!K29</f>
        <v>32390.24155542962</v>
      </c>
      <c r="K29" s="47"/>
    </row>
    <row r="30" spans="1:11" ht="15.75">
      <c r="A30" s="4"/>
      <c r="B30" s="74"/>
      <c r="C30" s="408"/>
      <c r="D30" s="497"/>
      <c r="E30" s="497"/>
      <c r="F30" s="497"/>
      <c r="G30" s="497"/>
      <c r="H30" s="497"/>
      <c r="I30" s="497"/>
      <c r="J30" s="500"/>
      <c r="K30" s="47"/>
    </row>
    <row r="31" spans="1:10" ht="15.75">
      <c r="A31" s="4"/>
      <c r="B31" s="10"/>
      <c r="C31" s="83"/>
      <c r="D31" s="490"/>
      <c r="E31" s="490"/>
      <c r="F31" s="490"/>
      <c r="G31" s="490"/>
      <c r="H31" s="490"/>
      <c r="I31" s="490"/>
      <c r="J31" s="228"/>
    </row>
    <row r="32" spans="1:10" ht="18.75">
      <c r="A32" s="4"/>
      <c r="B32" s="10" t="s">
        <v>286</v>
      </c>
      <c r="C32" s="284" t="s">
        <v>321</v>
      </c>
      <c r="D32" s="490"/>
      <c r="E32" s="490"/>
      <c r="F32" s="506">
        <f>SUM(D12:J29)</f>
        <v>79298974.25863427</v>
      </c>
      <c r="G32" s="490"/>
      <c r="H32" s="490"/>
      <c r="I32" s="490"/>
      <c r="J32" s="228"/>
    </row>
    <row r="33" spans="1:10" ht="15.75">
      <c r="A33" s="4"/>
      <c r="B33" s="10"/>
      <c r="C33" s="83"/>
      <c r="D33" s="490"/>
      <c r="E33" s="490"/>
      <c r="F33" s="506"/>
      <c r="G33" s="490"/>
      <c r="H33" s="490"/>
      <c r="I33" s="490"/>
      <c r="J33" s="228"/>
    </row>
    <row r="34" spans="1:10" ht="18.75">
      <c r="A34" s="4"/>
      <c r="B34" s="10" t="s">
        <v>966</v>
      </c>
      <c r="C34" s="284" t="s">
        <v>85</v>
      </c>
      <c r="D34" s="490"/>
      <c r="E34" s="490"/>
      <c r="F34" s="506">
        <f>+F32*Inputs!D17</f>
        <v>80194237.4962208</v>
      </c>
      <c r="G34" s="490"/>
      <c r="H34" s="490"/>
      <c r="I34" s="490"/>
      <c r="J34" s="228"/>
    </row>
    <row r="35" spans="1:10" ht="15.75">
      <c r="A35" s="4"/>
      <c r="B35" s="10"/>
      <c r="C35" s="284"/>
      <c r="D35" s="490"/>
      <c r="F35" s="506"/>
      <c r="G35" s="490"/>
      <c r="H35" s="490"/>
      <c r="I35" s="490"/>
      <c r="J35" s="228"/>
    </row>
    <row r="36" spans="1:10" ht="18.75">
      <c r="A36" s="4"/>
      <c r="B36" s="10"/>
      <c r="C36" s="284" t="s">
        <v>86</v>
      </c>
      <c r="D36" s="490"/>
      <c r="E36" s="490"/>
      <c r="F36" s="506"/>
      <c r="G36" s="490"/>
      <c r="H36" s="490"/>
      <c r="I36" s="490"/>
      <c r="J36" s="228"/>
    </row>
    <row r="37" spans="1:10" ht="15.75">
      <c r="A37" s="4"/>
      <c r="B37" s="10" t="s">
        <v>967</v>
      </c>
      <c r="C37" s="284" t="s">
        <v>140</v>
      </c>
      <c r="D37" s="490"/>
      <c r="E37" s="490"/>
      <c r="F37" s="506">
        <f>-'TYAR Pieces and Pounds'!F17*('Adjusted Rate Elements'!D12-'Adjusted Rate Elements'!D11)</f>
        <v>-2197321.8803268042</v>
      </c>
      <c r="G37" s="490"/>
      <c r="H37" s="490"/>
      <c r="I37" s="490"/>
      <c r="J37" s="228"/>
    </row>
    <row r="38" spans="1:10" ht="15.75">
      <c r="A38" s="4"/>
      <c r="B38" s="10"/>
      <c r="C38" s="284" t="s">
        <v>141</v>
      </c>
      <c r="D38" s="490"/>
      <c r="E38" s="490"/>
      <c r="G38" s="490"/>
      <c r="H38" s="490"/>
      <c r="I38" s="490"/>
      <c r="J38" s="228"/>
    </row>
    <row r="39" spans="1:10" ht="15.75">
      <c r="A39" s="4"/>
      <c r="B39" s="10" t="s">
        <v>669</v>
      </c>
      <c r="C39" s="284" t="s">
        <v>142</v>
      </c>
      <c r="D39" s="490"/>
      <c r="E39" s="490"/>
      <c r="F39" s="506">
        <f>-'TYAR Pieces and Pounds'!F17*Inputs!D28*'Adjusted Rate Elements'!D35</f>
        <v>-43378.611429799785</v>
      </c>
      <c r="G39" s="490"/>
      <c r="H39" s="490"/>
      <c r="I39" s="490"/>
      <c r="J39" s="228"/>
    </row>
    <row r="40" spans="1:10" ht="15.75">
      <c r="A40" s="4"/>
      <c r="B40" s="10" t="s">
        <v>71</v>
      </c>
      <c r="C40" s="284" t="s">
        <v>143</v>
      </c>
      <c r="D40" s="490"/>
      <c r="E40" s="490"/>
      <c r="F40" s="506">
        <f>-'TYAR Pieces and Pounds'!E17*Inputs!D25*'Adjusted Rate Elements'!D36</f>
        <v>-136625.90898329293</v>
      </c>
      <c r="G40" s="490"/>
      <c r="H40" s="490"/>
      <c r="I40" s="490"/>
      <c r="J40" s="228"/>
    </row>
    <row r="41" spans="1:10" ht="15.75">
      <c r="A41" s="4"/>
      <c r="B41" s="10"/>
      <c r="C41" s="284"/>
      <c r="D41" s="490"/>
      <c r="E41" s="490"/>
      <c r="F41" s="506"/>
      <c r="G41" s="490"/>
      <c r="H41" s="490"/>
      <c r="I41" s="490"/>
      <c r="J41" s="228"/>
    </row>
    <row r="42" spans="1:10" ht="18.75">
      <c r="A42" s="4"/>
      <c r="B42" s="10" t="s">
        <v>336</v>
      </c>
      <c r="C42" s="284" t="s">
        <v>87</v>
      </c>
      <c r="D42" s="490"/>
      <c r="E42" s="490"/>
      <c r="F42" s="506">
        <f>SUM(F34:F40)</f>
        <v>77816911.0954809</v>
      </c>
      <c r="G42" s="490"/>
      <c r="H42" s="490"/>
      <c r="I42" s="490"/>
      <c r="J42" s="228"/>
    </row>
    <row r="43" spans="1:10" ht="15.75">
      <c r="A43" s="4"/>
      <c r="B43" s="10"/>
      <c r="C43" s="83"/>
      <c r="D43" s="490"/>
      <c r="E43" s="490"/>
      <c r="F43" s="489"/>
      <c r="G43" s="490"/>
      <c r="H43" s="490"/>
      <c r="I43" s="490"/>
      <c r="J43" s="228"/>
    </row>
    <row r="44" spans="1:10" ht="16.5" thickBot="1">
      <c r="A44" s="179"/>
      <c r="B44" s="295"/>
      <c r="C44" s="621"/>
      <c r="D44" s="593"/>
      <c r="E44" s="593"/>
      <c r="F44" s="593"/>
      <c r="G44" s="593"/>
      <c r="H44" s="593"/>
      <c r="I44" s="593"/>
      <c r="J44" s="234"/>
    </row>
    <row r="45" spans="1:10" ht="15.75">
      <c r="A45" s="173"/>
      <c r="B45" s="658"/>
      <c r="C45" s="329"/>
      <c r="D45" s="330"/>
      <c r="E45" s="142"/>
      <c r="F45" s="142"/>
      <c r="G45" s="331"/>
      <c r="H45" s="332"/>
      <c r="I45" s="333"/>
      <c r="J45" s="659"/>
    </row>
    <row r="46" spans="1:10" ht="15.75">
      <c r="A46" s="4"/>
      <c r="B46" s="10"/>
      <c r="C46" s="118" t="s">
        <v>923</v>
      </c>
      <c r="D46" s="204"/>
      <c r="E46" s="115"/>
      <c r="F46" s="115"/>
      <c r="G46" s="145"/>
      <c r="H46" s="145"/>
      <c r="I46" s="145"/>
      <c r="J46" s="146"/>
    </row>
    <row r="47" spans="1:10" ht="16.5" thickBot="1">
      <c r="A47" s="4"/>
      <c r="B47" s="9"/>
      <c r="C47" s="120"/>
      <c r="D47" s="216"/>
      <c r="E47" s="121"/>
      <c r="F47" s="121"/>
      <c r="G47" s="147"/>
      <c r="H47" s="147"/>
      <c r="I47" s="147"/>
      <c r="J47" s="148"/>
    </row>
    <row r="48" spans="1:10" ht="16.5" thickTop="1">
      <c r="A48" s="4"/>
      <c r="B48" s="9"/>
      <c r="C48" s="118"/>
      <c r="D48" s="319"/>
      <c r="E48" s="115"/>
      <c r="F48" s="115"/>
      <c r="G48" s="134"/>
      <c r="H48" s="145"/>
      <c r="I48" s="145"/>
      <c r="J48" s="320"/>
    </row>
    <row r="49" spans="1:10" ht="18.75">
      <c r="A49" s="4"/>
      <c r="B49" s="9"/>
      <c r="C49" s="118"/>
      <c r="D49" s="699" t="s">
        <v>333</v>
      </c>
      <c r="E49" s="700"/>
      <c r="F49" s="703"/>
      <c r="G49" s="681" t="s">
        <v>334</v>
      </c>
      <c r="H49" s="682"/>
      <c r="I49" s="687"/>
      <c r="J49" s="564"/>
    </row>
    <row r="50" spans="1:10" ht="15.75">
      <c r="A50" s="4"/>
      <c r="B50" s="336"/>
      <c r="C50" s="153"/>
      <c r="D50" s="159"/>
      <c r="E50" s="82"/>
      <c r="F50" s="155"/>
      <c r="G50" s="154"/>
      <c r="H50" s="82"/>
      <c r="I50" s="82"/>
      <c r="J50" s="244" t="s">
        <v>844</v>
      </c>
    </row>
    <row r="51" spans="1:10" ht="18.75">
      <c r="A51" s="63"/>
      <c r="B51" s="10"/>
      <c r="C51" s="156"/>
      <c r="D51" s="157" t="s">
        <v>844</v>
      </c>
      <c r="E51" s="157" t="s">
        <v>885</v>
      </c>
      <c r="F51" s="482"/>
      <c r="G51" s="482"/>
      <c r="H51" s="157" t="s">
        <v>886</v>
      </c>
      <c r="I51" s="127"/>
      <c r="J51" s="244" t="s">
        <v>104</v>
      </c>
    </row>
    <row r="52" spans="1:10" ht="15.75">
      <c r="A52" s="63"/>
      <c r="B52" s="10"/>
      <c r="C52" s="156"/>
      <c r="D52" s="157" t="s">
        <v>839</v>
      </c>
      <c r="E52" s="157" t="s">
        <v>884</v>
      </c>
      <c r="F52" s="482" t="s">
        <v>920</v>
      </c>
      <c r="G52" s="482" t="s">
        <v>840</v>
      </c>
      <c r="H52" s="127" t="s">
        <v>884</v>
      </c>
      <c r="I52" s="482" t="s">
        <v>920</v>
      </c>
      <c r="J52" s="244"/>
    </row>
    <row r="53" spans="1:10" ht="15.75">
      <c r="A53" s="63"/>
      <c r="B53" s="10"/>
      <c r="C53" s="81" t="s">
        <v>654</v>
      </c>
      <c r="D53" s="269" t="s">
        <v>163</v>
      </c>
      <c r="E53" s="158" t="s">
        <v>164</v>
      </c>
      <c r="F53" s="159" t="s">
        <v>165</v>
      </c>
      <c r="G53" s="159" t="s">
        <v>166</v>
      </c>
      <c r="H53" s="159" t="s">
        <v>167</v>
      </c>
      <c r="I53" s="159" t="s">
        <v>168</v>
      </c>
      <c r="J53" s="194" t="s">
        <v>169</v>
      </c>
    </row>
    <row r="54" spans="1:10" ht="15.75">
      <c r="A54" s="63"/>
      <c r="B54" s="10"/>
      <c r="C54" s="222"/>
      <c r="D54" s="270"/>
      <c r="E54" s="272"/>
      <c r="F54" s="271"/>
      <c r="G54" s="280"/>
      <c r="H54" s="271"/>
      <c r="I54" s="271"/>
      <c r="J54" s="494"/>
    </row>
    <row r="55" spans="1:10" ht="15.75">
      <c r="A55" s="63"/>
      <c r="B55" s="10"/>
      <c r="C55" s="213" t="s">
        <v>824</v>
      </c>
      <c r="D55" s="276"/>
      <c r="E55" s="325"/>
      <c r="F55" s="322"/>
      <c r="G55" s="282"/>
      <c r="H55" s="323"/>
      <c r="I55" s="322"/>
      <c r="J55" s="288"/>
    </row>
    <row r="56" spans="1:10" ht="15.75">
      <c r="A56" s="63"/>
      <c r="B56" s="10" t="s">
        <v>337</v>
      </c>
      <c r="C56" s="83" t="s">
        <v>849</v>
      </c>
      <c r="D56" s="276">
        <f>'TYAR Pieces and Pounds'!H19-D68-D72-D73</f>
        <v>19877813.27855195</v>
      </c>
      <c r="E56" s="321">
        <f>+'Adjusted Rate Elements'!$D$15</f>
        <v>1.401</v>
      </c>
      <c r="F56" s="322">
        <f>+D56*E56</f>
        <v>27848816.403251283</v>
      </c>
      <c r="G56" s="282">
        <f>+'TY Cost Distribution'!E15/SUM('TY Cost Distribution'!$E$23:$H$23)*'TYAR Pieces and Pounds'!$Q$17</f>
        <v>40801997.21098975</v>
      </c>
      <c r="H56" s="323">
        <f>+'Adjusted Rate Elements'!E15</f>
        <v>0.13</v>
      </c>
      <c r="I56" s="322">
        <f>+G56*H56</f>
        <v>5304259.637428667</v>
      </c>
      <c r="J56" s="288">
        <f aca="true" t="shared" si="0" ref="J56:J62">+F56+I56</f>
        <v>33153076.04067995</v>
      </c>
    </row>
    <row r="57" spans="1:10" ht="15.75">
      <c r="A57" s="63"/>
      <c r="B57" s="10" t="s">
        <v>338</v>
      </c>
      <c r="C57" s="83">
        <v>3</v>
      </c>
      <c r="D57" s="276">
        <f>'TYAR Pieces and Pounds'!H20-D69</f>
        <v>12406590.49626115</v>
      </c>
      <c r="E57" s="321">
        <f>+'Adjusted Rate Elements'!$D$15</f>
        <v>1.401</v>
      </c>
      <c r="F57" s="322">
        <f aca="true" t="shared" si="1" ref="F57:F62">+D57*E57</f>
        <v>17381633.28526187</v>
      </c>
      <c r="G57" s="282">
        <f>+'TY Cost Distribution'!E16/SUM('TY Cost Distribution'!$E$23:$H$23)*'TYAR Pieces and Pounds'!$Q$17</f>
        <v>26216088.740820915</v>
      </c>
      <c r="H57" s="323">
        <f>+'Adjusted Rate Elements'!F15</f>
        <v>0.156</v>
      </c>
      <c r="I57" s="322">
        <f aca="true" t="shared" si="2" ref="I57:I62">+G57*H57</f>
        <v>4089709.843568063</v>
      </c>
      <c r="J57" s="288">
        <f t="shared" si="0"/>
        <v>21471343.128829934</v>
      </c>
    </row>
    <row r="58" spans="1:10" ht="15.75">
      <c r="A58" s="63"/>
      <c r="B58" s="10" t="s">
        <v>339</v>
      </c>
      <c r="C58" s="83">
        <v>4</v>
      </c>
      <c r="D58" s="276">
        <f>'TYAR Pieces and Pounds'!H21-D70</f>
        <v>19473701.45592993</v>
      </c>
      <c r="E58" s="321">
        <f>+'Adjusted Rate Elements'!$D$15</f>
        <v>1.401</v>
      </c>
      <c r="F58" s="322">
        <f t="shared" si="1"/>
        <v>27282655.739757836</v>
      </c>
      <c r="G58" s="282">
        <f>+'TY Cost Distribution'!E17/SUM('TY Cost Distribution'!$E$23:$H$23)*'TYAR Pieces and Pounds'!$Q$17</f>
        <v>41090892.06393351</v>
      </c>
      <c r="H58" s="323">
        <f>+'Adjusted Rate Elements'!G15</f>
        <v>0.204</v>
      </c>
      <c r="I58" s="322">
        <f t="shared" si="2"/>
        <v>8382541.981042434</v>
      </c>
      <c r="J58" s="288">
        <f t="shared" si="0"/>
        <v>35665197.72080027</v>
      </c>
    </row>
    <row r="59" spans="1:10" ht="15.75">
      <c r="A59" s="63"/>
      <c r="B59" s="10" t="s">
        <v>340</v>
      </c>
      <c r="C59" s="83">
        <v>5</v>
      </c>
      <c r="D59" s="276">
        <f>'TYAR Pieces and Pounds'!H22-D71</f>
        <v>19893685.87530599</v>
      </c>
      <c r="E59" s="321">
        <f>+'Adjusted Rate Elements'!$D$15</f>
        <v>1.401</v>
      </c>
      <c r="F59" s="322">
        <f t="shared" si="1"/>
        <v>27871053.911303695</v>
      </c>
      <c r="G59" s="282">
        <f>+'TY Cost Distribution'!E18/SUM('TY Cost Distribution'!$E$23:$H$23)*'TYAR Pieces and Pounds'!$Q$17</f>
        <v>38561034.959705465</v>
      </c>
      <c r="H59" s="323">
        <f>+'Adjusted Rate Elements'!H15</f>
        <v>0.259</v>
      </c>
      <c r="I59" s="322">
        <f t="shared" si="2"/>
        <v>9987308.054563716</v>
      </c>
      <c r="J59" s="288">
        <f t="shared" si="0"/>
        <v>37858361.965867415</v>
      </c>
    </row>
    <row r="60" spans="1:10" ht="15.75">
      <c r="A60" s="63"/>
      <c r="B60" s="10" t="s">
        <v>341</v>
      </c>
      <c r="C60" s="83">
        <v>6</v>
      </c>
      <c r="D60" s="276">
        <f>'TYAR Pieces and Pounds'!H23</f>
        <v>10856963.186632024</v>
      </c>
      <c r="E60" s="321">
        <f>+'Adjusted Rate Elements'!$D$15</f>
        <v>1.401</v>
      </c>
      <c r="F60" s="322">
        <f t="shared" si="1"/>
        <v>15210605.424471466</v>
      </c>
      <c r="G60" s="282">
        <f>+'TY Cost Distribution'!E19/SUM('TY Cost Distribution'!$E$23:$H$23)*'TYAR Pieces and Pounds'!$Q$17</f>
        <v>20724650.137314156</v>
      </c>
      <c r="H60" s="323">
        <f>+'Adjusted Rate Elements'!I15</f>
        <v>0.322</v>
      </c>
      <c r="I60" s="322">
        <f t="shared" si="2"/>
        <v>6673337.344215158</v>
      </c>
      <c r="J60" s="288">
        <f t="shared" si="0"/>
        <v>21883942.768686622</v>
      </c>
    </row>
    <row r="61" spans="1:10" ht="15.75">
      <c r="A61" s="63"/>
      <c r="B61" s="10" t="s">
        <v>342</v>
      </c>
      <c r="C61" s="83">
        <v>7</v>
      </c>
      <c r="D61" s="276">
        <f>'TYAR Pieces and Pounds'!H24</f>
        <v>7275774.553447401</v>
      </c>
      <c r="E61" s="321">
        <f>+'Adjusted Rate Elements'!$D$15</f>
        <v>1.401</v>
      </c>
      <c r="F61" s="322">
        <f t="shared" si="1"/>
        <v>10193360.149379808</v>
      </c>
      <c r="G61" s="282">
        <f>+'TY Cost Distribution'!E20/SUM('TY Cost Distribution'!$E$23:$H$23)*'TYAR Pieces and Pounds'!$Q$17</f>
        <v>14127869.276067514</v>
      </c>
      <c r="H61" s="323">
        <f>+'Adjusted Rate Elements'!J15</f>
        <v>0.371</v>
      </c>
      <c r="I61" s="322">
        <f t="shared" si="2"/>
        <v>5241439.501421047</v>
      </c>
      <c r="J61" s="288">
        <f t="shared" si="0"/>
        <v>15434799.650800856</v>
      </c>
    </row>
    <row r="62" spans="1:10" ht="15.75">
      <c r="A62" s="63"/>
      <c r="B62" s="10" t="s">
        <v>343</v>
      </c>
      <c r="C62" s="83">
        <v>8</v>
      </c>
      <c r="D62" s="276">
        <f>'TYAR Pieces and Pounds'!H25</f>
        <v>13881576.386224763</v>
      </c>
      <c r="E62" s="321">
        <f>+'Adjusted Rate Elements'!$D$15</f>
        <v>1.401</v>
      </c>
      <c r="F62" s="322">
        <f t="shared" si="1"/>
        <v>19448088.517100893</v>
      </c>
      <c r="G62" s="282">
        <f>+'TY Cost Distribution'!E21/SUM('TY Cost Distribution'!$E$23:$H$23)*'TYAR Pieces and Pounds'!$Q$17</f>
        <v>24542640.528359648</v>
      </c>
      <c r="H62" s="323">
        <f>+'Adjusted Rate Elements'!K15</f>
        <v>0.492</v>
      </c>
      <c r="I62" s="322">
        <f t="shared" si="2"/>
        <v>12074979.139952946</v>
      </c>
      <c r="J62" s="288">
        <f t="shared" si="0"/>
        <v>31523067.65705384</v>
      </c>
    </row>
    <row r="63" spans="1:10" ht="15.75">
      <c r="A63" s="63"/>
      <c r="B63" s="10"/>
      <c r="C63" s="83"/>
      <c r="D63" s="282"/>
      <c r="E63" s="334"/>
      <c r="F63" s="324"/>
      <c r="G63" s="282"/>
      <c r="H63" s="323"/>
      <c r="I63" s="324"/>
      <c r="J63" s="288"/>
    </row>
    <row r="64" spans="1:11" ht="15.75">
      <c r="A64" s="63"/>
      <c r="B64" s="10" t="s">
        <v>344</v>
      </c>
      <c r="C64" s="83" t="s">
        <v>844</v>
      </c>
      <c r="D64" s="282">
        <f>SUM(D56:D62)</f>
        <v>103666105.23235321</v>
      </c>
      <c r="E64" s="334"/>
      <c r="F64" s="324">
        <f>SUM(F56:F62)</f>
        <v>145236213.43052685</v>
      </c>
      <c r="G64" s="282">
        <f>SUM(G56:G62)</f>
        <v>206065172.917191</v>
      </c>
      <c r="H64" s="323"/>
      <c r="I64" s="324">
        <f>SUM(I56:I62)</f>
        <v>51753575.502192035</v>
      </c>
      <c r="J64" s="288">
        <f>SUM(J56:J62)</f>
        <v>196989788.9327189</v>
      </c>
      <c r="K64" s="47"/>
    </row>
    <row r="65" spans="1:11" ht="15.75">
      <c r="A65" s="63"/>
      <c r="B65" s="10"/>
      <c r="C65" s="83"/>
      <c r="D65" s="282"/>
      <c r="E65" s="334"/>
      <c r="F65" s="324"/>
      <c r="G65" s="282"/>
      <c r="H65" s="323"/>
      <c r="I65" s="324"/>
      <c r="J65" s="288"/>
      <c r="K65" s="47"/>
    </row>
    <row r="66" spans="1:11" ht="15.75">
      <c r="A66" s="63"/>
      <c r="B66" s="10"/>
      <c r="C66" s="213" t="s">
        <v>794</v>
      </c>
      <c r="D66" s="282"/>
      <c r="E66" s="334"/>
      <c r="F66" s="324"/>
      <c r="G66" s="282"/>
      <c r="H66" s="323"/>
      <c r="I66" s="324"/>
      <c r="J66" s="288"/>
      <c r="K66" s="47"/>
    </row>
    <row r="67" spans="1:11" ht="15.75">
      <c r="A67" s="63"/>
      <c r="B67" s="10"/>
      <c r="C67" s="284" t="s">
        <v>124</v>
      </c>
      <c r="D67" s="282"/>
      <c r="E67" s="334"/>
      <c r="F67" s="324"/>
      <c r="G67" s="282"/>
      <c r="H67" s="323"/>
      <c r="I67" s="324"/>
      <c r="J67" s="288"/>
      <c r="K67" s="47"/>
    </row>
    <row r="68" spans="1:11" ht="15.75">
      <c r="A68" s="63"/>
      <c r="B68" s="10" t="s">
        <v>345</v>
      </c>
      <c r="C68" s="83" t="s">
        <v>849</v>
      </c>
      <c r="D68" s="282">
        <f>'TYAR Pieces and Pounds'!$H$17*Inputs!D38</f>
        <v>188379692.9479589</v>
      </c>
      <c r="E68" s="501">
        <f>+'Adjusted Rate Elements'!$D$17</f>
        <v>1.096</v>
      </c>
      <c r="F68" s="322">
        <f aca="true" t="shared" si="3" ref="F68:F73">+D68*E68</f>
        <v>206464143.47096294</v>
      </c>
      <c r="G68" s="282">
        <f>+'TY Cost Distribution'!F15/SUM('TY Cost Distribution'!$E$23:$H$23)*'TYAR Pieces and Pounds'!$Q$17</f>
        <v>546200582.5835637</v>
      </c>
      <c r="H68" s="323">
        <f>+'Adjusted Rate Elements'!E17</f>
        <v>0.09</v>
      </c>
      <c r="I68" s="322">
        <f aca="true" t="shared" si="4" ref="I68:I73">+G68*H68</f>
        <v>49158052.43252073</v>
      </c>
      <c r="J68" s="288">
        <f aca="true" t="shared" si="5" ref="J68:J73">+F68+I68</f>
        <v>255622195.9034837</v>
      </c>
      <c r="K68" s="47"/>
    </row>
    <row r="69" spans="1:11" ht="15.75">
      <c r="A69" s="63"/>
      <c r="B69" s="10" t="s">
        <v>346</v>
      </c>
      <c r="C69" s="83">
        <v>3</v>
      </c>
      <c r="D69" s="282">
        <f>'TYAR Pieces and Pounds'!$H$17*Inputs!D39</f>
        <v>43781656.71570876</v>
      </c>
      <c r="E69" s="501">
        <f>+'Adjusted Rate Elements'!$D$17</f>
        <v>1.096</v>
      </c>
      <c r="F69" s="322">
        <f t="shared" si="3"/>
        <v>47984695.760416806</v>
      </c>
      <c r="G69" s="282">
        <f>+'TY Cost Distribution'!F16/SUM('TY Cost Distribution'!$E$23:$H$23)*'TYAR Pieces and Pounds'!$Q$17</f>
        <v>115260786.17983636</v>
      </c>
      <c r="H69" s="323">
        <f>+'Adjusted Rate Elements'!F17</f>
        <v>0.13</v>
      </c>
      <c r="I69" s="322">
        <f t="shared" si="4"/>
        <v>14983902.203378728</v>
      </c>
      <c r="J69" s="288">
        <f t="shared" si="5"/>
        <v>62968597.963795535</v>
      </c>
      <c r="K69" s="47"/>
    </row>
    <row r="70" spans="1:11" ht="15.75">
      <c r="A70" s="63"/>
      <c r="B70" s="10" t="s">
        <v>347</v>
      </c>
      <c r="C70" s="83">
        <v>4</v>
      </c>
      <c r="D70" s="282">
        <f>'TYAR Pieces and Pounds'!$H$17*Inputs!D40</f>
        <v>9577949.297976848</v>
      </c>
      <c r="E70" s="501">
        <f>+'Adjusted Rate Elements'!$D$17</f>
        <v>1.096</v>
      </c>
      <c r="F70" s="322">
        <f t="shared" si="3"/>
        <v>10497432.430582626</v>
      </c>
      <c r="G70" s="282">
        <f>+'TY Cost Distribution'!F17/SUM('TY Cost Distribution'!$E$23:$H$23)*'TYAR Pieces and Pounds'!$Q$17</f>
        <v>24988950.92473983</v>
      </c>
      <c r="H70" s="323">
        <f>+'Adjusted Rate Elements'!G17</f>
        <v>0.172</v>
      </c>
      <c r="I70" s="322">
        <f t="shared" si="4"/>
        <v>4298099.55905525</v>
      </c>
      <c r="J70" s="288">
        <f t="shared" si="5"/>
        <v>14795531.989637876</v>
      </c>
      <c r="K70" s="47"/>
    </row>
    <row r="71" spans="1:11" ht="15.75">
      <c r="A71" s="63"/>
      <c r="B71" s="10" t="s">
        <v>348</v>
      </c>
      <c r="C71" s="83">
        <v>5</v>
      </c>
      <c r="D71" s="282">
        <f>'TYAR Pieces and Pounds'!$H$17*Inputs!D41</f>
        <v>397598.0861727422</v>
      </c>
      <c r="E71" s="501">
        <f>+'Adjusted Rate Elements'!$D$17</f>
        <v>1.096</v>
      </c>
      <c r="F71" s="322">
        <f t="shared" si="3"/>
        <v>435767.5024453255</v>
      </c>
      <c r="G71" s="282">
        <f>+'TY Cost Distribution'!F18/SUM('TY Cost Distribution'!$E$23:$H$23)*'TYAR Pieces and Pounds'!$Q$17</f>
        <v>691027.8779552561</v>
      </c>
      <c r="H71" s="323">
        <f>+'Adjusted Rate Elements'!H17</f>
        <v>0.229</v>
      </c>
      <c r="I71" s="322">
        <f t="shared" si="4"/>
        <v>158245.38405175367</v>
      </c>
      <c r="J71" s="288">
        <f t="shared" si="5"/>
        <v>594012.8864970792</v>
      </c>
      <c r="K71" s="47"/>
    </row>
    <row r="72" spans="1:11" ht="15.75">
      <c r="A72" s="63"/>
      <c r="B72" s="10" t="s">
        <v>349</v>
      </c>
      <c r="C72" s="284" t="s">
        <v>127</v>
      </c>
      <c r="D72" s="282">
        <f>'TYAR Pieces and Pounds'!$H$17*Inputs!D42</f>
        <v>205787291.75446182</v>
      </c>
      <c r="E72" s="501">
        <f>+'Adjusted Rate Elements'!D19</f>
        <v>0.755</v>
      </c>
      <c r="F72" s="322">
        <f t="shared" si="3"/>
        <v>155369405.2746187</v>
      </c>
      <c r="G72" s="282">
        <f>+'TY Cost Distribution'!G15/SUM('TY Cost Distribution'!$E$23:$H$23)*'TYAR Pieces and Pounds'!$Q$17</f>
        <v>384723082.64534235</v>
      </c>
      <c r="H72" s="323">
        <f>+'Adjusted Rate Elements'!E19</f>
        <v>0.086</v>
      </c>
      <c r="I72" s="322">
        <f t="shared" si="4"/>
        <v>33086185.10749944</v>
      </c>
      <c r="J72" s="288">
        <f t="shared" si="5"/>
        <v>188455590.38211814</v>
      </c>
      <c r="K72" s="47"/>
    </row>
    <row r="73" spans="1:11" ht="15.75">
      <c r="A73" s="63"/>
      <c r="B73" s="10" t="s">
        <v>350</v>
      </c>
      <c r="C73" s="284" t="s">
        <v>128</v>
      </c>
      <c r="D73" s="282">
        <f>'TYAR Pieces and Pounds'!$H$17*Inputs!D43</f>
        <v>71987256.70010446</v>
      </c>
      <c r="E73" s="501">
        <f>+'Adjusted Rate Elements'!D21</f>
        <v>0.684</v>
      </c>
      <c r="F73" s="322">
        <f t="shared" si="3"/>
        <v>49239283.58287145</v>
      </c>
      <c r="G73" s="282">
        <f>+'TY Cost Distribution'!H15/SUM('TY Cost Distribution'!$E$23:$H$23)*'TYAR Pieces and Pounds'!$Q$17</f>
        <v>181798798.4273707</v>
      </c>
      <c r="H73" s="323">
        <f>+'Adjusted Rate Elements'!E21</f>
        <v>0.042</v>
      </c>
      <c r="I73" s="322">
        <f t="shared" si="4"/>
        <v>7635549.53394957</v>
      </c>
      <c r="J73" s="288">
        <f t="shared" si="5"/>
        <v>56874833.11682102</v>
      </c>
      <c r="K73" s="47"/>
    </row>
    <row r="74" spans="1:11" ht="15.75">
      <c r="A74" s="63"/>
      <c r="B74" s="10"/>
      <c r="C74" s="83"/>
      <c r="D74" s="282"/>
      <c r="E74" s="501"/>
      <c r="F74" s="324"/>
      <c r="G74" s="282"/>
      <c r="H74" s="323"/>
      <c r="I74" s="324"/>
      <c r="J74" s="288"/>
      <c r="K74" s="47"/>
    </row>
    <row r="75" spans="1:11" ht="15.75">
      <c r="A75" s="63"/>
      <c r="B75" s="10" t="s">
        <v>351</v>
      </c>
      <c r="C75" s="83" t="s">
        <v>844</v>
      </c>
      <c r="D75" s="282">
        <f>SUM(D68:D73)</f>
        <v>519911445.50238353</v>
      </c>
      <c r="E75" s="501"/>
      <c r="F75" s="322">
        <f>SUM(F68:F73)</f>
        <v>469990728.0218978</v>
      </c>
      <c r="G75" s="282">
        <f>SUM(G68:G73)</f>
        <v>1253663228.6388083</v>
      </c>
      <c r="H75" s="323"/>
      <c r="I75" s="322">
        <f>SUM(I68:I73)</f>
        <v>109320034.22045547</v>
      </c>
      <c r="J75" s="288">
        <f>SUM(J68:J73)</f>
        <v>579310762.2423533</v>
      </c>
      <c r="K75" s="47"/>
    </row>
    <row r="76" spans="1:11" ht="15.75">
      <c r="A76" s="63"/>
      <c r="B76" s="10"/>
      <c r="C76" s="408"/>
      <c r="D76" s="502"/>
      <c r="E76" s="352"/>
      <c r="F76" s="351"/>
      <c r="G76" s="502"/>
      <c r="H76" s="354"/>
      <c r="I76" s="351"/>
      <c r="J76" s="503"/>
      <c r="K76" s="47"/>
    </row>
    <row r="77" spans="1:11" ht="15.75">
      <c r="A77" s="63"/>
      <c r="B77" s="10"/>
      <c r="C77" s="83"/>
      <c r="D77" s="365"/>
      <c r="E77" s="504"/>
      <c r="F77" s="367"/>
      <c r="G77" s="365"/>
      <c r="H77" s="409"/>
      <c r="I77" s="367"/>
      <c r="J77" s="505"/>
      <c r="K77" s="47"/>
    </row>
    <row r="78" spans="1:11" ht="18.75">
      <c r="A78" s="63"/>
      <c r="B78" s="10" t="s">
        <v>352</v>
      </c>
      <c r="C78" s="284" t="s">
        <v>31</v>
      </c>
      <c r="D78" s="365"/>
      <c r="E78" s="365"/>
      <c r="F78" s="567">
        <f>+J64+J75</f>
        <v>776300551.1750722</v>
      </c>
      <c r="G78" s="365"/>
      <c r="H78" s="365"/>
      <c r="I78" s="365"/>
      <c r="J78" s="505"/>
      <c r="K78" s="47"/>
    </row>
    <row r="79" spans="1:11" ht="15.75">
      <c r="A79" s="63"/>
      <c r="B79" s="10"/>
      <c r="C79" s="83"/>
      <c r="D79" s="365"/>
      <c r="E79" s="365"/>
      <c r="F79" s="567"/>
      <c r="G79" s="365"/>
      <c r="H79" s="365"/>
      <c r="I79" s="365"/>
      <c r="J79" s="505"/>
      <c r="K79" s="47"/>
    </row>
    <row r="80" spans="1:11" ht="18.75">
      <c r="A80" s="63"/>
      <c r="B80" s="10" t="s">
        <v>353</v>
      </c>
      <c r="C80" s="284" t="s">
        <v>32</v>
      </c>
      <c r="D80" s="365"/>
      <c r="E80" s="365"/>
      <c r="F80" s="567">
        <f>+F78*Inputs!D18</f>
        <v>777355735.2439319</v>
      </c>
      <c r="G80" s="365"/>
      <c r="H80" s="365"/>
      <c r="I80" s="365"/>
      <c r="J80" s="505"/>
      <c r="K80" s="47"/>
    </row>
    <row r="81" spans="1:11" ht="15.75">
      <c r="A81" s="63"/>
      <c r="B81" s="10"/>
      <c r="C81" s="284"/>
      <c r="D81" s="365"/>
      <c r="E81" s="365"/>
      <c r="F81" s="567"/>
      <c r="G81" s="365"/>
      <c r="H81" s="365"/>
      <c r="I81" s="365"/>
      <c r="J81" s="505"/>
      <c r="K81" s="47"/>
    </row>
    <row r="82" spans="1:11" ht="18.75">
      <c r="A82" s="63"/>
      <c r="B82" s="10"/>
      <c r="C82" s="284" t="s">
        <v>105</v>
      </c>
      <c r="D82" s="365"/>
      <c r="E82" s="365"/>
      <c r="F82" s="567"/>
      <c r="G82" s="365"/>
      <c r="H82" s="365"/>
      <c r="I82" s="365"/>
      <c r="J82" s="505"/>
      <c r="K82" s="47"/>
    </row>
    <row r="83" spans="1:11" ht="15.75">
      <c r="A83" s="63"/>
      <c r="B83" s="10" t="s">
        <v>354</v>
      </c>
      <c r="C83" s="284" t="s">
        <v>140</v>
      </c>
      <c r="D83" s="365"/>
      <c r="E83" s="365"/>
      <c r="F83" s="567">
        <f>-('TYAR Pieces and Pounds'!J17+'TYAR Pieces and Pounds'!M17)*'Adjusted Rate Elements'!D32</f>
        <v>-44837483.50304561</v>
      </c>
      <c r="G83" s="365"/>
      <c r="H83" s="365"/>
      <c r="I83" s="365"/>
      <c r="J83" s="505"/>
      <c r="K83" s="47"/>
    </row>
    <row r="84" spans="1:11" ht="15.75">
      <c r="A84" s="63"/>
      <c r="B84" s="10" t="s">
        <v>355</v>
      </c>
      <c r="C84" s="284" t="s">
        <v>655</v>
      </c>
      <c r="D84" s="365"/>
      <c r="E84" s="365"/>
      <c r="F84" s="567">
        <f>-'TYAR Pieces and Pounds'!L17*('Adjusted Rate Elements'!D15-'Adjusted Rate Elements'!D24)</f>
        <v>-16149301.848646067</v>
      </c>
      <c r="G84" s="365"/>
      <c r="H84" s="365"/>
      <c r="I84" s="365"/>
      <c r="J84" s="505"/>
      <c r="K84" s="47"/>
    </row>
    <row r="85" spans="1:11" ht="15.75">
      <c r="A85" s="63"/>
      <c r="B85" s="10"/>
      <c r="C85" s="284" t="s">
        <v>141</v>
      </c>
      <c r="D85" s="365"/>
      <c r="E85" s="365"/>
      <c r="F85" s="567"/>
      <c r="G85" s="365"/>
      <c r="H85" s="365"/>
      <c r="I85" s="365"/>
      <c r="J85" s="505"/>
      <c r="K85" s="47"/>
    </row>
    <row r="86" spans="1:11" ht="15.75">
      <c r="A86" s="63"/>
      <c r="B86" s="10" t="s">
        <v>72</v>
      </c>
      <c r="C86" s="284" t="s">
        <v>142</v>
      </c>
      <c r="D86" s="365"/>
      <c r="E86" s="365"/>
      <c r="F86" s="567">
        <f>-('TYAR Pieces and Pounds'!J17+'TYAR Pieces and Pounds'!M17)*Inputs!D29*'Adjusted Rate Elements'!D35</f>
        <v>-1891766.5181250414</v>
      </c>
      <c r="G86" s="365"/>
      <c r="H86" s="365"/>
      <c r="I86" s="365"/>
      <c r="J86" s="505"/>
      <c r="K86" s="47"/>
    </row>
    <row r="87" spans="1:11" ht="15.75">
      <c r="A87" s="63"/>
      <c r="B87" s="10" t="s">
        <v>73</v>
      </c>
      <c r="C87" s="284" t="s">
        <v>143</v>
      </c>
      <c r="D87" s="365"/>
      <c r="E87" s="365"/>
      <c r="F87" s="567">
        <f>-'TYAR Pieces and Pounds'!H17*Inputs!D26*'Adjusted Rate Elements'!D36</f>
        <v>-4897013.583003687</v>
      </c>
      <c r="G87" s="365"/>
      <c r="H87" s="365"/>
      <c r="I87" s="365"/>
      <c r="J87" s="505"/>
      <c r="K87" s="47"/>
    </row>
    <row r="88" spans="1:11" ht="15.75">
      <c r="A88" s="63"/>
      <c r="B88" s="10"/>
      <c r="C88" s="284"/>
      <c r="D88" s="365"/>
      <c r="E88" s="365"/>
      <c r="F88" s="567"/>
      <c r="G88" s="365"/>
      <c r="H88" s="365"/>
      <c r="I88" s="365"/>
      <c r="J88" s="505"/>
      <c r="K88" s="47"/>
    </row>
    <row r="89" spans="1:11" ht="18.75">
      <c r="A89" s="63"/>
      <c r="B89" s="10" t="s">
        <v>74</v>
      </c>
      <c r="C89" s="284" t="s">
        <v>106</v>
      </c>
      <c r="D89" s="365"/>
      <c r="E89" s="365"/>
      <c r="F89" s="567">
        <f>SUM(F80:F87)</f>
        <v>709580169.7911116</v>
      </c>
      <c r="G89" s="365"/>
      <c r="H89" s="365"/>
      <c r="I89" s="365"/>
      <c r="J89" s="505"/>
      <c r="K89" s="47"/>
    </row>
    <row r="90" spans="1:11" ht="16.5" thickBot="1">
      <c r="A90" s="63"/>
      <c r="B90" s="10"/>
      <c r="C90" s="291"/>
      <c r="D90" s="378"/>
      <c r="E90" s="378"/>
      <c r="F90" s="568"/>
      <c r="G90" s="378"/>
      <c r="H90" s="378"/>
      <c r="I90" s="378"/>
      <c r="J90" s="496"/>
      <c r="K90" s="47"/>
    </row>
    <row r="91" spans="1:11" ht="15.75">
      <c r="A91" s="63"/>
      <c r="B91" s="10"/>
      <c r="C91" s="284"/>
      <c r="D91" s="365"/>
      <c r="E91" s="365"/>
      <c r="F91" s="567"/>
      <c r="G91" s="365"/>
      <c r="H91" s="365"/>
      <c r="I91" s="365"/>
      <c r="J91" s="505"/>
      <c r="K91" s="47"/>
    </row>
    <row r="92" spans="1:11" ht="15.75">
      <c r="A92" s="63"/>
      <c r="B92" s="10"/>
      <c r="C92" s="213" t="s">
        <v>409</v>
      </c>
      <c r="D92" s="365"/>
      <c r="E92" s="365"/>
      <c r="F92" s="567"/>
      <c r="G92" s="365"/>
      <c r="H92" s="365"/>
      <c r="I92" s="365"/>
      <c r="J92" s="505"/>
      <c r="K92" s="47"/>
    </row>
    <row r="93" spans="1:11" ht="16.5" thickBot="1">
      <c r="A93" s="63"/>
      <c r="B93" s="10"/>
      <c r="C93" s="371"/>
      <c r="D93" s="372"/>
      <c r="E93" s="372"/>
      <c r="F93" s="569"/>
      <c r="G93" s="372"/>
      <c r="H93" s="372"/>
      <c r="I93" s="372"/>
      <c r="J93" s="570"/>
      <c r="K93" s="47"/>
    </row>
    <row r="94" spans="1:11" ht="16.5" thickTop="1">
      <c r="A94" s="63"/>
      <c r="B94" s="10"/>
      <c r="C94" s="284"/>
      <c r="D94" s="365"/>
      <c r="E94" s="365"/>
      <c r="F94" s="567"/>
      <c r="G94" s="365"/>
      <c r="H94" s="365"/>
      <c r="I94" s="365"/>
      <c r="J94" s="505"/>
      <c r="K94" s="47"/>
    </row>
    <row r="95" spans="1:11" ht="18.75">
      <c r="A95" s="63"/>
      <c r="B95" s="10" t="s">
        <v>75</v>
      </c>
      <c r="C95" s="284" t="s">
        <v>107</v>
      </c>
      <c r="D95" s="365"/>
      <c r="E95" s="365"/>
      <c r="F95" s="567">
        <f>+F42+F89</f>
        <v>787397080.8865925</v>
      </c>
      <c r="G95" s="365"/>
      <c r="H95" s="365"/>
      <c r="I95" s="365"/>
      <c r="J95" s="505"/>
      <c r="K95" s="47"/>
    </row>
    <row r="96" spans="1:11" ht="15.75">
      <c r="A96" s="63"/>
      <c r="B96" s="10"/>
      <c r="C96" s="284"/>
      <c r="D96" s="365"/>
      <c r="E96" s="365"/>
      <c r="F96" s="567"/>
      <c r="G96" s="365"/>
      <c r="H96" s="365"/>
      <c r="I96" s="365"/>
      <c r="J96" s="505"/>
      <c r="K96" s="47"/>
    </row>
    <row r="97" spans="1:11" ht="18.75">
      <c r="A97" s="63"/>
      <c r="B97" s="10" t="s">
        <v>76</v>
      </c>
      <c r="C97" s="284" t="s">
        <v>109</v>
      </c>
      <c r="D97" s="365"/>
      <c r="E97" s="365"/>
      <c r="F97" s="567">
        <f>+Inputs!D88</f>
        <v>1383000</v>
      </c>
      <c r="G97" s="365"/>
      <c r="H97" s="365"/>
      <c r="I97" s="365"/>
      <c r="J97" s="505"/>
      <c r="K97" s="47"/>
    </row>
    <row r="98" spans="1:11" ht="15.75">
      <c r="A98" s="63"/>
      <c r="B98" s="10"/>
      <c r="C98" s="284"/>
      <c r="D98" s="365"/>
      <c r="E98" s="365"/>
      <c r="F98" s="567"/>
      <c r="G98" s="365"/>
      <c r="H98" s="365"/>
      <c r="I98" s="365"/>
      <c r="J98" s="505"/>
      <c r="K98" s="47"/>
    </row>
    <row r="99" spans="1:11" ht="18.75">
      <c r="A99" s="63"/>
      <c r="B99" s="10" t="s">
        <v>77</v>
      </c>
      <c r="C99" s="284" t="s">
        <v>108</v>
      </c>
      <c r="D99" s="365"/>
      <c r="E99" s="365"/>
      <c r="F99" s="567">
        <f>+F95+F97</f>
        <v>788780080.8865925</v>
      </c>
      <c r="G99" s="365"/>
      <c r="H99" s="365"/>
      <c r="I99" s="365"/>
      <c r="J99" s="505"/>
      <c r="K99" s="47"/>
    </row>
    <row r="100" spans="1:10" ht="16.5" thickBot="1">
      <c r="A100" s="21"/>
      <c r="B100" s="552"/>
      <c r="C100" s="291"/>
      <c r="D100" s="378"/>
      <c r="E100" s="378"/>
      <c r="F100" s="378"/>
      <c r="G100" s="378"/>
      <c r="H100" s="378"/>
      <c r="I100" s="378"/>
      <c r="J100" s="496"/>
    </row>
    <row r="101" spans="1:10" ht="12.75">
      <c r="A101" s="62"/>
      <c r="B101" s="39"/>
      <c r="C101" s="225"/>
      <c r="D101" s="225"/>
      <c r="E101" s="560"/>
      <c r="F101" s="560"/>
      <c r="G101" s="560"/>
      <c r="H101" s="560"/>
      <c r="I101" s="560"/>
      <c r="J101" s="673"/>
    </row>
    <row r="102" spans="1:10" ht="15.75">
      <c r="A102" s="63"/>
      <c r="B102" s="41"/>
      <c r="C102" s="203" t="s">
        <v>811</v>
      </c>
      <c r="D102" s="577"/>
      <c r="E102" s="561"/>
      <c r="F102" s="561"/>
      <c r="G102" s="561"/>
      <c r="H102" s="563"/>
      <c r="I102" s="561"/>
      <c r="J102" s="565"/>
    </row>
    <row r="103" spans="1:10" ht="13.5" thickBot="1">
      <c r="A103" s="63"/>
      <c r="B103" s="41"/>
      <c r="C103" s="229"/>
      <c r="D103" s="230"/>
      <c r="E103" s="562"/>
      <c r="F103" s="562"/>
      <c r="G103" s="562"/>
      <c r="H103" s="562"/>
      <c r="I103" s="562"/>
      <c r="J103" s="566"/>
    </row>
    <row r="104" spans="1:10" ht="13.5" thickTop="1">
      <c r="A104" s="63"/>
      <c r="B104" s="41"/>
      <c r="C104" s="561" t="s">
        <v>323</v>
      </c>
      <c r="D104" s="227"/>
      <c r="E104" s="561"/>
      <c r="F104" s="561"/>
      <c r="G104" s="561"/>
      <c r="H104" s="561"/>
      <c r="I104" s="561"/>
      <c r="J104" s="565"/>
    </row>
    <row r="105" spans="1:10" ht="12.75">
      <c r="A105" s="63"/>
      <c r="B105" s="41"/>
      <c r="C105" s="561" t="s">
        <v>78</v>
      </c>
      <c r="D105" s="227"/>
      <c r="E105" s="561"/>
      <c r="F105" s="561"/>
      <c r="G105" s="561"/>
      <c r="H105" s="561"/>
      <c r="I105" s="561"/>
      <c r="J105" s="565"/>
    </row>
    <row r="106" spans="1:10" ht="12.75">
      <c r="A106" s="63"/>
      <c r="B106" s="41"/>
      <c r="C106" s="561" t="s">
        <v>79</v>
      </c>
      <c r="D106" s="227"/>
      <c r="E106" s="561"/>
      <c r="F106" s="561"/>
      <c r="G106" s="561"/>
      <c r="H106" s="561"/>
      <c r="I106" s="561"/>
      <c r="J106" s="565"/>
    </row>
    <row r="107" spans="1:10" ht="12.75">
      <c r="A107" s="63"/>
      <c r="B107" s="41"/>
      <c r="C107" s="561" t="s">
        <v>80</v>
      </c>
      <c r="D107" s="227"/>
      <c r="E107" s="561"/>
      <c r="F107" s="561"/>
      <c r="G107" s="561"/>
      <c r="H107" s="561"/>
      <c r="I107" s="561"/>
      <c r="J107" s="565"/>
    </row>
    <row r="108" spans="1:10" ht="12.75">
      <c r="A108" s="63"/>
      <c r="B108" s="41"/>
      <c r="C108" s="561" t="s">
        <v>81</v>
      </c>
      <c r="D108" s="227"/>
      <c r="E108" s="561"/>
      <c r="F108" s="561"/>
      <c r="G108" s="561"/>
      <c r="H108" s="561"/>
      <c r="I108" s="561"/>
      <c r="J108" s="565"/>
    </row>
    <row r="109" spans="1:10" ht="12.75">
      <c r="A109" s="63"/>
      <c r="B109" s="41"/>
      <c r="C109" s="561" t="s">
        <v>82</v>
      </c>
      <c r="D109" s="227"/>
      <c r="E109" s="561"/>
      <c r="F109" s="561"/>
      <c r="G109" s="561"/>
      <c r="H109" s="561"/>
      <c r="I109" s="561"/>
      <c r="J109" s="565"/>
    </row>
    <row r="110" spans="1:10" ht="12.75">
      <c r="A110" s="63"/>
      <c r="B110" s="41"/>
      <c r="C110" s="561" t="s">
        <v>83</v>
      </c>
      <c r="D110" s="227"/>
      <c r="E110" s="561"/>
      <c r="F110" s="561"/>
      <c r="G110" s="561"/>
      <c r="H110" s="561"/>
      <c r="I110" s="561"/>
      <c r="J110" s="565"/>
    </row>
    <row r="111" spans="1:10" ht="12.75">
      <c r="A111" s="63"/>
      <c r="B111" s="41"/>
      <c r="C111" s="561" t="s">
        <v>84</v>
      </c>
      <c r="D111" s="227"/>
      <c r="E111" s="561"/>
      <c r="F111" s="561"/>
      <c r="G111" s="561"/>
      <c r="H111" s="561"/>
      <c r="I111" s="561"/>
      <c r="J111" s="565"/>
    </row>
    <row r="112" spans="1:10" ht="12.75">
      <c r="A112" s="63"/>
      <c r="B112" s="41"/>
      <c r="C112" s="561" t="s">
        <v>255</v>
      </c>
      <c r="D112" s="227"/>
      <c r="E112" s="561"/>
      <c r="F112" s="561"/>
      <c r="G112" s="561"/>
      <c r="H112" s="561"/>
      <c r="I112" s="561"/>
      <c r="J112" s="565"/>
    </row>
    <row r="113" spans="1:10" ht="12.75">
      <c r="A113" s="63"/>
      <c r="B113" s="41"/>
      <c r="C113" s="227" t="s">
        <v>244</v>
      </c>
      <c r="D113" s="227"/>
      <c r="E113" s="561"/>
      <c r="F113" s="561"/>
      <c r="G113" s="561"/>
      <c r="H113" s="561"/>
      <c r="I113" s="561"/>
      <c r="J113" s="565"/>
    </row>
    <row r="114" spans="1:10" ht="12.75">
      <c r="A114" s="63"/>
      <c r="B114" s="41"/>
      <c r="C114" s="561" t="s">
        <v>245</v>
      </c>
      <c r="D114" s="227"/>
      <c r="E114" s="561"/>
      <c r="F114" s="561"/>
      <c r="G114" s="561"/>
      <c r="H114" s="561"/>
      <c r="I114" s="561"/>
      <c r="J114" s="565"/>
    </row>
    <row r="115" spans="1:10" ht="12.75">
      <c r="A115" s="63"/>
      <c r="B115" s="41"/>
      <c r="C115" s="561" t="s">
        <v>253</v>
      </c>
      <c r="D115" s="227"/>
      <c r="E115" s="561"/>
      <c r="F115" s="561"/>
      <c r="G115" s="561"/>
      <c r="H115" s="561"/>
      <c r="I115" s="561"/>
      <c r="J115" s="565"/>
    </row>
    <row r="116" spans="1:10" ht="12.75">
      <c r="A116" s="63"/>
      <c r="B116" s="41"/>
      <c r="C116" s="561" t="s">
        <v>254</v>
      </c>
      <c r="D116" s="227"/>
      <c r="E116" s="561"/>
      <c r="F116" s="561"/>
      <c r="G116" s="561"/>
      <c r="H116" s="561"/>
      <c r="I116" s="561"/>
      <c r="J116" s="565"/>
    </row>
    <row r="117" spans="1:10" ht="12.75">
      <c r="A117" s="63"/>
      <c r="B117" s="41"/>
      <c r="C117" s="561" t="s">
        <v>88</v>
      </c>
      <c r="D117" s="227"/>
      <c r="E117" s="561"/>
      <c r="F117" s="561"/>
      <c r="G117" s="561"/>
      <c r="H117" s="561"/>
      <c r="I117" s="561"/>
      <c r="J117" s="565"/>
    </row>
    <row r="118" spans="1:10" ht="12.75">
      <c r="A118" s="63"/>
      <c r="B118" s="41"/>
      <c r="C118" s="561" t="s">
        <v>89</v>
      </c>
      <c r="D118" s="227"/>
      <c r="E118" s="561"/>
      <c r="F118" s="561"/>
      <c r="G118" s="561"/>
      <c r="H118" s="561"/>
      <c r="I118" s="561"/>
      <c r="J118" s="565"/>
    </row>
    <row r="119" spans="1:10" ht="12.75">
      <c r="A119" s="63"/>
      <c r="B119" s="41"/>
      <c r="C119" s="561" t="s">
        <v>90</v>
      </c>
      <c r="D119" s="227"/>
      <c r="E119" s="561"/>
      <c r="F119" s="561"/>
      <c r="G119" s="561"/>
      <c r="H119" s="561"/>
      <c r="I119" s="561"/>
      <c r="J119" s="565"/>
    </row>
    <row r="120" spans="1:10" ht="12.75">
      <c r="A120" s="63"/>
      <c r="B120" s="41"/>
      <c r="C120" s="561" t="s">
        <v>91</v>
      </c>
      <c r="D120" s="227"/>
      <c r="E120" s="561"/>
      <c r="F120" s="561"/>
      <c r="G120" s="561"/>
      <c r="H120" s="561"/>
      <c r="I120" s="561"/>
      <c r="J120" s="565"/>
    </row>
    <row r="121" spans="1:10" ht="12.75">
      <c r="A121" s="63"/>
      <c r="B121" s="41"/>
      <c r="C121" s="561" t="s">
        <v>92</v>
      </c>
      <c r="D121" s="227"/>
      <c r="E121" s="561"/>
      <c r="F121" s="561"/>
      <c r="G121" s="561"/>
      <c r="H121" s="561"/>
      <c r="I121" s="561"/>
      <c r="J121" s="565"/>
    </row>
    <row r="122" spans="1:10" ht="12.75">
      <c r="A122" s="63"/>
      <c r="B122" s="41"/>
      <c r="C122" s="561" t="s">
        <v>94</v>
      </c>
      <c r="D122" s="227"/>
      <c r="E122" s="561"/>
      <c r="F122" s="561"/>
      <c r="G122" s="561"/>
      <c r="H122" s="561"/>
      <c r="I122" s="561"/>
      <c r="J122" s="565"/>
    </row>
    <row r="123" spans="1:10" ht="12.75">
      <c r="A123" s="63"/>
      <c r="B123" s="41"/>
      <c r="C123" s="561" t="s">
        <v>93</v>
      </c>
      <c r="D123" s="227"/>
      <c r="E123" s="561"/>
      <c r="F123" s="561"/>
      <c r="G123" s="561"/>
      <c r="H123" s="561"/>
      <c r="I123" s="561"/>
      <c r="J123" s="565"/>
    </row>
    <row r="124" spans="1:10" ht="12.75">
      <c r="A124" s="63"/>
      <c r="B124" s="41"/>
      <c r="C124" s="561" t="s">
        <v>256</v>
      </c>
      <c r="D124" s="227"/>
      <c r="E124" s="561"/>
      <c r="F124" s="561"/>
      <c r="G124" s="227"/>
      <c r="H124" s="227"/>
      <c r="I124" s="561"/>
      <c r="J124" s="565"/>
    </row>
    <row r="125" spans="1:10" ht="12.75">
      <c r="A125" s="63"/>
      <c r="B125" s="41"/>
      <c r="C125" s="561" t="s">
        <v>95</v>
      </c>
      <c r="D125" s="227"/>
      <c r="E125" s="227"/>
      <c r="F125" s="561"/>
      <c r="G125" s="227"/>
      <c r="H125" s="227"/>
      <c r="I125" s="227"/>
      <c r="J125" s="565"/>
    </row>
    <row r="126" spans="1:10" ht="12.75">
      <c r="A126" s="63"/>
      <c r="B126" s="41"/>
      <c r="C126" s="561" t="s">
        <v>96</v>
      </c>
      <c r="D126" s="227"/>
      <c r="E126" s="227"/>
      <c r="F126" s="561"/>
      <c r="G126" s="227"/>
      <c r="H126" s="227"/>
      <c r="I126" s="227"/>
      <c r="J126" s="565"/>
    </row>
    <row r="127" spans="1:10" ht="12.75">
      <c r="A127" s="63"/>
      <c r="B127" s="41"/>
      <c r="C127" s="561" t="s">
        <v>97</v>
      </c>
      <c r="D127" s="227"/>
      <c r="E127" s="227"/>
      <c r="F127" s="561"/>
      <c r="G127" s="227"/>
      <c r="H127" s="227"/>
      <c r="I127" s="227"/>
      <c r="J127" s="228"/>
    </row>
    <row r="128" spans="1:10" ht="12.75">
      <c r="A128" s="63"/>
      <c r="B128" s="41"/>
      <c r="C128" s="561" t="s">
        <v>98</v>
      </c>
      <c r="D128" s="227"/>
      <c r="E128" s="227"/>
      <c r="F128" s="561"/>
      <c r="G128" s="227"/>
      <c r="H128" s="227"/>
      <c r="I128" s="227"/>
      <c r="J128" s="228"/>
    </row>
    <row r="129" spans="1:10" ht="12.75">
      <c r="A129" s="63"/>
      <c r="B129" s="41"/>
      <c r="C129" s="561" t="s">
        <v>99</v>
      </c>
      <c r="D129" s="227"/>
      <c r="E129" s="227"/>
      <c r="F129" s="227"/>
      <c r="G129" s="227"/>
      <c r="H129" s="227"/>
      <c r="I129" s="227"/>
      <c r="J129" s="228"/>
    </row>
    <row r="130" spans="1:10" ht="12.75">
      <c r="A130" s="63"/>
      <c r="B130" s="41"/>
      <c r="C130" s="561" t="s">
        <v>100</v>
      </c>
      <c r="D130" s="227"/>
      <c r="E130" s="227"/>
      <c r="F130" s="227"/>
      <c r="G130" s="227"/>
      <c r="H130" s="227"/>
      <c r="I130" s="227"/>
      <c r="J130" s="228"/>
    </row>
    <row r="131" spans="1:10" ht="12.75">
      <c r="A131" s="63"/>
      <c r="B131" s="41"/>
      <c r="C131" s="561" t="s">
        <v>103</v>
      </c>
      <c r="D131" s="227"/>
      <c r="E131" s="227"/>
      <c r="F131" s="227"/>
      <c r="G131" s="227"/>
      <c r="H131" s="227"/>
      <c r="I131" s="227"/>
      <c r="J131" s="228"/>
    </row>
    <row r="132" spans="1:10" ht="12.75">
      <c r="A132" s="63"/>
      <c r="B132" s="41"/>
      <c r="C132" s="561" t="s">
        <v>101</v>
      </c>
      <c r="D132" s="227"/>
      <c r="E132" s="227"/>
      <c r="F132" s="227"/>
      <c r="G132" s="227"/>
      <c r="H132" s="227"/>
      <c r="I132" s="227"/>
      <c r="J132" s="228"/>
    </row>
    <row r="133" spans="1:10" ht="12.75">
      <c r="A133" s="63"/>
      <c r="B133" s="41"/>
      <c r="C133" s="561" t="s">
        <v>102</v>
      </c>
      <c r="D133" s="227"/>
      <c r="E133" s="227"/>
      <c r="F133" s="227"/>
      <c r="G133" s="227"/>
      <c r="H133" s="227"/>
      <c r="I133" s="227"/>
      <c r="J133" s="228"/>
    </row>
    <row r="134" spans="1:10" ht="12.75">
      <c r="A134" s="63"/>
      <c r="B134" s="41"/>
      <c r="C134" s="561" t="s">
        <v>685</v>
      </c>
      <c r="D134" s="227"/>
      <c r="E134" s="227"/>
      <c r="F134" s="227"/>
      <c r="G134" s="227"/>
      <c r="H134" s="227"/>
      <c r="I134" s="227"/>
      <c r="J134" s="228"/>
    </row>
    <row r="135" spans="1:10" ht="12.75">
      <c r="A135" s="63"/>
      <c r="B135" s="41"/>
      <c r="C135" s="561" t="s">
        <v>112</v>
      </c>
      <c r="D135" s="227"/>
      <c r="E135" s="227"/>
      <c r="F135" s="227"/>
      <c r="G135" s="227"/>
      <c r="H135" s="227"/>
      <c r="I135" s="227"/>
      <c r="J135" s="228"/>
    </row>
    <row r="136" spans="1:10" ht="12.75">
      <c r="A136" s="63"/>
      <c r="B136" s="41"/>
      <c r="C136" s="561" t="s">
        <v>686</v>
      </c>
      <c r="D136" s="227"/>
      <c r="E136" s="227"/>
      <c r="F136" s="227"/>
      <c r="G136" s="227"/>
      <c r="H136" s="227"/>
      <c r="I136" s="227"/>
      <c r="J136" s="228"/>
    </row>
    <row r="137" spans="1:10" ht="12.75">
      <c r="A137" s="63"/>
      <c r="B137" s="41"/>
      <c r="C137" s="561" t="s">
        <v>687</v>
      </c>
      <c r="D137" s="227"/>
      <c r="E137" s="227"/>
      <c r="F137" s="227"/>
      <c r="G137" s="227"/>
      <c r="H137" s="227"/>
      <c r="I137" s="227"/>
      <c r="J137" s="228"/>
    </row>
    <row r="138" spans="1:10" ht="12.75">
      <c r="A138" s="63"/>
      <c r="B138" s="41"/>
      <c r="C138" s="561" t="s">
        <v>688</v>
      </c>
      <c r="D138" s="227"/>
      <c r="E138" s="227"/>
      <c r="F138" s="227"/>
      <c r="G138" s="227"/>
      <c r="H138" s="227"/>
      <c r="I138" s="227"/>
      <c r="J138" s="228"/>
    </row>
    <row r="139" spans="1:10" ht="12.75">
      <c r="A139" s="63"/>
      <c r="B139" s="41"/>
      <c r="C139" s="561" t="s">
        <v>670</v>
      </c>
      <c r="D139" s="227"/>
      <c r="E139" s="227"/>
      <c r="F139" s="227"/>
      <c r="G139" s="227"/>
      <c r="H139" s="227"/>
      <c r="I139" s="227"/>
      <c r="J139" s="228"/>
    </row>
    <row r="140" spans="1:10" ht="12.75">
      <c r="A140" s="63"/>
      <c r="B140" s="41"/>
      <c r="C140" s="561" t="s">
        <v>671</v>
      </c>
      <c r="D140" s="227"/>
      <c r="E140" s="227"/>
      <c r="F140" s="227"/>
      <c r="G140" s="227"/>
      <c r="H140" s="227"/>
      <c r="I140" s="227"/>
      <c r="J140" s="228"/>
    </row>
    <row r="141" spans="1:10" ht="12.75">
      <c r="A141" s="63"/>
      <c r="B141" s="41"/>
      <c r="C141" s="227" t="s">
        <v>672</v>
      </c>
      <c r="D141" s="227"/>
      <c r="E141" s="227"/>
      <c r="F141" s="227"/>
      <c r="G141" s="227"/>
      <c r="H141" s="227"/>
      <c r="I141" s="227"/>
      <c r="J141" s="228"/>
    </row>
    <row r="142" spans="1:10" ht="12.75">
      <c r="A142" s="63"/>
      <c r="B142" s="41"/>
      <c r="C142" s="227" t="s">
        <v>673</v>
      </c>
      <c r="D142" s="227"/>
      <c r="E142" s="227"/>
      <c r="F142" s="227"/>
      <c r="G142" s="227"/>
      <c r="H142" s="227"/>
      <c r="I142" s="227"/>
      <c r="J142" s="228"/>
    </row>
    <row r="143" spans="1:10" ht="12.75">
      <c r="A143" s="63"/>
      <c r="B143" s="41"/>
      <c r="C143" s="561" t="s">
        <v>674</v>
      </c>
      <c r="D143" s="227"/>
      <c r="E143" s="227"/>
      <c r="F143" s="227"/>
      <c r="G143" s="227"/>
      <c r="H143" s="227"/>
      <c r="I143" s="227"/>
      <c r="J143" s="228"/>
    </row>
    <row r="144" spans="1:10" ht="12.75">
      <c r="A144" s="63"/>
      <c r="B144" s="41"/>
      <c r="C144" s="561" t="s">
        <v>675</v>
      </c>
      <c r="D144" s="227"/>
      <c r="E144" s="227"/>
      <c r="F144" s="227"/>
      <c r="G144" s="227"/>
      <c r="H144" s="227"/>
      <c r="I144" s="227"/>
      <c r="J144" s="228"/>
    </row>
    <row r="145" spans="1:10" ht="12.75">
      <c r="A145" s="63"/>
      <c r="B145" s="41"/>
      <c r="C145" s="561" t="s">
        <v>676</v>
      </c>
      <c r="D145" s="227"/>
      <c r="E145" s="227"/>
      <c r="F145" s="227"/>
      <c r="G145" s="227"/>
      <c r="H145" s="227"/>
      <c r="I145" s="227"/>
      <c r="J145" s="228"/>
    </row>
    <row r="146" spans="1:10" ht="12.75">
      <c r="A146" s="63"/>
      <c r="B146" s="41"/>
      <c r="C146" s="561" t="s">
        <v>677</v>
      </c>
      <c r="D146" s="227"/>
      <c r="E146" s="227"/>
      <c r="F146" s="227"/>
      <c r="G146" s="227"/>
      <c r="H146" s="227"/>
      <c r="I146" s="227"/>
      <c r="J146" s="228"/>
    </row>
    <row r="147" spans="1:10" ht="12.75">
      <c r="A147" s="63"/>
      <c r="B147" s="41"/>
      <c r="C147" s="561" t="s">
        <v>681</v>
      </c>
      <c r="D147" s="227"/>
      <c r="E147" s="227"/>
      <c r="F147" s="227"/>
      <c r="G147" s="227"/>
      <c r="H147" s="227"/>
      <c r="I147" s="227"/>
      <c r="J147" s="228"/>
    </row>
    <row r="148" spans="1:10" ht="12.75">
      <c r="A148" s="63"/>
      <c r="B148" s="41"/>
      <c r="C148" s="561" t="s">
        <v>678</v>
      </c>
      <c r="D148" s="227"/>
      <c r="E148" s="227"/>
      <c r="F148" s="227"/>
      <c r="G148" s="227"/>
      <c r="H148" s="227"/>
      <c r="I148" s="227"/>
      <c r="J148" s="228"/>
    </row>
    <row r="149" spans="1:10" ht="12.75">
      <c r="A149" s="63"/>
      <c r="B149" s="41"/>
      <c r="C149" s="561" t="s">
        <v>679</v>
      </c>
      <c r="D149" s="227"/>
      <c r="E149" s="227"/>
      <c r="F149" s="227"/>
      <c r="G149" s="227"/>
      <c r="H149" s="227"/>
      <c r="I149" s="227"/>
      <c r="J149" s="228"/>
    </row>
    <row r="150" spans="1:10" ht="12.75">
      <c r="A150" s="63"/>
      <c r="B150" s="41"/>
      <c r="C150" s="561" t="s">
        <v>680</v>
      </c>
      <c r="D150" s="227"/>
      <c r="E150" s="227"/>
      <c r="F150" s="227"/>
      <c r="G150" s="227"/>
      <c r="H150" s="227"/>
      <c r="I150" s="227"/>
      <c r="J150" s="228"/>
    </row>
    <row r="151" spans="1:10" ht="12.75">
      <c r="A151" s="63"/>
      <c r="B151" s="41"/>
      <c r="C151" s="227" t="s">
        <v>257</v>
      </c>
      <c r="D151" s="227"/>
      <c r="E151" s="227"/>
      <c r="F151" s="227"/>
      <c r="G151" s="227"/>
      <c r="H151" s="227"/>
      <c r="I151" s="227"/>
      <c r="J151" s="228"/>
    </row>
    <row r="152" spans="1:10" ht="12.75">
      <c r="A152" s="63"/>
      <c r="B152" s="41"/>
      <c r="C152" s="227" t="s">
        <v>258</v>
      </c>
      <c r="D152" s="227"/>
      <c r="E152" s="227"/>
      <c r="F152" s="227"/>
      <c r="G152" s="227"/>
      <c r="H152" s="227"/>
      <c r="I152" s="227"/>
      <c r="J152" s="228"/>
    </row>
    <row r="153" spans="1:10" ht="12.75">
      <c r="A153" s="63"/>
      <c r="B153" s="41"/>
      <c r="C153" s="227" t="s">
        <v>682</v>
      </c>
      <c r="D153" s="227"/>
      <c r="E153" s="227"/>
      <c r="F153" s="227"/>
      <c r="G153" s="227"/>
      <c r="H153" s="227"/>
      <c r="I153" s="227"/>
      <c r="J153" s="228"/>
    </row>
    <row r="154" spans="1:10" ht="12.75">
      <c r="A154" s="63"/>
      <c r="B154" s="41"/>
      <c r="C154" s="227" t="s">
        <v>683</v>
      </c>
      <c r="D154" s="227"/>
      <c r="E154" s="227"/>
      <c r="F154" s="227"/>
      <c r="G154" s="227"/>
      <c r="H154" s="227"/>
      <c r="I154" s="227"/>
      <c r="J154" s="228"/>
    </row>
    <row r="155" spans="1:10" ht="12.75">
      <c r="A155" s="63"/>
      <c r="B155" s="41"/>
      <c r="C155" s="227" t="s">
        <v>259</v>
      </c>
      <c r="D155" s="227"/>
      <c r="E155" s="227"/>
      <c r="F155" s="227"/>
      <c r="G155" s="227"/>
      <c r="H155" s="227"/>
      <c r="I155" s="227"/>
      <c r="J155" s="228"/>
    </row>
    <row r="156" spans="1:10" ht="12.75">
      <c r="A156" s="63"/>
      <c r="B156" s="41"/>
      <c r="C156" s="227" t="s">
        <v>260</v>
      </c>
      <c r="D156" s="227"/>
      <c r="E156" s="227"/>
      <c r="F156" s="227"/>
      <c r="G156" s="227"/>
      <c r="H156" s="227"/>
      <c r="I156" s="227"/>
      <c r="J156" s="228"/>
    </row>
    <row r="157" spans="1:10" ht="12.75">
      <c r="A157" s="63"/>
      <c r="B157" s="41"/>
      <c r="C157" s="227" t="s">
        <v>261</v>
      </c>
      <c r="D157" s="227"/>
      <c r="E157" s="227"/>
      <c r="F157" s="227"/>
      <c r="G157" s="227"/>
      <c r="H157" s="227"/>
      <c r="I157" s="227"/>
      <c r="J157" s="228"/>
    </row>
    <row r="158" spans="1:10" ht="12.75">
      <c r="A158" s="63"/>
      <c r="B158" s="41"/>
      <c r="C158" s="227" t="s">
        <v>262</v>
      </c>
      <c r="D158" s="227"/>
      <c r="E158" s="227"/>
      <c r="F158" s="227"/>
      <c r="G158" s="227"/>
      <c r="H158" s="227"/>
      <c r="I158" s="227"/>
      <c r="J158" s="228"/>
    </row>
    <row r="159" spans="1:10" ht="12.75">
      <c r="A159" s="63"/>
      <c r="B159" s="41"/>
      <c r="C159" s="227" t="s">
        <v>264</v>
      </c>
      <c r="D159" s="227"/>
      <c r="E159" s="227"/>
      <c r="F159" s="227"/>
      <c r="G159" s="227"/>
      <c r="H159" s="227"/>
      <c r="I159" s="227"/>
      <c r="J159" s="228"/>
    </row>
    <row r="160" spans="1:10" ht="12.75">
      <c r="A160" s="63"/>
      <c r="B160" s="41"/>
      <c r="C160" s="227" t="s">
        <v>265</v>
      </c>
      <c r="D160" s="227"/>
      <c r="E160" s="227"/>
      <c r="F160" s="227"/>
      <c r="G160" s="227"/>
      <c r="H160" s="227"/>
      <c r="I160" s="227"/>
      <c r="J160" s="228"/>
    </row>
    <row r="161" spans="1:10" ht="12.75">
      <c r="A161" s="63"/>
      <c r="B161" s="41"/>
      <c r="C161" s="227"/>
      <c r="D161" s="227"/>
      <c r="E161" s="227"/>
      <c r="F161" s="227"/>
      <c r="G161" s="227"/>
      <c r="H161" s="227"/>
      <c r="I161" s="227"/>
      <c r="J161" s="228"/>
    </row>
    <row r="162" spans="1:10" ht="13.5" thickBot="1">
      <c r="A162" s="21"/>
      <c r="B162" s="43"/>
      <c r="C162" s="233"/>
      <c r="D162" s="233"/>
      <c r="E162" s="233"/>
      <c r="F162" s="233"/>
      <c r="G162" s="233"/>
      <c r="H162" s="233"/>
      <c r="I162" s="233"/>
      <c r="J162" s="234"/>
    </row>
  </sheetData>
  <mergeCells count="3">
    <mergeCell ref="A4:J4"/>
    <mergeCell ref="D49:F49"/>
    <mergeCell ref="G49:I49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&amp;RUSPS-LR-L-41
Bound Printed Matter Spreadsheets
&amp;A</oddHeader>
    <oddFooter>&amp;CPage &amp;P of &amp;N&amp;R&amp;D</oddFooter>
  </headerFooter>
  <rowBreaks count="2" manualBreakCount="2">
    <brk id="44" max="255" man="1"/>
    <brk id="10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57421875" style="0" customWidth="1"/>
    <col min="3" max="3" width="13.140625" style="0" customWidth="1"/>
    <col min="4" max="4" width="14.7109375" style="0" customWidth="1"/>
    <col min="5" max="5" width="16.140625" style="0" customWidth="1"/>
    <col min="6" max="6" width="14.57421875" style="0" customWidth="1"/>
    <col min="7" max="7" width="11.421875" style="0" customWidth="1"/>
    <col min="8" max="8" width="14.7109375" style="0" customWidth="1"/>
    <col min="9" max="9" width="15.28125" style="0" customWidth="1"/>
  </cols>
  <sheetData>
    <row r="1" spans="1:9" ht="12.75">
      <c r="A1" s="62"/>
      <c r="B1" s="50"/>
      <c r="C1" s="411"/>
      <c r="D1" s="50"/>
      <c r="E1" s="50"/>
      <c r="F1" s="65"/>
      <c r="G1" s="38"/>
      <c r="H1" s="38"/>
      <c r="I1" s="39"/>
    </row>
    <row r="2" spans="1:9" ht="15.75">
      <c r="A2" s="63"/>
      <c r="B2" s="44"/>
      <c r="C2" s="412"/>
      <c r="D2" s="44"/>
      <c r="E2" s="44"/>
      <c r="F2" s="64"/>
      <c r="G2" s="40"/>
      <c r="H2" s="40"/>
      <c r="I2" s="655" t="s">
        <v>591</v>
      </c>
    </row>
    <row r="3" spans="1:9" ht="15.75">
      <c r="A3" s="63"/>
      <c r="B3" s="44"/>
      <c r="C3" s="412"/>
      <c r="D3" s="44"/>
      <c r="E3" s="44"/>
      <c r="F3" s="64"/>
      <c r="G3" s="40"/>
      <c r="H3" s="40"/>
      <c r="I3" s="655" t="s">
        <v>917</v>
      </c>
    </row>
    <row r="4" spans="1:9" ht="12.75">
      <c r="A4" s="63"/>
      <c r="B4" s="44"/>
      <c r="C4" s="412"/>
      <c r="D4" s="44"/>
      <c r="E4" s="44"/>
      <c r="F4" s="64"/>
      <c r="G4" s="40"/>
      <c r="H4" s="40"/>
      <c r="I4" s="41"/>
    </row>
    <row r="5" spans="1:9" ht="18">
      <c r="A5" s="689" t="s">
        <v>793</v>
      </c>
      <c r="B5" s="690"/>
      <c r="C5" s="690"/>
      <c r="D5" s="690"/>
      <c r="E5" s="690"/>
      <c r="F5" s="690"/>
      <c r="G5" s="690"/>
      <c r="H5" s="690"/>
      <c r="I5" s="691"/>
    </row>
    <row r="6" spans="1:9" ht="16.5" thickBot="1">
      <c r="A6" s="21"/>
      <c r="B6" s="413"/>
      <c r="C6" s="413"/>
      <c r="D6" s="42"/>
      <c r="E6" s="42"/>
      <c r="F6" s="42"/>
      <c r="G6" s="42"/>
      <c r="H6" s="42"/>
      <c r="I6" s="43"/>
    </row>
    <row r="7" spans="1:9" ht="15.75">
      <c r="A7" s="414"/>
      <c r="B7" s="418"/>
      <c r="C7" s="418"/>
      <c r="D7" s="419"/>
      <c r="E7" s="420"/>
      <c r="F7" s="418"/>
      <c r="G7" s="421"/>
      <c r="H7" s="421"/>
      <c r="I7" s="422"/>
    </row>
    <row r="8" spans="1:9" ht="15.75">
      <c r="A8" s="414"/>
      <c r="B8" s="129"/>
      <c r="C8" s="153"/>
      <c r="D8" s="423"/>
      <c r="E8" s="424"/>
      <c r="F8" s="153" t="s">
        <v>768</v>
      </c>
      <c r="G8" s="153" t="s">
        <v>956</v>
      </c>
      <c r="H8" s="153" t="s">
        <v>920</v>
      </c>
      <c r="I8" s="423" t="s">
        <v>769</v>
      </c>
    </row>
    <row r="9" spans="1:9" ht="18.75">
      <c r="A9" s="414"/>
      <c r="B9" s="153"/>
      <c r="C9" s="153" t="s">
        <v>770</v>
      </c>
      <c r="D9" s="423" t="s">
        <v>771</v>
      </c>
      <c r="E9" s="424" t="s">
        <v>772</v>
      </c>
      <c r="F9" s="153" t="s">
        <v>773</v>
      </c>
      <c r="G9" s="153" t="s">
        <v>774</v>
      </c>
      <c r="H9" s="423" t="s">
        <v>775</v>
      </c>
      <c r="I9" s="423" t="s">
        <v>776</v>
      </c>
    </row>
    <row r="10" spans="1:9" ht="16.5" thickBot="1">
      <c r="A10" s="414"/>
      <c r="B10" s="205"/>
      <c r="C10" s="425" t="s">
        <v>163</v>
      </c>
      <c r="D10" s="426" t="s">
        <v>164</v>
      </c>
      <c r="E10" s="427" t="s">
        <v>165</v>
      </c>
      <c r="F10" s="428" t="s">
        <v>166</v>
      </c>
      <c r="G10" s="428" t="s">
        <v>167</v>
      </c>
      <c r="H10" s="428" t="s">
        <v>168</v>
      </c>
      <c r="I10" s="426" t="s">
        <v>169</v>
      </c>
    </row>
    <row r="11" spans="1:9" ht="15.75" thickTop="1">
      <c r="A11" s="415"/>
      <c r="B11" s="429"/>
      <c r="C11" s="430"/>
      <c r="D11" s="431"/>
      <c r="E11" s="432"/>
      <c r="F11" s="433"/>
      <c r="G11" s="434"/>
      <c r="H11" s="434"/>
      <c r="I11" s="435"/>
    </row>
    <row r="12" spans="1:9" ht="15">
      <c r="A12" s="415" t="s">
        <v>151</v>
      </c>
      <c r="B12" s="429" t="s">
        <v>777</v>
      </c>
      <c r="C12" s="436">
        <f>+Inputs!D21</f>
        <v>648784884.637037</v>
      </c>
      <c r="D12" s="437">
        <f>+Inputs!D48</f>
        <v>623754110.994539</v>
      </c>
      <c r="E12" s="438">
        <f>('TYBR Revenue'!F41+'TYBR Revenue'!F88+Inputs!D86)</f>
        <v>699748142.3763841</v>
      </c>
      <c r="F12" s="433">
        <f>+E12/D12</f>
        <v>1.1218333154721452</v>
      </c>
      <c r="G12" s="439">
        <f>+D12/C12</f>
        <v>0.9614189938218097</v>
      </c>
      <c r="H12" s="439">
        <f>+E12/C12</f>
        <v>1.0785518573970145</v>
      </c>
      <c r="I12" s="440">
        <f>+H12-G12</f>
        <v>0.1171328635752048</v>
      </c>
    </row>
    <row r="13" spans="1:9" ht="15">
      <c r="A13" s="415"/>
      <c r="B13" s="429"/>
      <c r="C13" s="436"/>
      <c r="D13" s="437"/>
      <c r="E13" s="438"/>
      <c r="F13" s="433"/>
      <c r="G13" s="439"/>
      <c r="H13" s="439"/>
      <c r="I13" s="440"/>
    </row>
    <row r="14" spans="1:9" ht="15">
      <c r="A14" s="415" t="s">
        <v>152</v>
      </c>
      <c r="B14" s="429" t="s">
        <v>778</v>
      </c>
      <c r="C14" s="436">
        <f>+Inputs!D45</f>
        <v>654853182.784023</v>
      </c>
      <c r="D14" s="437">
        <f>+Inputs!D83</f>
        <v>631391505.16124</v>
      </c>
      <c r="E14" s="438">
        <f>+'TYAR Revenue Summary'!F99</f>
        <v>788780080.8865925</v>
      </c>
      <c r="F14" s="433">
        <f>+E14/D14</f>
        <v>1.2492725582127682</v>
      </c>
      <c r="G14" s="439">
        <f>+D14/C14</f>
        <v>0.9641726141987448</v>
      </c>
      <c r="H14" s="439">
        <f>+E14/C14</f>
        <v>1.2045143882987583</v>
      </c>
      <c r="I14" s="440">
        <f>+H14-G14</f>
        <v>0.24034177410001356</v>
      </c>
    </row>
    <row r="15" spans="1:9" ht="15">
      <c r="A15" s="415"/>
      <c r="B15" s="429"/>
      <c r="C15" s="430"/>
      <c r="D15" s="431"/>
      <c r="E15" s="432"/>
      <c r="F15" s="441"/>
      <c r="G15" s="439"/>
      <c r="H15" s="439"/>
      <c r="I15" s="435"/>
    </row>
    <row r="16" spans="1:9" ht="15">
      <c r="A16" s="415" t="s">
        <v>153</v>
      </c>
      <c r="B16" s="429" t="s">
        <v>779</v>
      </c>
      <c r="C16" s="430"/>
      <c r="D16" s="431"/>
      <c r="E16" s="647"/>
      <c r="F16" s="441"/>
      <c r="G16" s="433">
        <f>+G14/G12-1</f>
        <v>0.0028641210488145052</v>
      </c>
      <c r="H16" s="433">
        <f>+H14/H12-1</f>
        <v>0.11678857167400625</v>
      </c>
      <c r="I16" s="442">
        <f>+I14/I12-1</f>
        <v>1.051873118816931</v>
      </c>
    </row>
    <row r="17" spans="1:9" ht="15">
      <c r="A17" s="415"/>
      <c r="B17" s="429"/>
      <c r="C17" s="430"/>
      <c r="D17" s="431"/>
      <c r="E17" s="432"/>
      <c r="F17" s="441"/>
      <c r="G17" s="434"/>
      <c r="H17" s="434"/>
      <c r="I17" s="435"/>
    </row>
    <row r="18" spans="1:9" ht="12.75" customHeight="1" thickBot="1">
      <c r="A18" s="415"/>
      <c r="B18" s="443"/>
      <c r="C18" s="444"/>
      <c r="D18" s="445"/>
      <c r="E18" s="446"/>
      <c r="F18" s="447"/>
      <c r="G18" s="448"/>
      <c r="H18" s="448"/>
      <c r="I18" s="449"/>
    </row>
    <row r="19" spans="1:9" ht="12.75">
      <c r="A19" s="416"/>
      <c r="B19" s="450"/>
      <c r="C19" s="410"/>
      <c r="D19" s="410"/>
      <c r="E19" s="451"/>
      <c r="F19" s="452"/>
      <c r="G19" s="452"/>
      <c r="H19" s="452"/>
      <c r="I19" s="228"/>
    </row>
    <row r="20" spans="1:9" ht="15.75">
      <c r="A20" s="416"/>
      <c r="B20" s="453" t="s">
        <v>811</v>
      </c>
      <c r="C20" s="454"/>
      <c r="D20" s="454"/>
      <c r="E20" s="454"/>
      <c r="F20" s="454"/>
      <c r="G20" s="455"/>
      <c r="H20" s="454"/>
      <c r="I20" s="228"/>
    </row>
    <row r="21" spans="1:9" ht="13.5" thickBot="1">
      <c r="A21" s="416"/>
      <c r="B21" s="456"/>
      <c r="C21" s="457"/>
      <c r="D21" s="457"/>
      <c r="E21" s="458"/>
      <c r="F21" s="459"/>
      <c r="G21" s="459"/>
      <c r="H21" s="459"/>
      <c r="I21" s="234"/>
    </row>
    <row r="22" spans="1:9" ht="12.75">
      <c r="A22" s="416"/>
      <c r="B22" s="460"/>
      <c r="C22" s="407"/>
      <c r="D22" s="407"/>
      <c r="E22" s="461"/>
      <c r="F22" s="462"/>
      <c r="G22" s="462"/>
      <c r="H22" s="462"/>
      <c r="I22" s="226"/>
    </row>
    <row r="23" spans="1:9" ht="12.75">
      <c r="A23" s="416"/>
      <c r="B23" s="463" t="s">
        <v>266</v>
      </c>
      <c r="C23" s="410"/>
      <c r="D23" s="410"/>
      <c r="E23" s="451"/>
      <c r="F23" s="452"/>
      <c r="G23" s="452"/>
      <c r="H23" s="452"/>
      <c r="I23" s="228"/>
    </row>
    <row r="24" spans="1:9" ht="12.75">
      <c r="A24" s="416"/>
      <c r="B24" s="463" t="s">
        <v>267</v>
      </c>
      <c r="C24" s="410"/>
      <c r="D24" s="410"/>
      <c r="E24" s="451"/>
      <c r="F24" s="452"/>
      <c r="G24" s="452"/>
      <c r="H24" s="452"/>
      <c r="I24" s="228"/>
    </row>
    <row r="25" spans="1:9" ht="12.75">
      <c r="A25" s="416"/>
      <c r="B25" s="463" t="s">
        <v>780</v>
      </c>
      <c r="C25" s="410"/>
      <c r="D25" s="410"/>
      <c r="E25" s="451"/>
      <c r="F25" s="452"/>
      <c r="G25" s="452"/>
      <c r="H25" s="452"/>
      <c r="I25" s="228"/>
    </row>
    <row r="26" spans="1:9" ht="12.75">
      <c r="A26" s="416"/>
      <c r="B26" s="463" t="s">
        <v>268</v>
      </c>
      <c r="C26" s="410"/>
      <c r="D26" s="410"/>
      <c r="E26" s="451"/>
      <c r="F26" s="452"/>
      <c r="G26" s="452"/>
      <c r="H26" s="452"/>
      <c r="I26" s="228"/>
    </row>
    <row r="27" spans="1:9" ht="12.75">
      <c r="A27" s="416"/>
      <c r="B27" s="463" t="s">
        <v>269</v>
      </c>
      <c r="C27" s="410"/>
      <c r="D27" s="410"/>
      <c r="E27" s="451"/>
      <c r="F27" s="452"/>
      <c r="G27" s="452"/>
      <c r="H27" s="452"/>
      <c r="I27" s="228"/>
    </row>
    <row r="28" spans="1:9" ht="12.75">
      <c r="A28" s="416"/>
      <c r="B28" s="463" t="s">
        <v>781</v>
      </c>
      <c r="C28" s="410"/>
      <c r="D28" s="410"/>
      <c r="E28" s="451"/>
      <c r="F28" s="452"/>
      <c r="G28" s="452"/>
      <c r="H28" s="452"/>
      <c r="I28" s="228"/>
    </row>
    <row r="29" spans="1:9" ht="12.75">
      <c r="A29" s="416"/>
      <c r="B29" s="463" t="s">
        <v>270</v>
      </c>
      <c r="C29" s="464"/>
      <c r="D29" s="464"/>
      <c r="E29" s="465"/>
      <c r="F29" s="466"/>
      <c r="G29" s="111"/>
      <c r="H29" s="111"/>
      <c r="I29" s="228"/>
    </row>
    <row r="30" spans="1:9" ht="12.75">
      <c r="A30" s="416"/>
      <c r="B30" s="463" t="s">
        <v>684</v>
      </c>
      <c r="C30" s="464"/>
      <c r="D30" s="464"/>
      <c r="E30" s="465"/>
      <c r="F30" s="111"/>
      <c r="G30" s="111"/>
      <c r="H30" s="111"/>
      <c r="I30" s="228"/>
    </row>
    <row r="31" spans="1:9" ht="12.75">
      <c r="A31" s="416"/>
      <c r="B31" s="463" t="s">
        <v>782</v>
      </c>
      <c r="C31" s="464"/>
      <c r="D31" s="464"/>
      <c r="E31" s="465"/>
      <c r="F31" s="111"/>
      <c r="G31" s="111"/>
      <c r="H31" s="111"/>
      <c r="I31" s="228"/>
    </row>
    <row r="32" spans="1:9" ht="12.75">
      <c r="A32" s="416"/>
      <c r="B32" s="463" t="s">
        <v>783</v>
      </c>
      <c r="C32" s="464"/>
      <c r="D32" s="464"/>
      <c r="E32" s="465"/>
      <c r="F32" s="111"/>
      <c r="G32" s="111"/>
      <c r="H32" s="111"/>
      <c r="I32" s="228"/>
    </row>
    <row r="33" spans="1:9" ht="12.75">
      <c r="A33" s="416"/>
      <c r="B33" s="463" t="s">
        <v>784</v>
      </c>
      <c r="C33" s="464"/>
      <c r="D33" s="464"/>
      <c r="E33" s="465"/>
      <c r="F33" s="111"/>
      <c r="G33" s="111"/>
      <c r="H33" s="111"/>
      <c r="I33" s="228"/>
    </row>
    <row r="34" spans="1:9" ht="12.75">
      <c r="A34" s="416"/>
      <c r="B34" s="463" t="s">
        <v>785</v>
      </c>
      <c r="C34" s="464"/>
      <c r="D34" s="464"/>
      <c r="E34" s="465"/>
      <c r="F34" s="111"/>
      <c r="G34" s="111"/>
      <c r="H34" s="111"/>
      <c r="I34" s="228"/>
    </row>
    <row r="35" spans="1:9" ht="12.75">
      <c r="A35" s="416"/>
      <c r="B35" s="463" t="s">
        <v>786</v>
      </c>
      <c r="C35" s="464"/>
      <c r="D35" s="464"/>
      <c r="E35" s="465"/>
      <c r="F35" s="111"/>
      <c r="G35" s="111"/>
      <c r="H35" s="111"/>
      <c r="I35" s="228"/>
    </row>
    <row r="36" spans="1:9" ht="12.75">
      <c r="A36" s="416"/>
      <c r="B36" s="463" t="s">
        <v>787</v>
      </c>
      <c r="C36" s="464"/>
      <c r="D36" s="464"/>
      <c r="E36" s="465"/>
      <c r="F36" s="111"/>
      <c r="G36" s="111"/>
      <c r="H36" s="111"/>
      <c r="I36" s="228"/>
    </row>
    <row r="37" spans="1:9" ht="12.75">
      <c r="A37" s="416"/>
      <c r="B37" s="463" t="s">
        <v>792</v>
      </c>
      <c r="C37" s="464"/>
      <c r="D37" s="464"/>
      <c r="E37" s="465"/>
      <c r="F37" s="111"/>
      <c r="G37" s="111"/>
      <c r="H37" s="111"/>
      <c r="I37" s="228"/>
    </row>
    <row r="38" spans="1:9" ht="12.75">
      <c r="A38" s="416"/>
      <c r="B38" s="463"/>
      <c r="C38" s="464"/>
      <c r="D38" s="464"/>
      <c r="E38" s="465"/>
      <c r="F38" s="111"/>
      <c r="G38" s="111"/>
      <c r="H38" s="111"/>
      <c r="I38" s="228"/>
    </row>
    <row r="39" spans="1:9" ht="13.5" thickBot="1">
      <c r="A39" s="417"/>
      <c r="B39" s="467"/>
      <c r="C39" s="468"/>
      <c r="D39" s="468"/>
      <c r="E39" s="469"/>
      <c r="F39" s="112"/>
      <c r="G39" s="112"/>
      <c r="H39" s="112"/>
      <c r="I39" s="234"/>
    </row>
  </sheetData>
  <mergeCells count="1">
    <mergeCell ref="A5:I5"/>
  </mergeCells>
  <printOptions/>
  <pageMargins left="0.75" right="0.75" top="1" bottom="1" header="0.5" footer="0.5"/>
  <pageSetup fitToHeight="0" fitToWidth="1" horizontalDpi="600" verticalDpi="600" orientation="portrait" scale="69" r:id="rId1"/>
  <headerFooter alignWithMargins="0">
    <oddHeader>&amp;RUSPS-LR-L-41
Bound Printed Matter Spreadsheets
&amp;A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62.421875" style="0" customWidth="1"/>
    <col min="3" max="3" width="14.28125" style="0" customWidth="1"/>
    <col min="4" max="4" width="48.28125" style="0" customWidth="1"/>
  </cols>
  <sheetData>
    <row r="1" spans="1:4" ht="12.75">
      <c r="A1" s="69"/>
      <c r="B1" s="674" t="s">
        <v>791</v>
      </c>
      <c r="C1" s="70"/>
      <c r="D1" s="71"/>
    </row>
    <row r="2" spans="1:4" ht="15.75">
      <c r="A2" s="72"/>
      <c r="B2" s="73"/>
      <c r="C2" s="73"/>
      <c r="D2" s="655" t="s">
        <v>591</v>
      </c>
    </row>
    <row r="3" spans="1:4" ht="15.75">
      <c r="A3" s="72"/>
      <c r="B3" s="73"/>
      <c r="C3" s="73"/>
      <c r="D3" s="655" t="s">
        <v>640</v>
      </c>
    </row>
    <row r="4" spans="1:4" ht="12.75">
      <c r="A4" s="72"/>
      <c r="B4" s="73"/>
      <c r="C4" s="73"/>
      <c r="D4" s="75"/>
    </row>
    <row r="5" spans="1:4" ht="18">
      <c r="A5" s="689" t="s">
        <v>837</v>
      </c>
      <c r="B5" s="690"/>
      <c r="C5" s="690"/>
      <c r="D5" s="691"/>
    </row>
    <row r="6" spans="1:4" ht="18">
      <c r="A6" s="689" t="s">
        <v>836</v>
      </c>
      <c r="B6" s="690"/>
      <c r="C6" s="690"/>
      <c r="D6" s="691"/>
    </row>
    <row r="7" spans="1:4" ht="18.75" thickBot="1">
      <c r="A7" s="76"/>
      <c r="B7" s="77"/>
      <c r="C7" s="77"/>
      <c r="D7" s="78"/>
    </row>
    <row r="8" spans="1:4" ht="12.75">
      <c r="A8" s="79"/>
      <c r="B8" s="79"/>
      <c r="C8" s="69"/>
      <c r="D8" s="79"/>
    </row>
    <row r="9" spans="1:4" ht="15.75">
      <c r="A9" s="80" t="s">
        <v>835</v>
      </c>
      <c r="B9" s="80" t="s">
        <v>753</v>
      </c>
      <c r="C9" s="476" t="s">
        <v>811</v>
      </c>
      <c r="D9" s="80" t="s">
        <v>834</v>
      </c>
    </row>
    <row r="10" spans="1:4" ht="13.5" thickBot="1">
      <c r="A10" s="86"/>
      <c r="B10" s="87"/>
      <c r="C10" s="477"/>
      <c r="D10" s="87"/>
    </row>
    <row r="11" spans="1:4" ht="13.5" thickTop="1">
      <c r="A11" s="88"/>
      <c r="B11" s="93"/>
      <c r="C11" s="478"/>
      <c r="D11" s="100"/>
    </row>
    <row r="12" spans="1:4" ht="12.75">
      <c r="A12" s="88"/>
      <c r="B12" s="93" t="s">
        <v>365</v>
      </c>
      <c r="C12" s="480" t="s">
        <v>833</v>
      </c>
      <c r="D12" s="589">
        <v>1.25</v>
      </c>
    </row>
    <row r="13" spans="1:4" ht="12.75">
      <c r="A13" s="88"/>
      <c r="B13" s="93" t="s">
        <v>989</v>
      </c>
      <c r="C13" s="478" t="s">
        <v>831</v>
      </c>
      <c r="D13" s="589">
        <v>1.25</v>
      </c>
    </row>
    <row r="14" spans="1:4" ht="15.75">
      <c r="A14" s="80" t="s">
        <v>832</v>
      </c>
      <c r="B14" s="645"/>
      <c r="C14" s="646"/>
      <c r="D14" s="589"/>
    </row>
    <row r="15" spans="1:4" ht="15.75">
      <c r="A15" s="80" t="s">
        <v>830</v>
      </c>
      <c r="B15" s="93"/>
      <c r="C15" s="478"/>
      <c r="D15" s="100"/>
    </row>
    <row r="16" spans="1:4" ht="12.75">
      <c r="A16" s="88"/>
      <c r="B16" s="93" t="s">
        <v>924</v>
      </c>
      <c r="C16" s="478"/>
      <c r="D16" s="100"/>
    </row>
    <row r="17" spans="1:4" ht="12.75">
      <c r="A17" s="88"/>
      <c r="B17" s="93" t="s">
        <v>829</v>
      </c>
      <c r="C17" s="478" t="s">
        <v>828</v>
      </c>
      <c r="D17" s="524">
        <f>+'FY2005 SP Billing Det.'!L46</f>
        <v>1.011289720276414</v>
      </c>
    </row>
    <row r="18" spans="1:4" ht="12.75">
      <c r="A18" s="88"/>
      <c r="B18" s="93" t="s">
        <v>827</v>
      </c>
      <c r="C18" s="478" t="s">
        <v>826</v>
      </c>
      <c r="D18" s="525">
        <f>+'FY2005 Presort Billing Det.'!I41</f>
        <v>1.0013592468371464</v>
      </c>
    </row>
    <row r="19" spans="1:4" ht="13.5" thickBot="1">
      <c r="A19" s="89"/>
      <c r="B19" s="96"/>
      <c r="C19" s="479"/>
      <c r="D19" s="101"/>
    </row>
    <row r="20" spans="1:4" ht="12.75">
      <c r="A20" s="90"/>
      <c r="B20" s="98"/>
      <c r="C20" s="94"/>
      <c r="D20" s="99"/>
    </row>
    <row r="21" spans="1:4" ht="12.75">
      <c r="A21" s="88"/>
      <c r="B21" s="100" t="s">
        <v>825</v>
      </c>
      <c r="C21" s="94" t="s">
        <v>822</v>
      </c>
      <c r="D21" s="641">
        <v>648784884.637037</v>
      </c>
    </row>
    <row r="22" spans="1:4" ht="12.75">
      <c r="A22" s="88"/>
      <c r="B22" s="100"/>
      <c r="C22" s="94"/>
      <c r="D22" s="99"/>
    </row>
    <row r="23" spans="1:4" ht="12.75">
      <c r="A23" s="88"/>
      <c r="B23" s="100" t="s">
        <v>925</v>
      </c>
      <c r="C23" s="94" t="s">
        <v>754</v>
      </c>
      <c r="D23" s="99"/>
    </row>
    <row r="24" spans="1:4" ht="12.75">
      <c r="A24" s="88"/>
      <c r="B24" s="100" t="s">
        <v>433</v>
      </c>
      <c r="C24" s="94"/>
      <c r="D24" s="99"/>
    </row>
    <row r="25" spans="1:4" ht="12.75">
      <c r="A25" s="88"/>
      <c r="B25" s="100" t="s">
        <v>926</v>
      </c>
      <c r="C25" s="94" t="s">
        <v>151</v>
      </c>
      <c r="D25" s="614">
        <v>0.14561486587810443</v>
      </c>
    </row>
    <row r="26" spans="1:4" ht="12.75">
      <c r="A26" s="88"/>
      <c r="B26" s="100" t="s">
        <v>123</v>
      </c>
      <c r="C26" s="94" t="s">
        <v>152</v>
      </c>
      <c r="D26" s="614">
        <v>0.2617698246317415</v>
      </c>
    </row>
    <row r="27" spans="1:4" ht="12.75">
      <c r="A27" s="88"/>
      <c r="B27" s="100" t="s">
        <v>467</v>
      </c>
      <c r="C27" s="94"/>
      <c r="D27" s="614"/>
    </row>
    <row r="28" spans="1:4" ht="12.75">
      <c r="A28" s="88"/>
      <c r="B28" s="100" t="s">
        <v>926</v>
      </c>
      <c r="C28" s="94" t="s">
        <v>153</v>
      </c>
      <c r="D28" s="614">
        <v>0.10528844060746212</v>
      </c>
    </row>
    <row r="29" spans="1:4" ht="12.75">
      <c r="A29" s="88"/>
      <c r="B29" s="100" t="s">
        <v>123</v>
      </c>
      <c r="C29" s="94" t="s">
        <v>154</v>
      </c>
      <c r="D29" s="614">
        <v>0.21939647646777544</v>
      </c>
    </row>
    <row r="30" spans="1:4" ht="12.75">
      <c r="A30" s="88"/>
      <c r="B30" s="100"/>
      <c r="C30" s="94"/>
      <c r="D30" s="616"/>
    </row>
    <row r="31" spans="1:4" ht="12.75">
      <c r="A31" s="88"/>
      <c r="B31" s="100" t="s">
        <v>896</v>
      </c>
      <c r="C31" s="94" t="s">
        <v>820</v>
      </c>
      <c r="D31" s="616"/>
    </row>
    <row r="32" spans="1:4" ht="12.75">
      <c r="A32" s="88"/>
      <c r="B32" s="100" t="s">
        <v>547</v>
      </c>
      <c r="C32" s="94" t="s">
        <v>151</v>
      </c>
      <c r="D32" s="614">
        <v>0.43910421156</v>
      </c>
    </row>
    <row r="33" spans="1:4" ht="15.75">
      <c r="A33" s="80" t="s">
        <v>766</v>
      </c>
      <c r="B33" s="100" t="s">
        <v>548</v>
      </c>
      <c r="C33" s="94" t="s">
        <v>152</v>
      </c>
      <c r="D33" s="614">
        <v>0.39014662069251177</v>
      </c>
    </row>
    <row r="34" spans="1:4" ht="15.75">
      <c r="A34" s="80" t="s">
        <v>765</v>
      </c>
      <c r="B34" s="100" t="s">
        <v>549</v>
      </c>
      <c r="C34" s="94" t="s">
        <v>153</v>
      </c>
      <c r="D34" s="614">
        <v>0.65249708393804</v>
      </c>
    </row>
    <row r="35" spans="1:4" ht="12.75">
      <c r="A35" s="88"/>
      <c r="B35" s="100"/>
      <c r="C35" s="94"/>
      <c r="D35" s="95"/>
    </row>
    <row r="36" spans="1:4" ht="12.75">
      <c r="A36" s="88"/>
      <c r="B36" s="100" t="s">
        <v>941</v>
      </c>
      <c r="C36" s="94" t="s">
        <v>755</v>
      </c>
      <c r="D36" s="95"/>
    </row>
    <row r="37" spans="1:4" ht="12.75" customHeight="1">
      <c r="A37" s="80"/>
      <c r="B37" s="100" t="s">
        <v>415</v>
      </c>
      <c r="C37" s="94" t="s">
        <v>758</v>
      </c>
      <c r="D37" s="95"/>
    </row>
    <row r="38" spans="1:4" ht="12.75" customHeight="1">
      <c r="A38" s="80"/>
      <c r="B38" s="100" t="s">
        <v>945</v>
      </c>
      <c r="C38" s="94" t="s">
        <v>151</v>
      </c>
      <c r="D38" s="614">
        <v>0.3020950525335599</v>
      </c>
    </row>
    <row r="39" spans="1:4" ht="12.75">
      <c r="A39" s="88"/>
      <c r="B39" s="100" t="s">
        <v>946</v>
      </c>
      <c r="C39" s="94" t="s">
        <v>152</v>
      </c>
      <c r="D39" s="614">
        <v>0.07021044401634179</v>
      </c>
    </row>
    <row r="40" spans="1:4" ht="12.75">
      <c r="A40" s="88"/>
      <c r="B40" s="100" t="s">
        <v>947</v>
      </c>
      <c r="C40" s="94" t="s">
        <v>153</v>
      </c>
      <c r="D40" s="614">
        <v>0.015359676253084369</v>
      </c>
    </row>
    <row r="41" spans="1:4" ht="12.75">
      <c r="A41" s="88"/>
      <c r="B41" s="100" t="s">
        <v>948</v>
      </c>
      <c r="C41" s="94" t="s">
        <v>154</v>
      </c>
      <c r="D41" s="615">
        <v>0.0006376080821130718</v>
      </c>
    </row>
    <row r="42" spans="1:4" ht="12.75">
      <c r="A42" s="88"/>
      <c r="B42" s="100" t="s">
        <v>416</v>
      </c>
      <c r="C42" s="94" t="s">
        <v>155</v>
      </c>
      <c r="D42" s="614">
        <v>0.33001074447274575</v>
      </c>
    </row>
    <row r="43" spans="1:4" ht="12.75">
      <c r="A43" s="88"/>
      <c r="B43" s="100" t="s">
        <v>417</v>
      </c>
      <c r="C43" s="94" t="s">
        <v>156</v>
      </c>
      <c r="D43" s="614">
        <v>0.11544234813341939</v>
      </c>
    </row>
    <row r="44" spans="1:4" ht="12.75">
      <c r="A44" s="88"/>
      <c r="B44" s="100"/>
      <c r="C44" s="94"/>
      <c r="D44" s="99"/>
    </row>
    <row r="45" spans="1:4" ht="15.75">
      <c r="A45" s="80"/>
      <c r="B45" s="100" t="s">
        <v>821</v>
      </c>
      <c r="C45" s="94" t="s">
        <v>756</v>
      </c>
      <c r="D45" s="641">
        <v>654853182.784023</v>
      </c>
    </row>
    <row r="46" spans="1:4" ht="13.5" thickBot="1">
      <c r="A46" s="89"/>
      <c r="B46" s="101"/>
      <c r="C46" s="97"/>
      <c r="D46" s="102"/>
    </row>
    <row r="47" spans="1:4" ht="12.75">
      <c r="A47" s="88"/>
      <c r="B47" s="100"/>
      <c r="C47" s="94"/>
      <c r="D47" s="103"/>
    </row>
    <row r="48" spans="1:4" ht="12.75">
      <c r="A48" s="88"/>
      <c r="B48" s="100" t="s">
        <v>987</v>
      </c>
      <c r="C48" s="94" t="s">
        <v>819</v>
      </c>
      <c r="D48" s="571">
        <v>623754110.994539</v>
      </c>
    </row>
    <row r="49" spans="1:4" ht="12.75">
      <c r="A49" s="88"/>
      <c r="B49" s="100"/>
      <c r="C49" s="94"/>
      <c r="D49" s="103"/>
    </row>
    <row r="50" spans="1:4" ht="12.75">
      <c r="A50" s="88"/>
      <c r="B50" s="100" t="s">
        <v>369</v>
      </c>
      <c r="C50" s="94" t="s">
        <v>818</v>
      </c>
      <c r="D50" s="103"/>
    </row>
    <row r="51" spans="1:4" ht="12.75">
      <c r="A51" s="88"/>
      <c r="B51" s="100" t="s">
        <v>110</v>
      </c>
      <c r="C51" s="94"/>
      <c r="D51" s="103"/>
    </row>
    <row r="52" spans="1:4" ht="12.75">
      <c r="A52" s="88"/>
      <c r="B52" s="100" t="s">
        <v>370</v>
      </c>
      <c r="C52" s="94" t="s">
        <v>151</v>
      </c>
      <c r="D52" s="517">
        <v>0.13364619481112916</v>
      </c>
    </row>
    <row r="53" spans="1:4" ht="12.75">
      <c r="A53" s="88"/>
      <c r="B53" s="100" t="s">
        <v>371</v>
      </c>
      <c r="C53" s="94" t="s">
        <v>152</v>
      </c>
      <c r="D53" s="517">
        <v>0.14459934555985604</v>
      </c>
    </row>
    <row r="54" spans="1:4" ht="12.75">
      <c r="A54" s="88"/>
      <c r="B54" s="100" t="s">
        <v>372</v>
      </c>
      <c r="C54" s="94" t="s">
        <v>153</v>
      </c>
      <c r="D54" s="517">
        <v>0.15807541305407619</v>
      </c>
    </row>
    <row r="55" spans="1:4" ht="12.75">
      <c r="A55" s="88"/>
      <c r="B55" s="100" t="s">
        <v>373</v>
      </c>
      <c r="C55" s="94" t="s">
        <v>154</v>
      </c>
      <c r="D55" s="517">
        <v>0.17998171455152995</v>
      </c>
    </row>
    <row r="56" spans="1:4" ht="12.75">
      <c r="A56" s="88"/>
      <c r="B56" s="100" t="s">
        <v>374</v>
      </c>
      <c r="C56" s="94" t="s">
        <v>155</v>
      </c>
      <c r="D56" s="517">
        <v>0.20268796526096938</v>
      </c>
    </row>
    <row r="57" spans="1:4" ht="12.75">
      <c r="A57" s="88"/>
      <c r="B57" s="100" t="s">
        <v>375</v>
      </c>
      <c r="C57" s="94" t="s">
        <v>156</v>
      </c>
      <c r="D57" s="517">
        <v>0.22840940915404706</v>
      </c>
    </row>
    <row r="58" spans="1:4" ht="12.75">
      <c r="A58" s="88"/>
      <c r="B58" s="100" t="s">
        <v>376</v>
      </c>
      <c r="C58" s="94" t="s">
        <v>157</v>
      </c>
      <c r="D58" s="517">
        <v>0.2789908131734487</v>
      </c>
    </row>
    <row r="59" spans="1:4" ht="12.75">
      <c r="A59" s="88"/>
      <c r="B59" s="100"/>
      <c r="C59" s="94"/>
      <c r="D59" s="104"/>
    </row>
    <row r="60" spans="1:4" ht="12.75">
      <c r="A60" s="88"/>
      <c r="B60" s="100" t="s">
        <v>377</v>
      </c>
      <c r="C60" s="94"/>
      <c r="D60" s="104"/>
    </row>
    <row r="61" spans="1:4" ht="12.75">
      <c r="A61" s="88"/>
      <c r="B61" s="100" t="s">
        <v>380</v>
      </c>
      <c r="C61" s="94"/>
      <c r="D61" s="104"/>
    </row>
    <row r="62" spans="1:4" ht="12.75">
      <c r="A62" s="88"/>
      <c r="B62" s="105" t="s">
        <v>381</v>
      </c>
      <c r="C62" s="94" t="s">
        <v>158</v>
      </c>
      <c r="D62" s="517">
        <v>0.06249151006037466</v>
      </c>
    </row>
    <row r="63" spans="1:4" ht="12.75">
      <c r="A63" s="88"/>
      <c r="B63" s="105" t="s">
        <v>382</v>
      </c>
      <c r="C63" s="94" t="s">
        <v>159</v>
      </c>
      <c r="D63" s="517">
        <v>0.10467940402938916</v>
      </c>
    </row>
    <row r="64" spans="1:4" ht="12.75" customHeight="1">
      <c r="A64" s="80"/>
      <c r="B64" s="105" t="s">
        <v>383</v>
      </c>
      <c r="C64" s="94" t="s">
        <v>160</v>
      </c>
      <c r="D64" s="517">
        <v>0.13711134751806903</v>
      </c>
    </row>
    <row r="65" spans="1:4" ht="12.75">
      <c r="A65" s="88"/>
      <c r="B65" s="105" t="s">
        <v>384</v>
      </c>
      <c r="C65" s="94" t="s">
        <v>161</v>
      </c>
      <c r="D65" s="517">
        <v>0.257874194004373</v>
      </c>
    </row>
    <row r="66" spans="1:4" ht="12.75">
      <c r="A66" s="88"/>
      <c r="B66" s="100" t="s">
        <v>385</v>
      </c>
      <c r="C66" s="94" t="s">
        <v>162</v>
      </c>
      <c r="D66" s="517">
        <v>0.04693472415930056</v>
      </c>
    </row>
    <row r="67" spans="1:4" ht="12.75">
      <c r="A67" s="88"/>
      <c r="B67" s="100" t="s">
        <v>386</v>
      </c>
      <c r="C67" s="94" t="s">
        <v>173</v>
      </c>
      <c r="D67" s="517">
        <v>0.007676396328267034</v>
      </c>
    </row>
    <row r="68" spans="1:4" ht="15.75">
      <c r="A68" s="80" t="s">
        <v>817</v>
      </c>
      <c r="B68" s="100"/>
      <c r="C68" s="94"/>
      <c r="D68" s="104"/>
    </row>
    <row r="69" spans="1:4" ht="12.75">
      <c r="A69" s="88"/>
      <c r="B69" s="100" t="s">
        <v>387</v>
      </c>
      <c r="C69" s="94" t="s">
        <v>757</v>
      </c>
      <c r="D69" s="104"/>
    </row>
    <row r="70" spans="1:4" ht="12.75">
      <c r="A70" s="88"/>
      <c r="B70" s="100" t="s">
        <v>388</v>
      </c>
      <c r="C70" s="94" t="s">
        <v>151</v>
      </c>
      <c r="D70" s="519">
        <v>0.02</v>
      </c>
    </row>
    <row r="71" spans="1:4" ht="12.75">
      <c r="A71" s="88"/>
      <c r="B71" s="100" t="s">
        <v>139</v>
      </c>
      <c r="C71" s="94" t="s">
        <v>152</v>
      </c>
      <c r="D71" s="517">
        <v>0.1269853306882422</v>
      </c>
    </row>
    <row r="72" spans="1:4" ht="12.75">
      <c r="A72" s="88"/>
      <c r="B72" s="100" t="s">
        <v>389</v>
      </c>
      <c r="C72" s="94"/>
      <c r="D72" s="523"/>
    </row>
    <row r="73" spans="1:4" ht="12.75">
      <c r="A73" s="88"/>
      <c r="B73" s="100" t="s">
        <v>111</v>
      </c>
      <c r="C73" s="94" t="s">
        <v>153</v>
      </c>
      <c r="D73" s="517">
        <v>0.3054948777976748</v>
      </c>
    </row>
    <row r="74" spans="1:4" ht="12.75">
      <c r="A74" s="88"/>
      <c r="B74" s="100" t="s">
        <v>390</v>
      </c>
      <c r="C74" s="94" t="s">
        <v>154</v>
      </c>
      <c r="D74" s="678">
        <v>0.38170551435247996</v>
      </c>
    </row>
    <row r="75" spans="1:4" ht="12.75">
      <c r="A75" s="88"/>
      <c r="B75" s="100" t="s">
        <v>391</v>
      </c>
      <c r="C75" s="94" t="s">
        <v>155</v>
      </c>
      <c r="D75" s="678">
        <v>0.15237023281274947</v>
      </c>
    </row>
    <row r="76" spans="1:4" ht="12.75">
      <c r="A76" s="88"/>
      <c r="B76" s="100"/>
      <c r="C76" s="94"/>
      <c r="D76" s="521"/>
    </row>
    <row r="77" spans="1:4" ht="12.75">
      <c r="A77" s="88"/>
      <c r="B77" s="100" t="s">
        <v>392</v>
      </c>
      <c r="C77" s="94" t="s">
        <v>759</v>
      </c>
      <c r="D77" s="523"/>
    </row>
    <row r="78" spans="1:4" ht="12.75">
      <c r="A78" s="88"/>
      <c r="B78" s="100" t="s">
        <v>636</v>
      </c>
      <c r="C78" s="94" t="s">
        <v>151</v>
      </c>
      <c r="D78" s="517">
        <v>0.09605527370916557</v>
      </c>
    </row>
    <row r="79" spans="1:4" ht="12.75">
      <c r="A79" s="88"/>
      <c r="B79" s="100" t="s">
        <v>637</v>
      </c>
      <c r="C79" s="94"/>
      <c r="D79" s="522"/>
    </row>
    <row r="80" spans="1:4" ht="12.75">
      <c r="A80" s="88"/>
      <c r="B80" s="100" t="s">
        <v>434</v>
      </c>
      <c r="C80" s="94" t="s">
        <v>152</v>
      </c>
      <c r="D80" s="678">
        <v>0.029523960047533562</v>
      </c>
    </row>
    <row r="81" spans="1:4" ht="12.75">
      <c r="A81" s="88"/>
      <c r="B81" s="100" t="s">
        <v>631</v>
      </c>
      <c r="C81" s="94" t="s">
        <v>153</v>
      </c>
      <c r="D81" s="678">
        <v>0.029523960047533562</v>
      </c>
    </row>
    <row r="82" spans="1:4" ht="15.75">
      <c r="A82" s="80"/>
      <c r="B82" s="100"/>
      <c r="C82" s="94"/>
      <c r="D82" s="103"/>
    </row>
    <row r="83" spans="1:4" ht="12.75">
      <c r="A83" s="88"/>
      <c r="B83" s="100" t="s">
        <v>988</v>
      </c>
      <c r="C83" s="94" t="s">
        <v>760</v>
      </c>
      <c r="D83" s="571">
        <v>631391505.16124</v>
      </c>
    </row>
    <row r="84" spans="1:4" ht="13.5" thickBot="1">
      <c r="A84" s="89"/>
      <c r="B84" s="101"/>
      <c r="C84" s="97"/>
      <c r="D84" s="107"/>
    </row>
    <row r="85" spans="1:4" ht="12.75">
      <c r="A85" s="90"/>
      <c r="B85" s="98"/>
      <c r="C85" s="94"/>
      <c r="D85" s="103"/>
    </row>
    <row r="86" spans="1:4" ht="12.75">
      <c r="A86" s="88"/>
      <c r="B86" s="100" t="s">
        <v>816</v>
      </c>
      <c r="C86" s="94" t="s">
        <v>761</v>
      </c>
      <c r="D86" s="571">
        <v>1154328.88354113</v>
      </c>
    </row>
    <row r="87" spans="1:4" ht="15.75">
      <c r="A87" s="80" t="s">
        <v>815</v>
      </c>
      <c r="B87" s="100"/>
      <c r="C87" s="94"/>
      <c r="D87" s="103"/>
    </row>
    <row r="88" spans="1:4" ht="12.75">
      <c r="A88" s="88"/>
      <c r="B88" s="100" t="s">
        <v>814</v>
      </c>
      <c r="C88" s="94" t="s">
        <v>762</v>
      </c>
      <c r="D88" s="571">
        <v>1383000</v>
      </c>
    </row>
    <row r="89" spans="1:4" ht="13.5" thickBot="1">
      <c r="A89" s="89"/>
      <c r="B89" s="101"/>
      <c r="C89" s="97"/>
      <c r="D89" s="107"/>
    </row>
    <row r="90" spans="1:4" ht="12.75">
      <c r="A90" s="598"/>
      <c r="B90" s="109"/>
      <c r="C90" s="597"/>
      <c r="D90" s="600"/>
    </row>
    <row r="91" spans="1:4" ht="12.75">
      <c r="A91" s="599"/>
      <c r="B91" s="110" t="s">
        <v>668</v>
      </c>
      <c r="C91" s="94" t="s">
        <v>763</v>
      </c>
      <c r="D91" s="108"/>
    </row>
    <row r="92" spans="1:4" ht="12.75">
      <c r="A92" s="599"/>
      <c r="B92" s="110"/>
      <c r="C92" s="94"/>
      <c r="D92" s="108"/>
    </row>
    <row r="93" spans="1:4" ht="12.75">
      <c r="A93" s="599"/>
      <c r="B93" s="110" t="s">
        <v>813</v>
      </c>
      <c r="C93" s="94" t="s">
        <v>974</v>
      </c>
      <c r="D93" s="108"/>
    </row>
    <row r="94" spans="1:4" ht="12.75">
      <c r="A94" s="599"/>
      <c r="B94" s="110" t="s">
        <v>129</v>
      </c>
      <c r="C94" s="94"/>
      <c r="D94" s="106"/>
    </row>
    <row r="95" spans="1:4" ht="12.75">
      <c r="A95" s="599"/>
      <c r="B95" s="596" t="s">
        <v>887</v>
      </c>
      <c r="C95" s="94" t="s">
        <v>151</v>
      </c>
      <c r="D95" s="517">
        <v>0.095</v>
      </c>
    </row>
    <row r="96" spans="1:4" ht="12.75">
      <c r="A96" s="599"/>
      <c r="B96" s="596" t="s">
        <v>888</v>
      </c>
      <c r="C96" s="94" t="s">
        <v>152</v>
      </c>
      <c r="D96" s="517">
        <v>0.118</v>
      </c>
    </row>
    <row r="97" spans="1:4" ht="12.75" customHeight="1">
      <c r="A97" s="599"/>
      <c r="B97" s="596" t="s">
        <v>889</v>
      </c>
      <c r="C97" s="94" t="s">
        <v>153</v>
      </c>
      <c r="D97" s="517">
        <v>0.157</v>
      </c>
    </row>
    <row r="98" spans="1:4" ht="12.75" customHeight="1">
      <c r="A98" s="599"/>
      <c r="B98" s="596" t="s">
        <v>890</v>
      </c>
      <c r="C98" s="94" t="s">
        <v>154</v>
      </c>
      <c r="D98" s="517">
        <v>0.209</v>
      </c>
    </row>
    <row r="99" spans="1:4" ht="12.75" customHeight="1">
      <c r="A99" s="476"/>
      <c r="B99" s="596" t="s">
        <v>891</v>
      </c>
      <c r="C99" s="94" t="s">
        <v>155</v>
      </c>
      <c r="D99" s="517">
        <v>0.261</v>
      </c>
    </row>
    <row r="100" spans="1:4" ht="12.75" customHeight="1">
      <c r="A100" s="476"/>
      <c r="B100" s="596" t="s">
        <v>892</v>
      </c>
      <c r="C100" s="94" t="s">
        <v>156</v>
      </c>
      <c r="D100" s="517">
        <v>0.325</v>
      </c>
    </row>
    <row r="101" spans="1:4" ht="12.75" customHeight="1">
      <c r="A101" s="599"/>
      <c r="B101" s="596" t="s">
        <v>893</v>
      </c>
      <c r="C101" s="94" t="s">
        <v>157</v>
      </c>
      <c r="D101" s="517">
        <v>0.442</v>
      </c>
    </row>
    <row r="102" spans="1:4" ht="15.75">
      <c r="A102" s="476" t="s">
        <v>919</v>
      </c>
      <c r="B102" s="110" t="s">
        <v>124</v>
      </c>
      <c r="C102" s="94"/>
      <c r="D102" s="517"/>
    </row>
    <row r="103" spans="1:4" ht="15.75">
      <c r="A103" s="476" t="s">
        <v>812</v>
      </c>
      <c r="B103" s="596" t="s">
        <v>887</v>
      </c>
      <c r="C103" s="94" t="s">
        <v>158</v>
      </c>
      <c r="D103" s="517">
        <v>0.077</v>
      </c>
    </row>
    <row r="104" spans="1:4" ht="12.75">
      <c r="A104" s="599"/>
      <c r="B104" s="596" t="s">
        <v>888</v>
      </c>
      <c r="C104" s="94" t="s">
        <v>159</v>
      </c>
      <c r="D104" s="517">
        <v>0.108</v>
      </c>
    </row>
    <row r="105" spans="1:4" ht="12.75">
      <c r="A105" s="599"/>
      <c r="B105" s="596" t="s">
        <v>889</v>
      </c>
      <c r="C105" s="94" t="s">
        <v>160</v>
      </c>
      <c r="D105" s="517">
        <v>0.147</v>
      </c>
    </row>
    <row r="106" spans="1:4" ht="12.75">
      <c r="A106" s="599"/>
      <c r="B106" s="596" t="s">
        <v>890</v>
      </c>
      <c r="C106" s="94" t="s">
        <v>161</v>
      </c>
      <c r="D106" s="517">
        <v>0.197</v>
      </c>
    </row>
    <row r="107" spans="1:4" ht="12.75">
      <c r="A107" s="599"/>
      <c r="B107" s="596" t="s">
        <v>127</v>
      </c>
      <c r="C107" s="94" t="s">
        <v>162</v>
      </c>
      <c r="D107" s="517">
        <v>0.063</v>
      </c>
    </row>
    <row r="108" spans="1:4" ht="12.75">
      <c r="A108" s="599"/>
      <c r="B108" s="596" t="s">
        <v>128</v>
      </c>
      <c r="C108" s="94" t="s">
        <v>173</v>
      </c>
      <c r="D108" s="517">
        <v>0.032</v>
      </c>
    </row>
    <row r="109" spans="1:4" ht="12.75">
      <c r="A109" s="599"/>
      <c r="B109" s="596"/>
      <c r="C109" s="94"/>
      <c r="D109" s="518"/>
    </row>
    <row r="110" spans="1:4" ht="12.75">
      <c r="A110" s="599"/>
      <c r="B110" s="596" t="s">
        <v>126</v>
      </c>
      <c r="C110" s="94" t="s">
        <v>764</v>
      </c>
      <c r="D110" s="518"/>
    </row>
    <row r="111" spans="1:4" ht="12.75">
      <c r="A111" s="599"/>
      <c r="B111" s="596" t="s">
        <v>125</v>
      </c>
      <c r="C111" s="94" t="s">
        <v>151</v>
      </c>
      <c r="D111" s="517">
        <v>1.217</v>
      </c>
    </row>
    <row r="112" spans="1:4" ht="12.75">
      <c r="A112" s="599"/>
      <c r="B112" s="596" t="s">
        <v>124</v>
      </c>
      <c r="C112" s="94" t="s">
        <v>152</v>
      </c>
      <c r="D112" s="517">
        <v>0.943</v>
      </c>
    </row>
    <row r="113" spans="1:4" ht="12.75">
      <c r="A113" s="599"/>
      <c r="B113" s="596" t="s">
        <v>127</v>
      </c>
      <c r="C113" s="94" t="s">
        <v>153</v>
      </c>
      <c r="D113" s="517">
        <v>0.717</v>
      </c>
    </row>
    <row r="114" spans="1:4" ht="12.75">
      <c r="A114" s="599"/>
      <c r="B114" s="596" t="s">
        <v>128</v>
      </c>
      <c r="C114" s="94" t="s">
        <v>154</v>
      </c>
      <c r="D114" s="517">
        <v>0.642</v>
      </c>
    </row>
    <row r="115" spans="1:4" ht="12.75">
      <c r="A115" s="599"/>
      <c r="B115" s="596"/>
      <c r="C115" s="94"/>
      <c r="D115" s="518"/>
    </row>
    <row r="116" spans="1:4" ht="12.75">
      <c r="A116" s="599"/>
      <c r="B116" s="110" t="s">
        <v>712</v>
      </c>
      <c r="C116" s="94" t="s">
        <v>667</v>
      </c>
      <c r="D116" s="518"/>
    </row>
    <row r="117" spans="1:4" ht="12.75">
      <c r="A117" s="599"/>
      <c r="B117" s="110" t="s">
        <v>918</v>
      </c>
      <c r="C117" s="94" t="s">
        <v>151</v>
      </c>
      <c r="D117" s="517">
        <v>0.105</v>
      </c>
    </row>
    <row r="118" spans="1:4" ht="12.75">
      <c r="A118" s="599"/>
      <c r="B118" s="110" t="s">
        <v>332</v>
      </c>
      <c r="C118" s="94" t="s">
        <v>152</v>
      </c>
      <c r="D118" s="519">
        <v>0.03</v>
      </c>
    </row>
    <row r="119" spans="1:4" ht="12.75">
      <c r="A119" s="599"/>
      <c r="B119" s="110" t="s">
        <v>719</v>
      </c>
      <c r="C119" s="94"/>
      <c r="D119" s="519">
        <v>0.03</v>
      </c>
    </row>
    <row r="120" spans="1:4" ht="12.75">
      <c r="A120" s="599"/>
      <c r="B120" s="110" t="s">
        <v>706</v>
      </c>
      <c r="C120" s="94" t="s">
        <v>153</v>
      </c>
      <c r="D120" s="517"/>
    </row>
    <row r="121" spans="1:4" ht="12.75">
      <c r="A121" s="599"/>
      <c r="B121" s="110" t="s">
        <v>713</v>
      </c>
      <c r="C121" s="94"/>
      <c r="D121" s="517">
        <v>0.08</v>
      </c>
    </row>
    <row r="122" spans="1:4" ht="12.75">
      <c r="A122" s="599"/>
      <c r="B122" s="110" t="s">
        <v>420</v>
      </c>
      <c r="C122" s="94"/>
      <c r="D122" s="517">
        <v>0.081</v>
      </c>
    </row>
    <row r="123" spans="1:4" ht="13.5" thickBot="1">
      <c r="A123" s="595"/>
      <c r="B123" s="601"/>
      <c r="C123" s="97"/>
      <c r="D123" s="594"/>
    </row>
    <row r="124" spans="1:4" ht="9" customHeight="1">
      <c r="A124" s="91"/>
      <c r="B124" s="110"/>
      <c r="C124" s="111"/>
      <c r="D124" s="93"/>
    </row>
    <row r="125" spans="1:4" ht="15.75">
      <c r="A125" s="80" t="s">
        <v>811</v>
      </c>
      <c r="B125" s="110"/>
      <c r="C125" s="111"/>
      <c r="D125" s="93"/>
    </row>
    <row r="126" spans="1:4" ht="12.75">
      <c r="A126" s="92">
        <v>1</v>
      </c>
      <c r="B126" s="110" t="s">
        <v>580</v>
      </c>
      <c r="C126" s="111"/>
      <c r="D126" s="93"/>
    </row>
    <row r="127" spans="1:4" ht="12.75">
      <c r="A127" s="92">
        <v>2</v>
      </c>
      <c r="B127" s="110" t="s">
        <v>366</v>
      </c>
      <c r="C127" s="111"/>
      <c r="D127" s="93"/>
    </row>
    <row r="128" spans="1:4" ht="12.75">
      <c r="A128" s="92">
        <v>3</v>
      </c>
      <c r="B128" s="648" t="s">
        <v>586</v>
      </c>
      <c r="C128" s="111"/>
      <c r="D128" s="93"/>
    </row>
    <row r="129" spans="1:4" ht="12.75">
      <c r="A129" s="92">
        <v>4</v>
      </c>
      <c r="B129" s="648" t="s">
        <v>587</v>
      </c>
      <c r="C129" s="111"/>
      <c r="D129" s="93"/>
    </row>
    <row r="130" spans="1:4" ht="12.75">
      <c r="A130" s="92">
        <v>5</v>
      </c>
      <c r="B130" s="110" t="s">
        <v>581</v>
      </c>
      <c r="C130" s="111"/>
      <c r="D130" s="649"/>
    </row>
    <row r="131" spans="1:4" ht="12.75">
      <c r="A131" s="92">
        <v>6</v>
      </c>
      <c r="B131" s="648" t="s">
        <v>582</v>
      </c>
      <c r="C131" s="111"/>
      <c r="D131" s="93"/>
    </row>
    <row r="132" spans="1:4" ht="12.75">
      <c r="A132" s="590">
        <v>7</v>
      </c>
      <c r="B132" s="648" t="s">
        <v>550</v>
      </c>
      <c r="C132" s="111"/>
      <c r="D132" s="93"/>
    </row>
    <row r="133" spans="1:4" ht="12.75">
      <c r="A133" s="590">
        <v>8</v>
      </c>
      <c r="B133" s="648" t="s">
        <v>550</v>
      </c>
      <c r="C133" s="111"/>
      <c r="D133" s="93"/>
    </row>
    <row r="134" spans="1:4" ht="12.75">
      <c r="A134" s="590">
        <v>9</v>
      </c>
      <c r="B134" s="110" t="s">
        <v>581</v>
      </c>
      <c r="C134" s="111"/>
      <c r="D134" s="649"/>
    </row>
    <row r="135" spans="1:4" ht="12.75">
      <c r="A135" s="590">
        <v>10</v>
      </c>
      <c r="B135" s="110" t="s">
        <v>583</v>
      </c>
      <c r="C135" s="111"/>
      <c r="D135" s="649"/>
    </row>
    <row r="136" spans="1:4" ht="12.75">
      <c r="A136" s="590">
        <v>11</v>
      </c>
      <c r="B136" s="110" t="s">
        <v>584</v>
      </c>
      <c r="C136" s="52"/>
      <c r="D136" s="649"/>
    </row>
    <row r="137" spans="1:4" ht="12.75">
      <c r="A137" s="590" t="s">
        <v>585</v>
      </c>
      <c r="B137" s="648" t="s">
        <v>532</v>
      </c>
      <c r="C137" s="52"/>
      <c r="D137" s="649"/>
    </row>
    <row r="138" spans="1:4" ht="12.75">
      <c r="A138" s="590" t="s">
        <v>789</v>
      </c>
      <c r="B138" s="110" t="s">
        <v>592</v>
      </c>
      <c r="C138" s="111"/>
      <c r="D138" s="649"/>
    </row>
    <row r="139" spans="1:4" ht="12.75">
      <c r="A139" s="590" t="s">
        <v>788</v>
      </c>
      <c r="B139" s="110" t="s">
        <v>263</v>
      </c>
      <c r="C139" s="111"/>
      <c r="D139" s="649"/>
    </row>
    <row r="140" spans="1:4" ht="12.75">
      <c r="A140" s="590" t="s">
        <v>531</v>
      </c>
      <c r="B140" s="110" t="s">
        <v>592</v>
      </c>
      <c r="C140" s="111"/>
      <c r="D140" s="649"/>
    </row>
    <row r="141" spans="1:4" ht="12.75">
      <c r="A141" s="590" t="s">
        <v>593</v>
      </c>
      <c r="B141" s="110" t="s">
        <v>790</v>
      </c>
      <c r="C141" s="111"/>
      <c r="D141" s="649"/>
    </row>
    <row r="142" spans="1:4" ht="12.75">
      <c r="A142" s="590">
        <v>14</v>
      </c>
      <c r="B142" s="110" t="s">
        <v>583</v>
      </c>
      <c r="C142" s="111"/>
      <c r="D142" s="649"/>
    </row>
    <row r="143" spans="1:4" ht="12.75">
      <c r="A143" s="590">
        <v>15</v>
      </c>
      <c r="B143" s="110" t="s">
        <v>588</v>
      </c>
      <c r="C143" s="111"/>
      <c r="D143" s="649"/>
    </row>
    <row r="144" spans="1:4" ht="12.75">
      <c r="A144" s="590">
        <v>16</v>
      </c>
      <c r="B144" s="110" t="s">
        <v>589</v>
      </c>
      <c r="C144" s="111"/>
      <c r="D144" s="649"/>
    </row>
    <row r="145" spans="1:4" ht="12.75">
      <c r="A145" s="590">
        <v>17</v>
      </c>
      <c r="B145" s="110" t="s">
        <v>590</v>
      </c>
      <c r="C145" s="111"/>
      <c r="D145" s="649"/>
    </row>
    <row r="146" spans="1:4" ht="12.75">
      <c r="A146" s="590">
        <v>18</v>
      </c>
      <c r="B146" s="110" t="s">
        <v>590</v>
      </c>
      <c r="C146" s="111"/>
      <c r="D146" s="649"/>
    </row>
    <row r="147" spans="1:4" ht="12.75">
      <c r="A147" s="590">
        <v>19</v>
      </c>
      <c r="B147" s="110" t="s">
        <v>590</v>
      </c>
      <c r="C147" s="111"/>
      <c r="D147" s="649"/>
    </row>
    <row r="148" spans="1:4" ht="12.75">
      <c r="A148" s="590">
        <v>20</v>
      </c>
      <c r="B148" s="110" t="s">
        <v>590</v>
      </c>
      <c r="C148" s="111"/>
      <c r="D148" s="649"/>
    </row>
    <row r="149" spans="1:4" ht="12.75">
      <c r="A149" s="590"/>
      <c r="B149" s="574"/>
      <c r="C149" s="111"/>
      <c r="D149" s="93"/>
    </row>
    <row r="150" spans="1:4" ht="12.75">
      <c r="A150" s="590"/>
      <c r="B150" s="574"/>
      <c r="C150" s="111"/>
      <c r="D150" s="93"/>
    </row>
    <row r="151" spans="1:4" ht="13.5" thickBot="1">
      <c r="A151" s="591"/>
      <c r="B151" s="112"/>
      <c r="C151" s="112"/>
      <c r="D151" s="96"/>
    </row>
  </sheetData>
  <mergeCells count="2">
    <mergeCell ref="A5:D5"/>
    <mergeCell ref="A6:D6"/>
  </mergeCells>
  <printOptions/>
  <pageMargins left="0.75" right="0.75" top="1" bottom="1" header="0.5" footer="0.5"/>
  <pageSetup fitToHeight="2" fitToWidth="1" horizontalDpi="600" verticalDpi="600" orientation="portrait" scale="65" r:id="rId1"/>
  <headerFooter alignWithMargins="0">
    <oddHeader>&amp;RUSPS-LR-L-41
Bound Printed Matter Spreadsheets
&amp;A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3.7109375" style="0" customWidth="1"/>
    <col min="4" max="4" width="14.7109375" style="0" customWidth="1"/>
    <col min="5" max="10" width="13.7109375" style="0" customWidth="1"/>
  </cols>
  <sheetData>
    <row r="1" spans="1:10" ht="15">
      <c r="A1" s="173"/>
      <c r="B1" s="174"/>
      <c r="C1" s="175"/>
      <c r="D1" s="175"/>
      <c r="E1" s="175"/>
      <c r="F1" s="175"/>
      <c r="G1" s="175"/>
      <c r="H1" s="175"/>
      <c r="I1" s="175"/>
      <c r="J1" s="176"/>
    </row>
    <row r="2" spans="1:10" ht="15.75">
      <c r="A2" s="4"/>
      <c r="B2" s="5"/>
      <c r="C2" s="23"/>
      <c r="D2" s="23"/>
      <c r="E2" s="23"/>
      <c r="F2" s="23"/>
      <c r="G2" s="23"/>
      <c r="H2" s="23"/>
      <c r="I2" s="23"/>
      <c r="J2" s="655" t="s">
        <v>591</v>
      </c>
    </row>
    <row r="3" spans="1:10" ht="15.75">
      <c r="A3" s="4"/>
      <c r="B3" s="5"/>
      <c r="C3" s="23"/>
      <c r="D3" s="23"/>
      <c r="E3" s="23"/>
      <c r="F3" s="23"/>
      <c r="G3" s="23"/>
      <c r="H3" s="23"/>
      <c r="I3" s="23"/>
      <c r="J3" s="655" t="s">
        <v>641</v>
      </c>
    </row>
    <row r="4" spans="1:10" ht="18">
      <c r="A4" s="692" t="s">
        <v>986</v>
      </c>
      <c r="B4" s="693"/>
      <c r="C4" s="693"/>
      <c r="D4" s="693"/>
      <c r="E4" s="693"/>
      <c r="F4" s="693"/>
      <c r="G4" s="693"/>
      <c r="H4" s="693"/>
      <c r="I4" s="693"/>
      <c r="J4" s="694"/>
    </row>
    <row r="5" spans="1:10" ht="15.75" thickBot="1">
      <c r="A5" s="15"/>
      <c r="B5" s="11"/>
      <c r="C5" s="11"/>
      <c r="D5" s="11"/>
      <c r="E5" s="11"/>
      <c r="F5" s="11"/>
      <c r="G5" s="11"/>
      <c r="H5" s="11"/>
      <c r="I5" s="11"/>
      <c r="J5" s="13"/>
    </row>
    <row r="6" spans="1:10" ht="16.5" thickTop="1">
      <c r="A6" s="4"/>
      <c r="B6" s="178"/>
      <c r="C6" s="156" t="s">
        <v>853</v>
      </c>
      <c r="D6" s="157" t="s">
        <v>855</v>
      </c>
      <c r="E6" s="157" t="s">
        <v>856</v>
      </c>
      <c r="F6" s="157" t="s">
        <v>857</v>
      </c>
      <c r="G6" s="157" t="s">
        <v>858</v>
      </c>
      <c r="H6" s="157" t="s">
        <v>859</v>
      </c>
      <c r="I6" s="157" t="s">
        <v>860</v>
      </c>
      <c r="J6" s="193" t="s">
        <v>861</v>
      </c>
    </row>
    <row r="7" spans="1:10" ht="18" customHeight="1">
      <c r="A7" s="4"/>
      <c r="B7" s="178"/>
      <c r="C7" s="81" t="s">
        <v>854</v>
      </c>
      <c r="D7" s="158" t="s">
        <v>163</v>
      </c>
      <c r="E7" s="158" t="s">
        <v>164</v>
      </c>
      <c r="F7" s="158" t="s">
        <v>165</v>
      </c>
      <c r="G7" s="158" t="s">
        <v>166</v>
      </c>
      <c r="H7" s="158" t="s">
        <v>167</v>
      </c>
      <c r="I7" s="158" t="s">
        <v>168</v>
      </c>
      <c r="J7" s="194" t="s">
        <v>169</v>
      </c>
    </row>
    <row r="8" spans="1:10" ht="18" customHeight="1">
      <c r="A8" s="4"/>
      <c r="B8" s="12"/>
      <c r="C8" s="129"/>
      <c r="D8" s="161"/>
      <c r="E8" s="161"/>
      <c r="F8" s="161"/>
      <c r="G8" s="161"/>
      <c r="H8" s="161"/>
      <c r="I8" s="161"/>
      <c r="J8" s="195"/>
    </row>
    <row r="9" spans="1:10" ht="15.75">
      <c r="A9" s="4"/>
      <c r="B9" s="74" t="s">
        <v>151</v>
      </c>
      <c r="C9" s="83" t="s">
        <v>131</v>
      </c>
      <c r="D9" s="508">
        <v>1.97</v>
      </c>
      <c r="E9" s="508">
        <v>2.02</v>
      </c>
      <c r="F9" s="508">
        <v>2.07</v>
      </c>
      <c r="G9" s="508">
        <v>2.15</v>
      </c>
      <c r="H9" s="508">
        <v>2.22</v>
      </c>
      <c r="I9" s="508">
        <v>2.32</v>
      </c>
      <c r="J9" s="509">
        <v>2.5</v>
      </c>
    </row>
    <row r="10" spans="1:10" ht="15.75">
      <c r="A10" s="4"/>
      <c r="B10" s="74" t="s">
        <v>152</v>
      </c>
      <c r="C10" s="83" t="s">
        <v>862</v>
      </c>
      <c r="D10" s="508">
        <v>2.04</v>
      </c>
      <c r="E10" s="508">
        <v>2.11</v>
      </c>
      <c r="F10" s="508">
        <v>2.17</v>
      </c>
      <c r="G10" s="508">
        <v>2.28</v>
      </c>
      <c r="H10" s="508">
        <v>2.38</v>
      </c>
      <c r="I10" s="508">
        <v>2.51</v>
      </c>
      <c r="J10" s="509">
        <v>2.74</v>
      </c>
    </row>
    <row r="11" spans="1:10" ht="15.75">
      <c r="A11" s="4"/>
      <c r="B11" s="74" t="s">
        <v>153</v>
      </c>
      <c r="C11" s="83" t="s">
        <v>863</v>
      </c>
      <c r="D11" s="508">
        <v>2.12</v>
      </c>
      <c r="E11" s="508">
        <v>2.2</v>
      </c>
      <c r="F11" s="508">
        <v>2.28</v>
      </c>
      <c r="G11" s="508">
        <v>2.41</v>
      </c>
      <c r="H11" s="508">
        <v>2.54</v>
      </c>
      <c r="I11" s="508">
        <v>2.7</v>
      </c>
      <c r="J11" s="509">
        <v>2.99</v>
      </c>
    </row>
    <row r="12" spans="1:10" ht="15.75">
      <c r="A12" s="4"/>
      <c r="B12" s="74" t="s">
        <v>154</v>
      </c>
      <c r="C12" s="83" t="s">
        <v>864</v>
      </c>
      <c r="D12" s="508">
        <v>2.19</v>
      </c>
      <c r="E12" s="508">
        <v>2.29</v>
      </c>
      <c r="F12" s="508">
        <v>2.38</v>
      </c>
      <c r="G12" s="508">
        <v>2.54</v>
      </c>
      <c r="H12" s="508">
        <v>2.7</v>
      </c>
      <c r="I12" s="508">
        <v>2.89</v>
      </c>
      <c r="J12" s="509">
        <v>3.24</v>
      </c>
    </row>
    <row r="13" spans="1:10" ht="15.75">
      <c r="A13" s="4"/>
      <c r="B13" s="74" t="s">
        <v>155</v>
      </c>
      <c r="C13" s="83" t="s">
        <v>865</v>
      </c>
      <c r="D13" s="508">
        <v>2.27</v>
      </c>
      <c r="E13" s="508">
        <v>2.38</v>
      </c>
      <c r="F13" s="508">
        <v>2.49</v>
      </c>
      <c r="G13" s="508">
        <v>2.68</v>
      </c>
      <c r="H13" s="508">
        <v>2.86</v>
      </c>
      <c r="I13" s="508">
        <v>3.08</v>
      </c>
      <c r="J13" s="509">
        <v>3.49</v>
      </c>
    </row>
    <row r="14" spans="1:10" ht="15.75">
      <c r="A14" s="4"/>
      <c r="B14" s="74" t="s">
        <v>156</v>
      </c>
      <c r="C14" s="83" t="s">
        <v>866</v>
      </c>
      <c r="D14" s="508">
        <v>2.34</v>
      </c>
      <c r="E14" s="508">
        <v>2.47</v>
      </c>
      <c r="F14" s="508">
        <v>2.59</v>
      </c>
      <c r="G14" s="508">
        <v>2.8</v>
      </c>
      <c r="H14" s="508">
        <v>3.01</v>
      </c>
      <c r="I14" s="508">
        <v>3.27</v>
      </c>
      <c r="J14" s="509">
        <v>3.73</v>
      </c>
    </row>
    <row r="15" spans="1:10" ht="15.75">
      <c r="A15" s="4"/>
      <c r="B15" s="74" t="s">
        <v>157</v>
      </c>
      <c r="C15" s="83" t="s">
        <v>867</v>
      </c>
      <c r="D15" s="508">
        <v>2.41</v>
      </c>
      <c r="E15" s="508">
        <v>2.56</v>
      </c>
      <c r="F15" s="508">
        <v>2.7</v>
      </c>
      <c r="G15" s="508">
        <v>2.94</v>
      </c>
      <c r="H15" s="508">
        <v>3.17</v>
      </c>
      <c r="I15" s="508">
        <v>3.46</v>
      </c>
      <c r="J15" s="509">
        <v>3.98</v>
      </c>
    </row>
    <row r="16" spans="1:10" ht="15.75">
      <c r="A16" s="4"/>
      <c r="B16" s="74" t="s">
        <v>158</v>
      </c>
      <c r="C16" s="83" t="s">
        <v>868</v>
      </c>
      <c r="D16" s="508">
        <v>2.49</v>
      </c>
      <c r="E16" s="508">
        <v>2.65</v>
      </c>
      <c r="F16" s="508">
        <v>2.8</v>
      </c>
      <c r="G16" s="508">
        <v>3.07</v>
      </c>
      <c r="H16" s="508">
        <v>3.33</v>
      </c>
      <c r="I16" s="508">
        <v>3.65</v>
      </c>
      <c r="J16" s="509">
        <v>4.23</v>
      </c>
    </row>
    <row r="17" spans="1:10" ht="15.75">
      <c r="A17" s="4"/>
      <c r="B17" s="74" t="s">
        <v>159</v>
      </c>
      <c r="C17" s="83" t="s">
        <v>869</v>
      </c>
      <c r="D17" s="508">
        <v>2.64</v>
      </c>
      <c r="E17" s="508">
        <v>2.82</v>
      </c>
      <c r="F17" s="508">
        <v>3.01</v>
      </c>
      <c r="G17" s="508">
        <v>3.33</v>
      </c>
      <c r="H17" s="508">
        <v>3.65</v>
      </c>
      <c r="I17" s="508">
        <v>4.03</v>
      </c>
      <c r="J17" s="509">
        <v>4.72</v>
      </c>
    </row>
    <row r="18" spans="1:10" ht="15.75">
      <c r="A18" s="4"/>
      <c r="B18" s="74" t="s">
        <v>160</v>
      </c>
      <c r="C18" s="83" t="s">
        <v>870</v>
      </c>
      <c r="D18" s="508">
        <v>2.78</v>
      </c>
      <c r="E18" s="508">
        <v>3</v>
      </c>
      <c r="F18" s="508">
        <v>3.23</v>
      </c>
      <c r="G18" s="508">
        <v>3.59</v>
      </c>
      <c r="H18" s="508">
        <v>3.96</v>
      </c>
      <c r="I18" s="508">
        <v>4.41</v>
      </c>
      <c r="J18" s="509">
        <v>5.22</v>
      </c>
    </row>
    <row r="19" spans="1:10" ht="15.75">
      <c r="A19" s="4"/>
      <c r="B19" s="74" t="s">
        <v>161</v>
      </c>
      <c r="C19" s="83" t="s">
        <v>871</v>
      </c>
      <c r="D19" s="508">
        <v>2.93</v>
      </c>
      <c r="E19" s="508">
        <v>3.18</v>
      </c>
      <c r="F19" s="508">
        <v>3.44</v>
      </c>
      <c r="G19" s="508">
        <v>3.86</v>
      </c>
      <c r="H19" s="508">
        <v>4.28</v>
      </c>
      <c r="I19" s="508">
        <v>4.79</v>
      </c>
      <c r="J19" s="509">
        <v>5.71</v>
      </c>
    </row>
    <row r="20" spans="1:10" ht="15.75">
      <c r="A20" s="4"/>
      <c r="B20" s="74" t="s">
        <v>162</v>
      </c>
      <c r="C20" s="83" t="s">
        <v>872</v>
      </c>
      <c r="D20" s="508">
        <v>3.08</v>
      </c>
      <c r="E20" s="508">
        <v>3.36</v>
      </c>
      <c r="F20" s="508">
        <v>3.65</v>
      </c>
      <c r="G20" s="508">
        <v>4.12</v>
      </c>
      <c r="H20" s="508">
        <v>4.6</v>
      </c>
      <c r="I20" s="508">
        <v>5.16</v>
      </c>
      <c r="J20" s="509">
        <v>6.21</v>
      </c>
    </row>
    <row r="21" spans="1:10" ht="15.75">
      <c r="A21" s="4"/>
      <c r="B21" s="74" t="s">
        <v>173</v>
      </c>
      <c r="C21" s="83" t="s">
        <v>873</v>
      </c>
      <c r="D21" s="508">
        <v>3.23</v>
      </c>
      <c r="E21" s="508">
        <v>3.54</v>
      </c>
      <c r="F21" s="508">
        <v>3.86</v>
      </c>
      <c r="G21" s="508">
        <v>4.38</v>
      </c>
      <c r="H21" s="508">
        <v>4.91</v>
      </c>
      <c r="I21" s="508">
        <v>5.54</v>
      </c>
      <c r="J21" s="509">
        <v>6.7</v>
      </c>
    </row>
    <row r="22" spans="1:10" ht="15.75">
      <c r="A22" s="4"/>
      <c r="B22" s="74" t="s">
        <v>174</v>
      </c>
      <c r="C22" s="83" t="s">
        <v>134</v>
      </c>
      <c r="D22" s="508">
        <v>3.37</v>
      </c>
      <c r="E22" s="508">
        <v>3.72</v>
      </c>
      <c r="F22" s="508">
        <v>4.07</v>
      </c>
      <c r="G22" s="508">
        <v>4.65</v>
      </c>
      <c r="H22" s="508">
        <v>5.23</v>
      </c>
      <c r="I22" s="508">
        <v>5.92</v>
      </c>
      <c r="J22" s="509">
        <v>7.2</v>
      </c>
    </row>
    <row r="23" spans="1:10" ht="15.75">
      <c r="A23" s="4"/>
      <c r="B23" s="74" t="s">
        <v>176</v>
      </c>
      <c r="C23" s="83" t="s">
        <v>135</v>
      </c>
      <c r="D23" s="508">
        <v>3.52</v>
      </c>
      <c r="E23" s="508">
        <v>3.9</v>
      </c>
      <c r="F23" s="508">
        <v>4.28</v>
      </c>
      <c r="G23" s="508">
        <v>4.91</v>
      </c>
      <c r="H23" s="508">
        <v>5.54</v>
      </c>
      <c r="I23" s="508">
        <v>6.3</v>
      </c>
      <c r="J23" s="509">
        <v>7.69</v>
      </c>
    </row>
    <row r="24" spans="1:10" ht="15.75">
      <c r="A24" s="4"/>
      <c r="B24" s="74" t="s">
        <v>177</v>
      </c>
      <c r="C24" s="83" t="s">
        <v>136</v>
      </c>
      <c r="D24" s="508">
        <v>3.67</v>
      </c>
      <c r="E24" s="508">
        <v>4.08</v>
      </c>
      <c r="F24" s="508">
        <v>4.49</v>
      </c>
      <c r="G24" s="508">
        <v>5.18</v>
      </c>
      <c r="H24" s="508">
        <v>5.86</v>
      </c>
      <c r="I24" s="508">
        <v>6.68</v>
      </c>
      <c r="J24" s="509">
        <v>8.19</v>
      </c>
    </row>
    <row r="25" spans="1:10" ht="15.75">
      <c r="A25" s="4"/>
      <c r="B25" s="74" t="s">
        <v>183</v>
      </c>
      <c r="C25" s="83" t="s">
        <v>137</v>
      </c>
      <c r="D25" s="508">
        <v>3.82</v>
      </c>
      <c r="E25" s="508">
        <v>4.26</v>
      </c>
      <c r="F25" s="508">
        <v>4.7</v>
      </c>
      <c r="G25" s="508">
        <v>5.44</v>
      </c>
      <c r="H25" s="508">
        <v>6.18</v>
      </c>
      <c r="I25" s="508">
        <v>7.06</v>
      </c>
      <c r="J25" s="509">
        <v>8.68</v>
      </c>
    </row>
    <row r="26" spans="1:10" ht="15.75">
      <c r="A26" s="4"/>
      <c r="B26" s="74" t="s">
        <v>285</v>
      </c>
      <c r="C26" s="83" t="s">
        <v>138</v>
      </c>
      <c r="D26" s="508">
        <v>3.96</v>
      </c>
      <c r="E26" s="508">
        <v>4.44</v>
      </c>
      <c r="F26" s="508">
        <v>4.91</v>
      </c>
      <c r="G26" s="508">
        <v>5.7</v>
      </c>
      <c r="H26" s="508">
        <v>6.49</v>
      </c>
      <c r="I26" s="508">
        <v>7.44</v>
      </c>
      <c r="J26" s="509">
        <v>9.18</v>
      </c>
    </row>
    <row r="27" spans="1:10" ht="15.75">
      <c r="A27" s="4"/>
      <c r="B27" s="74"/>
      <c r="C27" s="83"/>
      <c r="D27" s="198"/>
      <c r="E27" s="198"/>
      <c r="F27" s="198"/>
      <c r="G27" s="198"/>
      <c r="H27" s="198"/>
      <c r="I27" s="198"/>
      <c r="J27" s="199"/>
    </row>
    <row r="28" spans="1:10" ht="15.75" thickBot="1">
      <c r="A28" s="179"/>
      <c r="B28" s="6"/>
      <c r="C28" s="135"/>
      <c r="D28" s="170"/>
      <c r="E28" s="170"/>
      <c r="F28" s="170"/>
      <c r="G28" s="170"/>
      <c r="H28" s="170"/>
      <c r="I28" s="170"/>
      <c r="J28" s="201"/>
    </row>
  </sheetData>
  <mergeCells count="1">
    <mergeCell ref="A4:J4"/>
  </mergeCells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Header>&amp;RUSPS-LR-L-41
Bound Printed Matter Spreadsheets
&amp;A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.28125" style="0" customWidth="1"/>
    <col min="3" max="3" width="13.140625" style="0" customWidth="1"/>
    <col min="4" max="7" width="19.7109375" style="0" customWidth="1"/>
    <col min="8" max="8" width="13.140625" style="0" customWidth="1"/>
    <col min="9" max="9" width="17.00390625" style="0" customWidth="1"/>
  </cols>
  <sheetData>
    <row r="1" spans="1:9" ht="15">
      <c r="A1" s="173"/>
      <c r="B1" s="174"/>
      <c r="C1" s="175"/>
      <c r="D1" s="175"/>
      <c r="E1" s="175"/>
      <c r="F1" s="175"/>
      <c r="G1" s="175"/>
      <c r="H1" s="175"/>
      <c r="I1" s="176"/>
    </row>
    <row r="2" spans="1:9" ht="15.75">
      <c r="A2" s="4"/>
      <c r="B2" s="5"/>
      <c r="C2" s="23"/>
      <c r="D2" s="23"/>
      <c r="E2" s="23"/>
      <c r="F2" s="23"/>
      <c r="G2" s="23"/>
      <c r="H2" s="23"/>
      <c r="I2" s="655" t="s">
        <v>591</v>
      </c>
    </row>
    <row r="3" spans="1:9" ht="15.75">
      <c r="A3" s="4"/>
      <c r="B3" s="5"/>
      <c r="C3" s="23"/>
      <c r="D3" s="23"/>
      <c r="E3" s="23"/>
      <c r="F3" s="23"/>
      <c r="G3" s="23"/>
      <c r="H3" s="23"/>
      <c r="I3" s="655" t="s">
        <v>642</v>
      </c>
    </row>
    <row r="4" spans="1:9" ht="18">
      <c r="A4" s="692" t="s">
        <v>484</v>
      </c>
      <c r="B4" s="693"/>
      <c r="C4" s="693"/>
      <c r="D4" s="693"/>
      <c r="E4" s="693"/>
      <c r="F4" s="693"/>
      <c r="G4" s="693"/>
      <c r="H4" s="693"/>
      <c r="I4" s="694"/>
    </row>
    <row r="5" spans="1:9" ht="15.75" thickBot="1">
      <c r="A5" s="15"/>
      <c r="B5" s="11"/>
      <c r="C5" s="11"/>
      <c r="D5" s="11"/>
      <c r="E5" s="11"/>
      <c r="F5" s="11"/>
      <c r="G5" s="177"/>
      <c r="H5" s="11"/>
      <c r="I5" s="13"/>
    </row>
    <row r="6" spans="1:9" ht="15.75" thickTop="1">
      <c r="A6" s="4"/>
      <c r="B6" s="12"/>
      <c r="C6" s="113"/>
      <c r="D6" s="114"/>
      <c r="E6" s="114"/>
      <c r="F6" s="115"/>
      <c r="G6" s="116"/>
      <c r="H6" s="115"/>
      <c r="I6" s="117"/>
    </row>
    <row r="7" spans="1:9" ht="15.75">
      <c r="A7" s="4"/>
      <c r="B7" s="12"/>
      <c r="C7" s="118" t="s">
        <v>838</v>
      </c>
      <c r="D7" s="115"/>
      <c r="E7" s="115"/>
      <c r="F7" s="115"/>
      <c r="G7" s="116"/>
      <c r="H7" s="115"/>
      <c r="I7" s="119"/>
    </row>
    <row r="8" spans="1:9" ht="16.5" thickBot="1">
      <c r="A8" s="4"/>
      <c r="B8" s="12"/>
      <c r="C8" s="120"/>
      <c r="D8" s="121"/>
      <c r="E8" s="121"/>
      <c r="F8" s="121"/>
      <c r="G8" s="122"/>
      <c r="H8" s="123"/>
      <c r="I8" s="124"/>
    </row>
    <row r="9" spans="1:9" ht="16.5" thickTop="1">
      <c r="A9" s="4"/>
      <c r="B9" s="12"/>
      <c r="C9" s="125"/>
      <c r="D9" s="115"/>
      <c r="E9" s="115"/>
      <c r="F9" s="126"/>
      <c r="G9" s="126"/>
      <c r="H9" s="127"/>
      <c r="I9" s="128"/>
    </row>
    <row r="10" spans="1:9" ht="15.75">
      <c r="A10" s="4"/>
      <c r="B10" s="12"/>
      <c r="C10" s="129"/>
      <c r="D10" s="116"/>
      <c r="E10" s="116"/>
      <c r="F10" s="127" t="s">
        <v>839</v>
      </c>
      <c r="G10" s="127" t="s">
        <v>840</v>
      </c>
      <c r="H10" s="695" t="s">
        <v>851</v>
      </c>
      <c r="I10" s="696"/>
    </row>
    <row r="11" spans="1:9" ht="15">
      <c r="A11" s="4"/>
      <c r="B11" s="12"/>
      <c r="C11" s="125"/>
      <c r="D11" s="115"/>
      <c r="E11" s="115"/>
      <c r="F11" s="130"/>
      <c r="G11" s="131"/>
      <c r="H11" s="132"/>
      <c r="I11" s="133"/>
    </row>
    <row r="12" spans="1:9" ht="15.75">
      <c r="A12" s="4"/>
      <c r="B12" s="178"/>
      <c r="C12" s="125"/>
      <c r="D12" s="115"/>
      <c r="E12" s="115"/>
      <c r="F12" s="527">
        <v>555892890</v>
      </c>
      <c r="G12" s="527">
        <v>1301286136</v>
      </c>
      <c r="H12" s="134"/>
      <c r="I12" s="575">
        <v>534105283</v>
      </c>
    </row>
    <row r="13" spans="1:9" ht="16.5" thickBot="1">
      <c r="A13" s="4"/>
      <c r="B13" s="178"/>
      <c r="C13" s="135"/>
      <c r="D13" s="136"/>
      <c r="E13" s="136"/>
      <c r="F13" s="137"/>
      <c r="G13" s="138"/>
      <c r="H13" s="137"/>
      <c r="I13" s="139"/>
    </row>
    <row r="14" spans="1:9" ht="15.75">
      <c r="A14" s="4"/>
      <c r="B14" s="14"/>
      <c r="C14" s="140"/>
      <c r="D14" s="141"/>
      <c r="E14" s="141"/>
      <c r="F14" s="142"/>
      <c r="G14" s="143"/>
      <c r="H14" s="142"/>
      <c r="I14" s="144"/>
    </row>
    <row r="15" spans="1:9" ht="15.75">
      <c r="A15" s="4"/>
      <c r="B15" s="14"/>
      <c r="C15" s="118" t="s">
        <v>843</v>
      </c>
      <c r="D15" s="115"/>
      <c r="E15" s="115"/>
      <c r="F15" s="115"/>
      <c r="G15" s="116"/>
      <c r="H15" s="145"/>
      <c r="I15" s="146"/>
    </row>
    <row r="16" spans="1:9" ht="16.5" thickBot="1">
      <c r="A16" s="4"/>
      <c r="B16" s="14"/>
      <c r="C16" s="120"/>
      <c r="D16" s="121"/>
      <c r="E16" s="121"/>
      <c r="F16" s="121"/>
      <c r="G16" s="122"/>
      <c r="H16" s="147"/>
      <c r="I16" s="148"/>
    </row>
    <row r="17" spans="1:9" ht="16.5" thickTop="1">
      <c r="A17" s="4"/>
      <c r="B17" s="14"/>
      <c r="C17" s="118"/>
      <c r="D17" s="130"/>
      <c r="E17" s="149"/>
      <c r="F17" s="115"/>
      <c r="G17" s="150"/>
      <c r="H17" s="151"/>
      <c r="I17" s="152"/>
    </row>
    <row r="18" spans="1:9" ht="15.75">
      <c r="A18" s="4"/>
      <c r="B18" s="14"/>
      <c r="C18" s="118"/>
      <c r="D18" s="130"/>
      <c r="E18" s="149" t="s">
        <v>839</v>
      </c>
      <c r="F18" s="115"/>
      <c r="G18" s="150"/>
      <c r="H18" s="134"/>
      <c r="I18" s="146"/>
    </row>
    <row r="19" spans="1:9" ht="15.75">
      <c r="A19" s="4"/>
      <c r="B19" s="178"/>
      <c r="C19" s="153"/>
      <c r="D19" s="154"/>
      <c r="E19" s="82"/>
      <c r="F19" s="155"/>
      <c r="G19" s="66"/>
      <c r="H19" s="127"/>
      <c r="I19" s="128"/>
    </row>
    <row r="20" spans="1:9" ht="15.75">
      <c r="A20" s="4"/>
      <c r="B20" s="178"/>
      <c r="C20" s="156"/>
      <c r="D20" s="157" t="s">
        <v>847</v>
      </c>
      <c r="E20" s="157" t="s">
        <v>850</v>
      </c>
      <c r="F20" s="127" t="s">
        <v>844</v>
      </c>
      <c r="G20" s="127" t="s">
        <v>844</v>
      </c>
      <c r="H20" s="127"/>
      <c r="I20" s="128"/>
    </row>
    <row r="21" spans="1:9" ht="15.75">
      <c r="A21" s="4"/>
      <c r="B21" s="178"/>
      <c r="C21" s="81" t="s">
        <v>848</v>
      </c>
      <c r="D21" s="158" t="s">
        <v>846</v>
      </c>
      <c r="E21" s="158" t="s">
        <v>846</v>
      </c>
      <c r="F21" s="159" t="s">
        <v>846</v>
      </c>
      <c r="G21" s="159" t="s">
        <v>840</v>
      </c>
      <c r="H21" s="697" t="s">
        <v>852</v>
      </c>
      <c r="I21" s="698"/>
    </row>
    <row r="22" spans="1:9" ht="15">
      <c r="A22" s="4"/>
      <c r="B22" s="12"/>
      <c r="C22" s="129"/>
      <c r="D22" s="161"/>
      <c r="E22" s="161"/>
      <c r="F22" s="150"/>
      <c r="G22" s="150"/>
      <c r="H22" s="150"/>
      <c r="I22" s="162"/>
    </row>
    <row r="23" spans="1:9" ht="15">
      <c r="A23" s="4"/>
      <c r="B23" s="12"/>
      <c r="C23" s="83" t="s">
        <v>707</v>
      </c>
      <c r="D23" s="528">
        <v>117788723</v>
      </c>
      <c r="E23" s="528">
        <v>129835235</v>
      </c>
      <c r="F23" s="165">
        <f>D23+E23</f>
        <v>247623958</v>
      </c>
      <c r="G23" s="526">
        <v>505029677</v>
      </c>
      <c r="H23" s="529"/>
      <c r="I23" s="530">
        <v>176284256.694</v>
      </c>
    </row>
    <row r="24" spans="1:9" ht="15">
      <c r="A24" s="4"/>
      <c r="B24" s="12"/>
      <c r="C24" s="83" t="s">
        <v>849</v>
      </c>
      <c r="D24" s="528">
        <v>174161263.600391</v>
      </c>
      <c r="E24" s="528">
        <v>11491267.42497444</v>
      </c>
      <c r="F24" s="165">
        <f aca="true" t="shared" si="0" ref="F24:F30">D24+E24</f>
        <v>185652531.02536544</v>
      </c>
      <c r="G24" s="526">
        <v>523287331.30390817</v>
      </c>
      <c r="H24" s="529"/>
      <c r="I24" s="530">
        <v>208435462.38718647</v>
      </c>
    </row>
    <row r="25" spans="1:9" ht="15">
      <c r="A25" s="4"/>
      <c r="B25" s="12"/>
      <c r="C25" s="83">
        <v>3</v>
      </c>
      <c r="D25" s="528">
        <v>44680386.18054877</v>
      </c>
      <c r="E25" s="528">
        <v>5408998.340532357</v>
      </c>
      <c r="F25" s="165">
        <f t="shared" si="0"/>
        <v>50089384.52108113</v>
      </c>
      <c r="G25" s="526">
        <v>126120495.66180542</v>
      </c>
      <c r="H25" s="529"/>
      <c r="I25" s="530">
        <v>60262678.581869535</v>
      </c>
    </row>
    <row r="26" spans="1:9" ht="15">
      <c r="A26" s="4"/>
      <c r="B26" s="12"/>
      <c r="C26" s="83">
        <v>4</v>
      </c>
      <c r="D26" s="528">
        <v>24424940.05961546</v>
      </c>
      <c r="E26" s="528">
        <v>1473346.1085744062</v>
      </c>
      <c r="F26" s="165">
        <f t="shared" si="0"/>
        <v>25898286.168189865</v>
      </c>
      <c r="G26" s="526">
        <v>58907312.98425714</v>
      </c>
      <c r="H26" s="529"/>
      <c r="I26" s="530">
        <v>36099645.071356386</v>
      </c>
    </row>
    <row r="27" spans="1:9" ht="15">
      <c r="A27" s="4"/>
      <c r="B27" s="12"/>
      <c r="C27" s="83">
        <v>5</v>
      </c>
      <c r="D27" s="528">
        <v>17510506.518963825</v>
      </c>
      <c r="E27" s="528">
        <v>578292.7443175764</v>
      </c>
      <c r="F27" s="165">
        <f t="shared" si="0"/>
        <v>18088799.2632814</v>
      </c>
      <c r="G27" s="526">
        <v>34991510.97032942</v>
      </c>
      <c r="H27" s="529"/>
      <c r="I27" s="530">
        <v>27664122.036512252</v>
      </c>
    </row>
    <row r="28" spans="1:9" ht="15">
      <c r="A28" s="4"/>
      <c r="B28" s="12"/>
      <c r="C28" s="83">
        <v>6</v>
      </c>
      <c r="D28" s="528">
        <v>9523216.706615832</v>
      </c>
      <c r="E28" s="528">
        <v>155294.91761904676</v>
      </c>
      <c r="F28" s="165">
        <f t="shared" si="0"/>
        <v>9678511.624234878</v>
      </c>
      <c r="G28" s="526">
        <v>18475126.406357445</v>
      </c>
      <c r="H28" s="529"/>
      <c r="I28" s="530">
        <v>15744982.783006025</v>
      </c>
    </row>
    <row r="29" spans="1:9" ht="15">
      <c r="A29" s="4"/>
      <c r="B29" s="12"/>
      <c r="C29" s="83">
        <v>7</v>
      </c>
      <c r="D29" s="528">
        <v>5991359.418380047</v>
      </c>
      <c r="E29" s="528">
        <v>494677.91824445163</v>
      </c>
      <c r="F29" s="165">
        <f t="shared" si="0"/>
        <v>6486037.3366244985</v>
      </c>
      <c r="G29" s="526">
        <v>12594382.486481266</v>
      </c>
      <c r="H29" s="529"/>
      <c r="I29" s="530">
        <v>11320975.137813082</v>
      </c>
    </row>
    <row r="30" spans="1:9" ht="15">
      <c r="A30" s="4"/>
      <c r="B30" s="12"/>
      <c r="C30" s="83">
        <v>8</v>
      </c>
      <c r="D30" s="528">
        <v>11849415.515485061</v>
      </c>
      <c r="E30" s="528">
        <v>525407.5457377211</v>
      </c>
      <c r="F30" s="165">
        <f t="shared" si="0"/>
        <v>12374823.061222782</v>
      </c>
      <c r="G30" s="526">
        <v>21878699.186861087</v>
      </c>
      <c r="H30" s="529"/>
      <c r="I30" s="530">
        <v>23407554.840433337</v>
      </c>
    </row>
    <row r="31" spans="1:9" ht="15">
      <c r="A31" s="4"/>
      <c r="B31" s="12"/>
      <c r="C31" s="83"/>
      <c r="D31" s="528"/>
      <c r="E31" s="528"/>
      <c r="F31" s="165"/>
      <c r="G31" s="526"/>
      <c r="H31" s="531"/>
      <c r="I31" s="530"/>
    </row>
    <row r="32" spans="1:9" ht="15">
      <c r="A32" s="4"/>
      <c r="B32" s="12"/>
      <c r="C32" s="83" t="s">
        <v>844</v>
      </c>
      <c r="D32" s="528">
        <v>405929810.99999994</v>
      </c>
      <c r="E32" s="528">
        <v>149962520.00000003</v>
      </c>
      <c r="F32" s="165">
        <f>D32+E32</f>
        <v>555892331</v>
      </c>
      <c r="G32" s="526">
        <v>1301284536</v>
      </c>
      <c r="H32" s="531"/>
      <c r="I32" s="530">
        <v>559219677.5321771</v>
      </c>
    </row>
    <row r="33" spans="1:9" ht="15">
      <c r="A33" s="4"/>
      <c r="B33" s="12"/>
      <c r="C33" s="83"/>
      <c r="D33" s="528"/>
      <c r="E33" s="528"/>
      <c r="F33" s="165"/>
      <c r="G33" s="526"/>
      <c r="H33" s="531"/>
      <c r="I33" s="530"/>
    </row>
    <row r="34" spans="1:9" ht="15.75" thickBot="1">
      <c r="A34" s="4"/>
      <c r="B34" s="12"/>
      <c r="C34" s="83"/>
      <c r="D34" s="528"/>
      <c r="E34" s="528"/>
      <c r="F34" s="165"/>
      <c r="G34" s="526"/>
      <c r="H34" s="531"/>
      <c r="I34" s="530"/>
    </row>
    <row r="35" spans="1:9" ht="15">
      <c r="A35" s="4"/>
      <c r="B35" s="5"/>
      <c r="C35" s="329"/>
      <c r="D35" s="605"/>
      <c r="E35" s="605"/>
      <c r="F35" s="606"/>
      <c r="G35" s="606" t="s">
        <v>708</v>
      </c>
      <c r="H35" s="610"/>
      <c r="I35" s="607"/>
    </row>
    <row r="36" spans="1:9" ht="15">
      <c r="A36" s="4"/>
      <c r="B36" s="5"/>
      <c r="C36" s="83"/>
      <c r="D36" s="602"/>
      <c r="E36" s="602"/>
      <c r="F36" s="604"/>
      <c r="G36" s="604" t="s">
        <v>709</v>
      </c>
      <c r="H36" s="366"/>
      <c r="I36" s="530">
        <v>6056499.72</v>
      </c>
    </row>
    <row r="37" spans="1:9" ht="15">
      <c r="A37" s="4"/>
      <c r="B37" s="2"/>
      <c r="C37" s="129"/>
      <c r="D37" s="145"/>
      <c r="E37" s="145"/>
      <c r="F37" s="145"/>
      <c r="G37" s="604" t="s">
        <v>140</v>
      </c>
      <c r="H37" s="366"/>
      <c r="I37" s="530">
        <v>19782890.281</v>
      </c>
    </row>
    <row r="38" spans="1:9" ht="15">
      <c r="A38" s="4"/>
      <c r="B38" s="2"/>
      <c r="C38" s="125"/>
      <c r="D38" s="115"/>
      <c r="E38" s="115"/>
      <c r="F38" s="145"/>
      <c r="G38" s="603" t="s">
        <v>710</v>
      </c>
      <c r="H38" s="116"/>
      <c r="I38" s="530">
        <v>533380287.53117704</v>
      </c>
    </row>
    <row r="39" spans="1:9" ht="15.75" thickBot="1">
      <c r="A39" s="4"/>
      <c r="B39" s="2"/>
      <c r="C39" s="135"/>
      <c r="D39" s="136"/>
      <c r="E39" s="136"/>
      <c r="F39" s="608"/>
      <c r="G39" s="609"/>
      <c r="H39" s="136"/>
      <c r="I39" s="139"/>
    </row>
    <row r="40" spans="1:9" ht="15">
      <c r="A40" s="4"/>
      <c r="B40" s="3"/>
      <c r="C40" s="125"/>
      <c r="D40" s="115"/>
      <c r="E40" s="115"/>
      <c r="F40" s="115"/>
      <c r="G40" s="115"/>
      <c r="H40" s="115"/>
      <c r="I40" s="119"/>
    </row>
    <row r="41" spans="1:9" ht="15.75">
      <c r="A41" s="4"/>
      <c r="B41" s="3"/>
      <c r="C41" s="118" t="s">
        <v>845</v>
      </c>
      <c r="D41" s="115"/>
      <c r="E41" s="115"/>
      <c r="F41" s="115"/>
      <c r="G41" s="115"/>
      <c r="H41" s="115"/>
      <c r="I41" s="611">
        <f>I12/I38</f>
        <v>1.0013592468371464</v>
      </c>
    </row>
    <row r="42" spans="1:9" ht="15.75" thickBot="1">
      <c r="A42" s="179"/>
      <c r="B42" s="6"/>
      <c r="C42" s="135"/>
      <c r="D42" s="136"/>
      <c r="E42" s="136"/>
      <c r="F42" s="136"/>
      <c r="G42" s="136"/>
      <c r="H42" s="136"/>
      <c r="I42" s="180"/>
    </row>
    <row r="43" spans="1:9" ht="15">
      <c r="A43" s="1"/>
      <c r="B43" s="7"/>
      <c r="C43" s="8"/>
      <c r="D43" s="8"/>
      <c r="E43" s="8"/>
      <c r="F43" s="8"/>
      <c r="G43" s="8"/>
      <c r="H43" s="8"/>
      <c r="I43" s="8"/>
    </row>
    <row r="44" spans="1:9" ht="15.75" thickBot="1">
      <c r="A44" s="1"/>
      <c r="B44" s="8"/>
      <c r="C44" s="8"/>
      <c r="D44" s="8"/>
      <c r="E44" s="8"/>
      <c r="F44" s="8"/>
      <c r="G44" s="8"/>
      <c r="H44" s="8"/>
      <c r="I44" s="8"/>
    </row>
    <row r="45" spans="3:7" ht="15.75">
      <c r="C45" s="635"/>
      <c r="D45" s="140"/>
      <c r="E45" s="626"/>
      <c r="F45" s="141"/>
      <c r="G45" s="630"/>
    </row>
    <row r="46" spans="3:7" ht="15.75">
      <c r="C46" s="636"/>
      <c r="D46" s="125"/>
      <c r="E46" s="149" t="s">
        <v>489</v>
      </c>
      <c r="F46" s="115"/>
      <c r="G46" s="162"/>
    </row>
    <row r="47" spans="3:7" ht="16.5" thickBot="1">
      <c r="C47" s="637"/>
      <c r="D47" s="631"/>
      <c r="E47" s="632"/>
      <c r="F47" s="633"/>
      <c r="G47" s="634"/>
    </row>
    <row r="48" spans="3:7" ht="15.75">
      <c r="C48" s="156" t="s">
        <v>848</v>
      </c>
      <c r="D48" s="157" t="s">
        <v>722</v>
      </c>
      <c r="E48" s="157" t="s">
        <v>957</v>
      </c>
      <c r="F48" s="127" t="s">
        <v>958</v>
      </c>
      <c r="G48" s="193" t="s">
        <v>959</v>
      </c>
    </row>
    <row r="49" spans="3:7" ht="15.75">
      <c r="C49" s="81"/>
      <c r="D49" s="158"/>
      <c r="E49" s="158"/>
      <c r="F49" s="159"/>
      <c r="G49" s="194"/>
    </row>
    <row r="50" spans="3:7" ht="15">
      <c r="C50" s="129"/>
      <c r="D50" s="161"/>
      <c r="E50" s="161"/>
      <c r="F50" s="150"/>
      <c r="G50" s="195"/>
    </row>
    <row r="51" spans="3:7" ht="15">
      <c r="C51" s="83" t="s">
        <v>707</v>
      </c>
      <c r="D51" s="638" t="s">
        <v>882</v>
      </c>
      <c r="E51" s="638" t="s">
        <v>882</v>
      </c>
      <c r="F51" s="640">
        <v>342963936</v>
      </c>
      <c r="G51" s="639">
        <v>162065741</v>
      </c>
    </row>
    <row r="52" spans="3:7" ht="15">
      <c r="C52" s="83" t="s">
        <v>849</v>
      </c>
      <c r="D52" s="638">
        <v>36373210.21635217</v>
      </c>
      <c r="E52" s="638">
        <v>486914121.087556</v>
      </c>
      <c r="F52" s="640" t="s">
        <v>882</v>
      </c>
      <c r="G52" s="639" t="s">
        <v>882</v>
      </c>
    </row>
    <row r="53" spans="3:7" ht="15">
      <c r="C53" s="83">
        <v>3</v>
      </c>
      <c r="D53" s="638">
        <v>23370505.66151174</v>
      </c>
      <c r="E53" s="638">
        <v>102749990.00029367</v>
      </c>
      <c r="F53" s="640" t="s">
        <v>882</v>
      </c>
      <c r="G53" s="639" t="s">
        <v>882</v>
      </c>
    </row>
    <row r="54" spans="3:7" ht="15">
      <c r="C54" s="83">
        <v>4</v>
      </c>
      <c r="D54" s="638">
        <v>36630747.443321906</v>
      </c>
      <c r="E54" s="638">
        <v>22276565.540935233</v>
      </c>
      <c r="F54" s="640" t="s">
        <v>882</v>
      </c>
      <c r="G54" s="639" t="s">
        <v>882</v>
      </c>
    </row>
    <row r="55" spans="3:7" ht="15">
      <c r="C55" s="83">
        <v>5</v>
      </c>
      <c r="D55" s="638">
        <v>34375489.59911437</v>
      </c>
      <c r="E55" s="638">
        <v>616021.3712150434</v>
      </c>
      <c r="F55" s="640" t="s">
        <v>882</v>
      </c>
      <c r="G55" s="639" t="s">
        <v>882</v>
      </c>
    </row>
    <row r="56" spans="3:7" ht="15">
      <c r="C56" s="83">
        <v>6</v>
      </c>
      <c r="D56" s="638">
        <v>18475126.406357445</v>
      </c>
      <c r="E56" s="638" t="s">
        <v>882</v>
      </c>
      <c r="F56" s="640" t="s">
        <v>882</v>
      </c>
      <c r="G56" s="639" t="s">
        <v>882</v>
      </c>
    </row>
    <row r="57" spans="3:7" ht="15">
      <c r="C57" s="83">
        <v>7</v>
      </c>
      <c r="D57" s="638">
        <v>12594382.486481266</v>
      </c>
      <c r="E57" s="638" t="s">
        <v>882</v>
      </c>
      <c r="F57" s="640" t="s">
        <v>882</v>
      </c>
      <c r="G57" s="639" t="s">
        <v>882</v>
      </c>
    </row>
    <row r="58" spans="3:7" ht="15">
      <c r="C58" s="83">
        <v>8</v>
      </c>
      <c r="D58" s="638">
        <v>21878699.186861087</v>
      </c>
      <c r="E58" s="638" t="s">
        <v>882</v>
      </c>
      <c r="F58" s="640" t="s">
        <v>882</v>
      </c>
      <c r="G58" s="639" t="s">
        <v>882</v>
      </c>
    </row>
    <row r="59" spans="3:7" ht="15">
      <c r="C59" s="83"/>
      <c r="D59" s="638"/>
      <c r="E59" s="638"/>
      <c r="F59" s="640"/>
      <c r="G59" s="639"/>
    </row>
    <row r="60" spans="3:7" ht="15">
      <c r="C60" s="83" t="s">
        <v>844</v>
      </c>
      <c r="D60" s="638">
        <v>183698161.00000003</v>
      </c>
      <c r="E60" s="638">
        <v>612556697.9999999</v>
      </c>
      <c r="F60" s="640">
        <v>342963936</v>
      </c>
      <c r="G60" s="639">
        <v>162065741</v>
      </c>
    </row>
    <row r="61" spans="3:7" ht="15">
      <c r="C61" s="83"/>
      <c r="D61" s="638"/>
      <c r="E61" s="638"/>
      <c r="F61" s="640"/>
      <c r="G61" s="639"/>
    </row>
    <row r="62" spans="3:7" ht="15.75" thickBot="1">
      <c r="C62" s="621"/>
      <c r="D62" s="627"/>
      <c r="E62" s="627"/>
      <c r="F62" s="628"/>
      <c r="G62" s="629"/>
    </row>
  </sheetData>
  <mergeCells count="3">
    <mergeCell ref="H10:I10"/>
    <mergeCell ref="H21:I21"/>
    <mergeCell ref="A4:I4"/>
  </mergeCells>
  <printOptions/>
  <pageMargins left="0.75" right="0.75" top="1" bottom="1" header="0.5" footer="0.5"/>
  <pageSetup fitToHeight="0" fitToWidth="1" horizontalDpi="600" verticalDpi="600" orientation="portrait" scale="69" r:id="rId1"/>
  <headerFooter alignWithMargins="0">
    <oddHeader>&amp;RUSPS-LR-L-41
Bound Printed Matter Spreadsheets
&amp;A</oddHeader>
    <oddFooter xml:space="preserve">&amp;CPage &amp;P of &amp;N&amp;R&amp;D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4.421875" style="0" customWidth="1"/>
    <col min="4" max="4" width="12.00390625" style="0" customWidth="1"/>
    <col min="5" max="5" width="14.7109375" style="0" customWidth="1"/>
    <col min="6" max="11" width="13.7109375" style="0" customWidth="1"/>
    <col min="12" max="12" width="14.7109375" style="0" customWidth="1"/>
  </cols>
  <sheetData>
    <row r="1" spans="1:12" ht="15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1:12" ht="15.75">
      <c r="A2" s="4"/>
      <c r="B2" s="5"/>
      <c r="C2" s="23"/>
      <c r="D2" s="23"/>
      <c r="E2" s="23"/>
      <c r="F2" s="23"/>
      <c r="G2" s="23"/>
      <c r="H2" s="23"/>
      <c r="I2" s="23"/>
      <c r="J2" s="23"/>
      <c r="K2" s="23"/>
      <c r="L2" s="655" t="s">
        <v>591</v>
      </c>
    </row>
    <row r="3" spans="1:12" ht="15.75">
      <c r="A3" s="4"/>
      <c r="B3" s="5"/>
      <c r="C3" s="23"/>
      <c r="D3" s="23"/>
      <c r="E3" s="23"/>
      <c r="F3" s="23"/>
      <c r="G3" s="23"/>
      <c r="H3" s="23"/>
      <c r="I3" s="23"/>
      <c r="J3" s="23"/>
      <c r="K3" s="23"/>
      <c r="L3" s="655" t="s">
        <v>643</v>
      </c>
    </row>
    <row r="4" spans="1:12" ht="18">
      <c r="A4" s="692" t="s">
        <v>486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4"/>
    </row>
    <row r="5" spans="1:12" ht="15.75" thickBot="1">
      <c r="A5" s="15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</row>
    <row r="6" spans="1:12" ht="15.75" thickTop="1">
      <c r="A6" s="4"/>
      <c r="B6" s="12"/>
      <c r="C6" s="113"/>
      <c r="D6" s="114"/>
      <c r="E6" s="114"/>
      <c r="F6" s="114"/>
      <c r="G6" s="114"/>
      <c r="H6" s="114"/>
      <c r="I6" s="114"/>
      <c r="J6" s="114"/>
      <c r="K6" s="114"/>
      <c r="L6" s="117"/>
    </row>
    <row r="7" spans="1:12" ht="15.75">
      <c r="A7" s="4"/>
      <c r="B7" s="12"/>
      <c r="C7" s="118" t="s">
        <v>838</v>
      </c>
      <c r="D7" s="115"/>
      <c r="E7" s="181"/>
      <c r="F7" s="115"/>
      <c r="G7" s="115"/>
      <c r="H7" s="115"/>
      <c r="I7" s="115"/>
      <c r="J7" s="115"/>
      <c r="K7" s="115"/>
      <c r="L7" s="119"/>
    </row>
    <row r="8" spans="1:12" ht="15.75" thickBot="1">
      <c r="A8" s="4"/>
      <c r="B8" s="12"/>
      <c r="C8" s="121"/>
      <c r="D8" s="121"/>
      <c r="E8" s="121"/>
      <c r="F8" s="121"/>
      <c r="G8" s="121"/>
      <c r="H8" s="121"/>
      <c r="I8" s="121"/>
      <c r="J8" s="121"/>
      <c r="K8" s="121"/>
      <c r="L8" s="182"/>
    </row>
    <row r="9" spans="1:12" ht="16.5" thickTop="1">
      <c r="A9" s="4"/>
      <c r="B9" s="5"/>
      <c r="C9" s="125"/>
      <c r="D9" s="183"/>
      <c r="E9" s="184"/>
      <c r="F9" s="185"/>
      <c r="G9" s="186"/>
      <c r="H9" s="85"/>
      <c r="I9" s="114"/>
      <c r="J9" s="184"/>
      <c r="K9" s="115"/>
      <c r="L9" s="119"/>
    </row>
    <row r="10" spans="1:12" ht="15.75">
      <c r="A10" s="4"/>
      <c r="B10" s="5"/>
      <c r="C10" s="702" t="s">
        <v>839</v>
      </c>
      <c r="D10" s="703"/>
      <c r="E10" s="699" t="s">
        <v>840</v>
      </c>
      <c r="F10" s="703"/>
      <c r="G10" s="706" t="s">
        <v>851</v>
      </c>
      <c r="H10" s="707"/>
      <c r="I10" s="707"/>
      <c r="J10" s="150"/>
      <c r="K10" s="116"/>
      <c r="L10" s="162"/>
    </row>
    <row r="11" spans="1:12" ht="15">
      <c r="A11" s="4"/>
      <c r="B11" s="5"/>
      <c r="C11" s="125"/>
      <c r="D11" s="183"/>
      <c r="E11" s="130"/>
      <c r="F11" s="187"/>
      <c r="G11" s="132"/>
      <c r="H11" s="188"/>
      <c r="I11" s="115"/>
      <c r="J11" s="130"/>
      <c r="K11" s="115"/>
      <c r="L11" s="119"/>
    </row>
    <row r="12" spans="1:12" ht="15.75">
      <c r="A12" s="4"/>
      <c r="B12" s="14" t="s">
        <v>151</v>
      </c>
      <c r="C12" s="704">
        <v>27880869</v>
      </c>
      <c r="D12" s="705"/>
      <c r="E12" s="708">
        <v>60526423</v>
      </c>
      <c r="F12" s="708"/>
      <c r="G12" s="134"/>
      <c r="H12" s="709">
        <v>61689841</v>
      </c>
      <c r="I12" s="709"/>
      <c r="J12" s="130"/>
      <c r="K12" s="115"/>
      <c r="L12" s="119"/>
    </row>
    <row r="13" spans="1:12" ht="16.5" thickBot="1">
      <c r="A13" s="4"/>
      <c r="B13" s="14"/>
      <c r="C13" s="135"/>
      <c r="D13" s="189"/>
      <c r="E13" s="137"/>
      <c r="F13" s="190"/>
      <c r="G13" s="137"/>
      <c r="H13" s="191"/>
      <c r="I13" s="136"/>
      <c r="J13" s="172"/>
      <c r="K13" s="136"/>
      <c r="L13" s="180"/>
    </row>
    <row r="14" spans="1:12" ht="15.75">
      <c r="A14" s="4"/>
      <c r="B14" s="14"/>
      <c r="C14" s="125"/>
      <c r="D14" s="115"/>
      <c r="E14" s="115"/>
      <c r="F14" s="115"/>
      <c r="G14" s="115"/>
      <c r="H14" s="141"/>
      <c r="I14" s="141"/>
      <c r="J14" s="141"/>
      <c r="K14" s="141"/>
      <c r="L14" s="192"/>
    </row>
    <row r="15" spans="1:12" ht="15.75">
      <c r="A15" s="4"/>
      <c r="B15" s="14"/>
      <c r="C15" s="118" t="s">
        <v>843</v>
      </c>
      <c r="D15" s="115"/>
      <c r="E15" s="115"/>
      <c r="F15" s="115"/>
      <c r="G15" s="115"/>
      <c r="H15" s="115"/>
      <c r="I15" s="115"/>
      <c r="J15" s="115"/>
      <c r="K15" s="115"/>
      <c r="L15" s="119"/>
    </row>
    <row r="16" spans="1:12" ht="16.5" thickBot="1">
      <c r="A16" s="4"/>
      <c r="B16" s="14"/>
      <c r="C16" s="120"/>
      <c r="D16" s="121"/>
      <c r="E16" s="121"/>
      <c r="F16" s="121"/>
      <c r="G16" s="121"/>
      <c r="H16" s="121"/>
      <c r="I16" s="121"/>
      <c r="J16" s="121"/>
      <c r="K16" s="121"/>
      <c r="L16" s="182"/>
    </row>
    <row r="17" spans="1:12" ht="16.5" thickTop="1">
      <c r="A17" s="4"/>
      <c r="B17" s="14"/>
      <c r="C17" s="118"/>
      <c r="D17" s="130"/>
      <c r="E17" s="115"/>
      <c r="F17" s="115"/>
      <c r="G17" s="115"/>
      <c r="H17" s="115"/>
      <c r="I17" s="115"/>
      <c r="J17" s="115"/>
      <c r="K17" s="115"/>
      <c r="L17" s="119"/>
    </row>
    <row r="18" spans="1:12" ht="15.75">
      <c r="A18" s="4"/>
      <c r="B18" s="14"/>
      <c r="C18" s="118"/>
      <c r="D18" s="699" t="s">
        <v>839</v>
      </c>
      <c r="E18" s="700"/>
      <c r="F18" s="700"/>
      <c r="G18" s="700"/>
      <c r="H18" s="700"/>
      <c r="I18" s="700"/>
      <c r="J18" s="700"/>
      <c r="K18" s="700"/>
      <c r="L18" s="701"/>
    </row>
    <row r="19" spans="1:12" ht="15.75">
      <c r="A19" s="4"/>
      <c r="B19" s="178"/>
      <c r="C19" s="153"/>
      <c r="D19" s="154"/>
      <c r="E19" s="82" t="s">
        <v>164</v>
      </c>
      <c r="F19" s="82" t="s">
        <v>165</v>
      </c>
      <c r="G19" s="82" t="s">
        <v>166</v>
      </c>
      <c r="H19" s="82" t="s">
        <v>167</v>
      </c>
      <c r="I19" s="82" t="s">
        <v>168</v>
      </c>
      <c r="J19" s="82" t="s">
        <v>169</v>
      </c>
      <c r="K19" s="82" t="s">
        <v>170</v>
      </c>
      <c r="L19" s="160" t="s">
        <v>171</v>
      </c>
    </row>
    <row r="20" spans="1:12" ht="15.75">
      <c r="A20" s="4"/>
      <c r="B20" s="178"/>
      <c r="C20" s="156" t="s">
        <v>853</v>
      </c>
      <c r="D20" s="157"/>
      <c r="E20" s="157"/>
      <c r="F20" s="157"/>
      <c r="G20" s="157"/>
      <c r="H20" s="157"/>
      <c r="I20" s="157"/>
      <c r="J20" s="157"/>
      <c r="K20" s="157"/>
      <c r="L20" s="193"/>
    </row>
    <row r="21" spans="1:12" ht="15.75">
      <c r="A21" s="4"/>
      <c r="B21" s="178"/>
      <c r="C21" s="81" t="s">
        <v>854</v>
      </c>
      <c r="D21" s="158"/>
      <c r="E21" s="158" t="s">
        <v>855</v>
      </c>
      <c r="F21" s="158" t="s">
        <v>856</v>
      </c>
      <c r="G21" s="158" t="s">
        <v>857</v>
      </c>
      <c r="H21" s="158" t="s">
        <v>858</v>
      </c>
      <c r="I21" s="158" t="s">
        <v>859</v>
      </c>
      <c r="J21" s="158" t="s">
        <v>860</v>
      </c>
      <c r="K21" s="158" t="s">
        <v>861</v>
      </c>
      <c r="L21" s="194" t="s">
        <v>844</v>
      </c>
    </row>
    <row r="22" spans="1:12" ht="15">
      <c r="A22" s="4"/>
      <c r="B22" s="12"/>
      <c r="C22" s="129"/>
      <c r="D22" s="161"/>
      <c r="E22" s="161"/>
      <c r="F22" s="161"/>
      <c r="G22" s="161"/>
      <c r="H22" s="161"/>
      <c r="I22" s="161"/>
      <c r="J22" s="161"/>
      <c r="K22" s="161"/>
      <c r="L22" s="195"/>
    </row>
    <row r="23" spans="1:12" ht="15.75">
      <c r="A23" s="4"/>
      <c r="B23" s="74" t="s">
        <v>152</v>
      </c>
      <c r="C23" s="83" t="s">
        <v>711</v>
      </c>
      <c r="D23" s="532"/>
      <c r="E23" s="532">
        <v>5312345.914249215</v>
      </c>
      <c r="F23" s="532">
        <v>1476776.8201588735</v>
      </c>
      <c r="G23" s="532">
        <v>1855632.4690118448</v>
      </c>
      <c r="H23" s="532">
        <v>1822821.106913354</v>
      </c>
      <c r="I23" s="532">
        <v>1125495.0955892543</v>
      </c>
      <c r="J23" s="532">
        <v>659367.6353034284</v>
      </c>
      <c r="K23" s="532">
        <v>1500395.3183342293</v>
      </c>
      <c r="L23" s="533">
        <v>13752834.3595602</v>
      </c>
    </row>
    <row r="24" spans="1:12" ht="15.75">
      <c r="A24" s="4"/>
      <c r="B24" s="74" t="s">
        <v>153</v>
      </c>
      <c r="C24" s="83" t="s">
        <v>862</v>
      </c>
      <c r="D24" s="532"/>
      <c r="E24" s="532">
        <v>1128321.143862508</v>
      </c>
      <c r="F24" s="532">
        <v>303608.04630352487</v>
      </c>
      <c r="G24" s="532">
        <v>513839.58986120217</v>
      </c>
      <c r="H24" s="532">
        <v>566094.1189721441</v>
      </c>
      <c r="I24" s="532">
        <v>307771.64273335895</v>
      </c>
      <c r="J24" s="532">
        <v>223482.27162600856</v>
      </c>
      <c r="K24" s="532">
        <v>278801.66345447337</v>
      </c>
      <c r="L24" s="533">
        <v>3321918.47681322</v>
      </c>
    </row>
    <row r="25" spans="1:12" ht="15.75">
      <c r="A25" s="4"/>
      <c r="B25" s="74" t="s">
        <v>154</v>
      </c>
      <c r="C25" s="83" t="s">
        <v>863</v>
      </c>
      <c r="D25" s="532"/>
      <c r="E25" s="532">
        <v>844419.8691949472</v>
      </c>
      <c r="F25" s="532">
        <v>258635.29166726585</v>
      </c>
      <c r="G25" s="532">
        <v>527924.7221462706</v>
      </c>
      <c r="H25" s="532">
        <v>604257.4322016407</v>
      </c>
      <c r="I25" s="532">
        <v>288061.78213085927</v>
      </c>
      <c r="J25" s="532">
        <v>197675.7196647134</v>
      </c>
      <c r="K25" s="532">
        <v>279367.12641799974</v>
      </c>
      <c r="L25" s="533">
        <v>3000341.943423697</v>
      </c>
    </row>
    <row r="26" spans="1:12" ht="15.75">
      <c r="A26" s="4"/>
      <c r="B26" s="74" t="s">
        <v>155</v>
      </c>
      <c r="C26" s="83" t="s">
        <v>864</v>
      </c>
      <c r="D26" s="532"/>
      <c r="E26" s="532">
        <v>859708.0533940626</v>
      </c>
      <c r="F26" s="532">
        <v>194947.54373460647</v>
      </c>
      <c r="G26" s="532">
        <v>444355.4790692416</v>
      </c>
      <c r="H26" s="532">
        <v>385442.28972648364</v>
      </c>
      <c r="I26" s="532">
        <v>158665.4412323586</v>
      </c>
      <c r="J26" s="532">
        <v>136573.1055991524</v>
      </c>
      <c r="K26" s="532">
        <v>162849.55705586646</v>
      </c>
      <c r="L26" s="533">
        <v>2342541.4698117715</v>
      </c>
    </row>
    <row r="27" spans="1:12" ht="15.75">
      <c r="A27" s="4"/>
      <c r="B27" s="74" t="s">
        <v>156</v>
      </c>
      <c r="C27" s="83" t="s">
        <v>865</v>
      </c>
      <c r="D27" s="532"/>
      <c r="E27" s="532">
        <v>570399.8645656655</v>
      </c>
      <c r="F27" s="532">
        <v>262414.5748416281</v>
      </c>
      <c r="G27" s="532">
        <v>295949.87808398705</v>
      </c>
      <c r="H27" s="532">
        <v>297049.051617123</v>
      </c>
      <c r="I27" s="532">
        <v>139149.90750631999</v>
      </c>
      <c r="J27" s="532">
        <v>50957.13317871856</v>
      </c>
      <c r="K27" s="532">
        <v>122469.72943425862</v>
      </c>
      <c r="L27" s="533">
        <v>1738390.1392277007</v>
      </c>
    </row>
    <row r="28" spans="1:12" ht="15.75">
      <c r="A28" s="4"/>
      <c r="B28" s="74" t="s">
        <v>157</v>
      </c>
      <c r="C28" s="83" t="s">
        <v>866</v>
      </c>
      <c r="D28" s="532"/>
      <c r="E28" s="532">
        <v>277464.87787725806</v>
      </c>
      <c r="F28" s="532">
        <v>148592.80812625517</v>
      </c>
      <c r="G28" s="532">
        <v>136512.33879943955</v>
      </c>
      <c r="H28" s="532">
        <v>138030.2008092455</v>
      </c>
      <c r="I28" s="532">
        <v>79615.78507833573</v>
      </c>
      <c r="J28" s="532">
        <v>31970.010050121648</v>
      </c>
      <c r="K28" s="532">
        <v>65852.02601328015</v>
      </c>
      <c r="L28" s="533">
        <v>878038.0467539359</v>
      </c>
    </row>
    <row r="29" spans="1:12" ht="15.75">
      <c r="A29" s="4"/>
      <c r="B29" s="74" t="s">
        <v>158</v>
      </c>
      <c r="C29" s="83" t="s">
        <v>867</v>
      </c>
      <c r="D29" s="532"/>
      <c r="E29" s="532">
        <v>201177.71670479784</v>
      </c>
      <c r="F29" s="532">
        <v>66874.82072083204</v>
      </c>
      <c r="G29" s="532">
        <v>80417.27383200097</v>
      </c>
      <c r="H29" s="532">
        <v>112945.91315142249</v>
      </c>
      <c r="I29" s="532">
        <v>58222.06385666663</v>
      </c>
      <c r="J29" s="532">
        <v>35668.19668277327</v>
      </c>
      <c r="K29" s="532">
        <v>61855.64292693137</v>
      </c>
      <c r="L29" s="533">
        <v>617161.6278754246</v>
      </c>
    </row>
    <row r="30" spans="1:12" ht="15.75">
      <c r="A30" s="4"/>
      <c r="B30" s="74" t="s">
        <v>159</v>
      </c>
      <c r="C30" s="83" t="s">
        <v>868</v>
      </c>
      <c r="D30" s="532"/>
      <c r="E30" s="532">
        <v>176850.06569117893</v>
      </c>
      <c r="F30" s="532">
        <v>52176.45718125824</v>
      </c>
      <c r="G30" s="532">
        <v>97013.72721657866</v>
      </c>
      <c r="H30" s="532">
        <v>90122.84599892449</v>
      </c>
      <c r="I30" s="532">
        <v>29380.680190233215</v>
      </c>
      <c r="J30" s="532">
        <v>23216.022911486667</v>
      </c>
      <c r="K30" s="532">
        <v>36956.81350758496</v>
      </c>
      <c r="L30" s="533">
        <v>505716.61269724515</v>
      </c>
    </row>
    <row r="31" spans="1:12" ht="15.75">
      <c r="A31" s="4"/>
      <c r="B31" s="74" t="s">
        <v>160</v>
      </c>
      <c r="C31" s="83" t="s">
        <v>869</v>
      </c>
      <c r="D31" s="532"/>
      <c r="E31" s="532">
        <v>183971.95869406537</v>
      </c>
      <c r="F31" s="532">
        <v>90488.74720317061</v>
      </c>
      <c r="G31" s="532">
        <v>76390.65103029071</v>
      </c>
      <c r="H31" s="532">
        <v>108442.45218536427</v>
      </c>
      <c r="I31" s="532">
        <v>51766.813917925174</v>
      </c>
      <c r="J31" s="532">
        <v>25007.593139926932</v>
      </c>
      <c r="K31" s="532">
        <v>41079.28237593294</v>
      </c>
      <c r="L31" s="533">
        <v>577147.498546676</v>
      </c>
    </row>
    <row r="32" spans="1:12" ht="15.75">
      <c r="A32" s="4"/>
      <c r="B32" s="74" t="s">
        <v>161</v>
      </c>
      <c r="C32" s="83" t="s">
        <v>870</v>
      </c>
      <c r="D32" s="532"/>
      <c r="E32" s="532">
        <v>117480.63772179685</v>
      </c>
      <c r="F32" s="532">
        <v>47130.33336271689</v>
      </c>
      <c r="G32" s="532">
        <v>84239.8916907524</v>
      </c>
      <c r="H32" s="532">
        <v>77458.77000365351</v>
      </c>
      <c r="I32" s="532">
        <v>50114.643506513414</v>
      </c>
      <c r="J32" s="532">
        <v>13583.389777282802</v>
      </c>
      <c r="K32" s="532">
        <v>30056.250715385446</v>
      </c>
      <c r="L32" s="533">
        <v>420063.9167781013</v>
      </c>
    </row>
    <row r="33" spans="1:12" ht="15.75">
      <c r="A33" s="4"/>
      <c r="B33" s="74" t="s">
        <v>162</v>
      </c>
      <c r="C33" s="83" t="s">
        <v>871</v>
      </c>
      <c r="D33" s="532"/>
      <c r="E33" s="532">
        <v>71711.51287570003</v>
      </c>
      <c r="F33" s="532">
        <v>29019.121388177176</v>
      </c>
      <c r="G33" s="532">
        <v>27050.4132010623</v>
      </c>
      <c r="H33" s="532">
        <v>38214.23310886653</v>
      </c>
      <c r="I33" s="532">
        <v>12015.30605733744</v>
      </c>
      <c r="J33" s="532">
        <v>14090.147899125606</v>
      </c>
      <c r="K33" s="532">
        <v>5959.849425597419</v>
      </c>
      <c r="L33" s="533">
        <v>198060.5839558665</v>
      </c>
    </row>
    <row r="34" spans="1:12" ht="15.75">
      <c r="A34" s="4"/>
      <c r="B34" s="74" t="s">
        <v>173</v>
      </c>
      <c r="C34" s="83" t="s">
        <v>872</v>
      </c>
      <c r="D34" s="532"/>
      <c r="E34" s="532">
        <v>37731.289804510525</v>
      </c>
      <c r="F34" s="532">
        <v>20805.463789205147</v>
      </c>
      <c r="G34" s="532">
        <v>22007.442789413246</v>
      </c>
      <c r="H34" s="532">
        <v>25422.723609790704</v>
      </c>
      <c r="I34" s="532">
        <v>19563.51446270266</v>
      </c>
      <c r="J34" s="532">
        <v>5862.870403200829</v>
      </c>
      <c r="K34" s="532">
        <v>17817.656809925582</v>
      </c>
      <c r="L34" s="533">
        <v>149210.9616687487</v>
      </c>
    </row>
    <row r="35" spans="1:12" ht="15.75">
      <c r="A35" s="4"/>
      <c r="B35" s="74" t="s">
        <v>174</v>
      </c>
      <c r="C35" s="83" t="s">
        <v>873</v>
      </c>
      <c r="D35" s="532"/>
      <c r="E35" s="532">
        <v>46830.86694069799</v>
      </c>
      <c r="F35" s="532">
        <v>9734.195425645934</v>
      </c>
      <c r="G35" s="532">
        <v>6565.399118755801</v>
      </c>
      <c r="H35" s="532">
        <v>7852.105999609647</v>
      </c>
      <c r="I35" s="532">
        <v>3765.388724711437</v>
      </c>
      <c r="J35" s="532">
        <v>5349.14761991621</v>
      </c>
      <c r="K35" s="532">
        <v>9727.052127485367</v>
      </c>
      <c r="L35" s="533">
        <v>89824.15595682239</v>
      </c>
    </row>
    <row r="36" spans="1:12" ht="15.75">
      <c r="A36" s="4"/>
      <c r="B36" s="74" t="s">
        <v>176</v>
      </c>
      <c r="C36" s="83" t="s">
        <v>134</v>
      </c>
      <c r="D36" s="532"/>
      <c r="E36" s="532">
        <v>35835.203629681724</v>
      </c>
      <c r="F36" s="532">
        <v>7294.637526095874</v>
      </c>
      <c r="G36" s="532">
        <v>19345.854738308786</v>
      </c>
      <c r="H36" s="532">
        <v>15296.711843042529</v>
      </c>
      <c r="I36" s="532">
        <v>22904.360092676303</v>
      </c>
      <c r="J36" s="532">
        <v>1646.9544148279847</v>
      </c>
      <c r="K36" s="532">
        <v>8741.398752058245</v>
      </c>
      <c r="L36" s="533">
        <v>111065.12099669145</v>
      </c>
    </row>
    <row r="37" spans="1:12" ht="15.75">
      <c r="A37" s="4"/>
      <c r="B37" s="74" t="s">
        <v>177</v>
      </c>
      <c r="C37" s="83" t="s">
        <v>135</v>
      </c>
      <c r="D37" s="532"/>
      <c r="E37" s="532">
        <v>22013.671667810202</v>
      </c>
      <c r="F37" s="532">
        <v>12781.388941994064</v>
      </c>
      <c r="G37" s="532">
        <v>14064.034976446774</v>
      </c>
      <c r="H37" s="532">
        <v>5967.633854918828</v>
      </c>
      <c r="I37" s="532">
        <v>2203.5889715518742</v>
      </c>
      <c r="J37" s="532">
        <v>1111.3068742322062</v>
      </c>
      <c r="K37" s="532">
        <v>15311.86201254772</v>
      </c>
      <c r="L37" s="533">
        <v>73453.48729950166</v>
      </c>
    </row>
    <row r="38" spans="1:12" ht="15.75">
      <c r="A38" s="4"/>
      <c r="B38" s="74" t="s">
        <v>183</v>
      </c>
      <c r="C38" s="83" t="s">
        <v>136</v>
      </c>
      <c r="D38" s="532"/>
      <c r="E38" s="532">
        <v>12733.319631173681</v>
      </c>
      <c r="F38" s="532">
        <v>3984.7941136195377</v>
      </c>
      <c r="G38" s="532">
        <v>2856.2446361458233</v>
      </c>
      <c r="H38" s="532">
        <v>5898.3113617166655</v>
      </c>
      <c r="I38" s="532">
        <v>6194.86733173617</v>
      </c>
      <c r="J38" s="532">
        <v>2963.3306612133747</v>
      </c>
      <c r="K38" s="532">
        <v>2625.733732236487</v>
      </c>
      <c r="L38" s="533">
        <v>37256.601467841734</v>
      </c>
    </row>
    <row r="39" spans="1:12" ht="15.75">
      <c r="A39" s="4"/>
      <c r="B39" s="74" t="s">
        <v>285</v>
      </c>
      <c r="C39" s="83" t="s">
        <v>137</v>
      </c>
      <c r="D39" s="532"/>
      <c r="E39" s="532">
        <v>3716.776239666593</v>
      </c>
      <c r="F39" s="532">
        <v>10307.838300266721</v>
      </c>
      <c r="G39" s="532">
        <v>4824.851020052656</v>
      </c>
      <c r="H39" s="532">
        <v>1780.078090954643</v>
      </c>
      <c r="I39" s="532">
        <v>7456.217646111158</v>
      </c>
      <c r="J39" s="532">
        <v>3800.664034288628</v>
      </c>
      <c r="K39" s="532">
        <v>1239.8872988963292</v>
      </c>
      <c r="L39" s="533">
        <v>33126.31263023673</v>
      </c>
    </row>
    <row r="40" spans="1:12" ht="15.75">
      <c r="A40" s="4"/>
      <c r="B40" s="74" t="s">
        <v>286</v>
      </c>
      <c r="C40" s="83" t="s">
        <v>138</v>
      </c>
      <c r="D40" s="532"/>
      <c r="E40" s="532">
        <v>9393.87034080531</v>
      </c>
      <c r="F40" s="532">
        <v>4339.423682187502</v>
      </c>
      <c r="G40" s="532">
        <v>5224.811399188065</v>
      </c>
      <c r="H40" s="532">
        <v>11822.926948775485</v>
      </c>
      <c r="I40" s="532">
        <v>938.2622365355361</v>
      </c>
      <c r="J40" s="532">
        <v>0</v>
      </c>
      <c r="K40" s="532">
        <v>2998.389928825617</v>
      </c>
      <c r="L40" s="533">
        <v>34717.68453631751</v>
      </c>
    </row>
    <row r="41" spans="1:12" ht="15.75">
      <c r="A41" s="4"/>
      <c r="B41" s="74"/>
      <c r="C41" s="83"/>
      <c r="D41" s="532"/>
      <c r="E41" s="532"/>
      <c r="F41" s="532"/>
      <c r="G41" s="532"/>
      <c r="H41" s="532"/>
      <c r="I41" s="532"/>
      <c r="J41" s="532"/>
      <c r="K41" s="532"/>
      <c r="L41" s="533"/>
    </row>
    <row r="42" spans="1:12" ht="15.75">
      <c r="A42" s="4"/>
      <c r="B42" s="74" t="s">
        <v>966</v>
      </c>
      <c r="C42" s="83" t="s">
        <v>844</v>
      </c>
      <c r="D42" s="532"/>
      <c r="E42" s="196">
        <f aca="true" t="shared" si="0" ref="E42:L42">SUM(E23:E40)</f>
        <v>9912106.613085542</v>
      </c>
      <c r="F42" s="196">
        <f t="shared" si="0"/>
        <v>2999912.306467323</v>
      </c>
      <c r="G42" s="196">
        <f t="shared" si="0"/>
        <v>4214215.072620982</v>
      </c>
      <c r="H42" s="196">
        <f t="shared" si="0"/>
        <v>4314918.906397033</v>
      </c>
      <c r="I42" s="196">
        <f t="shared" si="0"/>
        <v>2363285.3612651876</v>
      </c>
      <c r="J42" s="196">
        <f t="shared" si="0"/>
        <v>1432325.4998404176</v>
      </c>
      <c r="K42" s="196">
        <f t="shared" si="0"/>
        <v>2644105.240323516</v>
      </c>
      <c r="L42" s="197">
        <f t="shared" si="0"/>
        <v>27880868.999999993</v>
      </c>
    </row>
    <row r="43" spans="1:12" ht="15.75">
      <c r="A43" s="4"/>
      <c r="B43" s="202"/>
      <c r="C43" s="129"/>
      <c r="D43" s="168"/>
      <c r="E43" s="168"/>
      <c r="F43" s="168"/>
      <c r="G43" s="168"/>
      <c r="H43" s="168"/>
      <c r="I43" s="168"/>
      <c r="J43" s="168"/>
      <c r="K43" s="168"/>
      <c r="L43" s="200"/>
    </row>
    <row r="44" spans="1:12" ht="15.75" thickBot="1">
      <c r="A44" s="179"/>
      <c r="B44" s="6"/>
      <c r="C44" s="135"/>
      <c r="D44" s="170"/>
      <c r="E44" s="170"/>
      <c r="F44" s="170"/>
      <c r="G44" s="170"/>
      <c r="H44" s="170"/>
      <c r="I44" s="170"/>
      <c r="J44" s="170"/>
      <c r="K44" s="170"/>
      <c r="L44" s="201"/>
    </row>
    <row r="45" spans="1:12" ht="15">
      <c r="A45" s="4"/>
      <c r="B45" s="3"/>
      <c r="C45" s="125"/>
      <c r="D45" s="115"/>
      <c r="E45" s="115"/>
      <c r="F45" s="115"/>
      <c r="G45" s="115"/>
      <c r="H45" s="115"/>
      <c r="I45" s="115"/>
      <c r="J45" s="115"/>
      <c r="K45" s="115"/>
      <c r="L45" s="119"/>
    </row>
    <row r="46" spans="1:12" ht="15.75">
      <c r="A46" s="4"/>
      <c r="B46" s="74" t="s">
        <v>967</v>
      </c>
      <c r="C46" s="118" t="s">
        <v>845</v>
      </c>
      <c r="D46" s="115"/>
      <c r="E46" s="115"/>
      <c r="F46" s="115"/>
      <c r="G46" s="115"/>
      <c r="H46" s="115"/>
      <c r="I46" s="115"/>
      <c r="J46" s="115"/>
      <c r="K46" s="115"/>
      <c r="L46" s="612">
        <v>1.011289720276414</v>
      </c>
    </row>
    <row r="47" spans="1:12" ht="15.75" thickBot="1">
      <c r="A47" s="179"/>
      <c r="B47" s="6"/>
      <c r="C47" s="135"/>
      <c r="D47" s="136"/>
      <c r="E47" s="136"/>
      <c r="F47" s="136"/>
      <c r="G47" s="136"/>
      <c r="H47" s="136"/>
      <c r="I47" s="136"/>
      <c r="J47" s="136"/>
      <c r="K47" s="136"/>
      <c r="L47" s="180"/>
    </row>
  </sheetData>
  <mergeCells count="8">
    <mergeCell ref="D18:L18"/>
    <mergeCell ref="A4:L4"/>
    <mergeCell ref="C10:D10"/>
    <mergeCell ref="C12:D12"/>
    <mergeCell ref="G10:I10"/>
    <mergeCell ref="E10:F10"/>
    <mergeCell ref="E12:F12"/>
    <mergeCell ref="H12:I12"/>
  </mergeCells>
  <printOptions/>
  <pageMargins left="0.75" right="0.75" top="1" bottom="1" header="0.5" footer="0.5"/>
  <pageSetup fitToHeight="0" fitToWidth="1" horizontalDpi="600" verticalDpi="600" orientation="portrait" scale="62" r:id="rId1"/>
  <headerFooter alignWithMargins="0">
    <oddHeader>&amp;RUSPS-LR-L-41
Bound Printed Matter Spreadsheets
&amp;A</oddHeader>
    <oddFooter xml:space="preserve">&amp;CPage &amp;P of &amp;N&amp;R&amp;D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6.00390625" style="0" customWidth="1"/>
    <col min="4" max="4" width="4.7109375" style="0" customWidth="1"/>
    <col min="5" max="5" width="6.00390625" style="0" customWidth="1"/>
    <col min="6" max="13" width="14.7109375" style="0" customWidth="1"/>
    <col min="14" max="14" width="16.57421875" style="0" customWidth="1"/>
  </cols>
  <sheetData>
    <row r="1" spans="1:14" ht="15">
      <c r="A1" s="173"/>
      <c r="B1" s="174"/>
      <c r="C1" s="174"/>
      <c r="D1" s="174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 ht="15.75">
      <c r="A2" s="4"/>
      <c r="B2" s="5"/>
      <c r="C2" s="5"/>
      <c r="D2" s="5"/>
      <c r="E2" s="23"/>
      <c r="F2" s="23"/>
      <c r="G2" s="23"/>
      <c r="H2" s="23"/>
      <c r="I2" s="23"/>
      <c r="J2" s="23"/>
      <c r="K2" s="23"/>
      <c r="L2" s="23"/>
      <c r="M2" s="23"/>
      <c r="N2" s="655" t="s">
        <v>591</v>
      </c>
    </row>
    <row r="3" spans="1:14" ht="15.75">
      <c r="A3" s="4"/>
      <c r="B3" s="5"/>
      <c r="C3" s="5"/>
      <c r="D3" s="5"/>
      <c r="E3" s="23"/>
      <c r="F3" s="23"/>
      <c r="G3" s="23"/>
      <c r="H3" s="23"/>
      <c r="I3" s="23"/>
      <c r="J3" s="23"/>
      <c r="K3" s="23"/>
      <c r="L3" s="23"/>
      <c r="M3" s="23"/>
      <c r="N3" s="655" t="s">
        <v>644</v>
      </c>
    </row>
    <row r="4" spans="1:14" ht="18">
      <c r="A4" s="692" t="s">
        <v>488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4"/>
    </row>
    <row r="5" spans="1:14" ht="15.75" thickBot="1">
      <c r="A5" s="4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4" ht="15.75" thickTop="1">
      <c r="A6" s="173"/>
      <c r="B6" s="235"/>
      <c r="C6" s="116"/>
      <c r="D6" s="116"/>
      <c r="E6" s="115"/>
      <c r="F6" s="114"/>
      <c r="G6" s="114"/>
      <c r="H6" s="114"/>
      <c r="I6" s="114"/>
      <c r="J6" s="114"/>
      <c r="K6" s="114"/>
      <c r="L6" s="114"/>
      <c r="M6" s="114"/>
      <c r="N6" s="117"/>
    </row>
    <row r="7" spans="1:14" ht="18.75">
      <c r="A7" s="4"/>
      <c r="B7" s="12"/>
      <c r="C7" s="116"/>
      <c r="D7" s="203" t="s">
        <v>178</v>
      </c>
      <c r="E7" s="204"/>
      <c r="F7" s="115"/>
      <c r="G7" s="181"/>
      <c r="H7" s="115"/>
      <c r="I7" s="115"/>
      <c r="J7" s="115"/>
      <c r="K7" s="115"/>
      <c r="L7" s="115"/>
      <c r="M7" s="115"/>
      <c r="N7" s="119"/>
    </row>
    <row r="8" spans="1:14" ht="15.75" thickBot="1">
      <c r="A8" s="4"/>
      <c r="B8" s="12"/>
      <c r="C8" s="205"/>
      <c r="D8" s="122"/>
      <c r="E8" s="121"/>
      <c r="F8" s="121"/>
      <c r="G8" s="121"/>
      <c r="H8" s="121"/>
      <c r="I8" s="121"/>
      <c r="J8" s="121"/>
      <c r="K8" s="121"/>
      <c r="L8" s="121"/>
      <c r="M8" s="121"/>
      <c r="N8" s="182"/>
    </row>
    <row r="9" spans="1:14" ht="16.5" thickTop="1">
      <c r="A9" s="4"/>
      <c r="B9" s="12"/>
      <c r="C9" s="116"/>
      <c r="D9" s="116"/>
      <c r="E9" s="183"/>
      <c r="F9" s="183"/>
      <c r="G9" s="184"/>
      <c r="H9" s="185"/>
      <c r="I9" s="186"/>
      <c r="J9" s="85"/>
      <c r="K9" s="114"/>
      <c r="L9" s="184"/>
      <c r="M9" s="115"/>
      <c r="N9" s="119"/>
    </row>
    <row r="10" spans="1:14" ht="15.75">
      <c r="A10" s="4"/>
      <c r="B10" s="12"/>
      <c r="C10" s="116"/>
      <c r="D10" s="116"/>
      <c r="E10" s="700" t="s">
        <v>839</v>
      </c>
      <c r="F10" s="700"/>
      <c r="G10" s="699" t="s">
        <v>840</v>
      </c>
      <c r="H10" s="703"/>
      <c r="I10" s="706" t="s">
        <v>851</v>
      </c>
      <c r="J10" s="707"/>
      <c r="K10" s="707"/>
      <c r="L10" s="150"/>
      <c r="M10" s="116"/>
      <c r="N10" s="162"/>
    </row>
    <row r="11" spans="1:14" ht="15">
      <c r="A11" s="4"/>
      <c r="B11" s="12"/>
      <c r="C11" s="116"/>
      <c r="D11" s="116"/>
      <c r="E11" s="183"/>
      <c r="F11" s="183"/>
      <c r="G11" s="130"/>
      <c r="H11" s="187"/>
      <c r="I11" s="132"/>
      <c r="J11" s="188"/>
      <c r="K11" s="115"/>
      <c r="L11" s="130"/>
      <c r="M11" s="115"/>
      <c r="N11" s="119"/>
    </row>
    <row r="12" spans="1:14" ht="15.75">
      <c r="A12" s="4"/>
      <c r="B12" s="178" t="s">
        <v>151</v>
      </c>
      <c r="C12" s="206"/>
      <c r="D12" s="206"/>
      <c r="E12" s="708">
        <v>27880869</v>
      </c>
      <c r="F12" s="708"/>
      <c r="G12" s="714">
        <v>60526423</v>
      </c>
      <c r="H12" s="705"/>
      <c r="I12" s="526"/>
      <c r="J12" s="613">
        <v>61689841</v>
      </c>
      <c r="K12" s="115"/>
      <c r="L12" s="130"/>
      <c r="M12" s="115"/>
      <c r="N12" s="119"/>
    </row>
    <row r="13" spans="1:14" ht="16.5" thickBot="1">
      <c r="A13" s="4"/>
      <c r="B13" s="178"/>
      <c r="C13" s="208"/>
      <c r="D13" s="209"/>
      <c r="E13" s="210"/>
      <c r="F13" s="189"/>
      <c r="G13" s="137"/>
      <c r="H13" s="190"/>
      <c r="I13" s="137"/>
      <c r="J13" s="191"/>
      <c r="K13" s="136"/>
      <c r="L13" s="172"/>
      <c r="M13" s="136"/>
      <c r="N13" s="180"/>
    </row>
    <row r="14" spans="1:14" ht="15.75">
      <c r="A14" s="4"/>
      <c r="B14" s="178"/>
      <c r="C14" s="211"/>
      <c r="D14" s="212"/>
      <c r="E14" s="141"/>
      <c r="F14" s="141"/>
      <c r="G14" s="141"/>
      <c r="H14" s="141"/>
      <c r="I14" s="141"/>
      <c r="J14" s="141"/>
      <c r="K14" s="141"/>
      <c r="L14" s="141"/>
      <c r="M14" s="141"/>
      <c r="N14" s="192"/>
    </row>
    <row r="15" spans="1:14" ht="18.75">
      <c r="A15" s="4"/>
      <c r="B15" s="178"/>
      <c r="C15" s="213"/>
      <c r="D15" s="206" t="s">
        <v>179</v>
      </c>
      <c r="E15" s="204"/>
      <c r="F15" s="115"/>
      <c r="G15" s="115"/>
      <c r="H15" s="115"/>
      <c r="I15" s="115"/>
      <c r="J15" s="115"/>
      <c r="K15" s="115"/>
      <c r="L15" s="115"/>
      <c r="M15" s="115"/>
      <c r="N15" s="119"/>
    </row>
    <row r="16" spans="1:14" ht="16.5" thickBot="1">
      <c r="A16" s="4"/>
      <c r="B16" s="178"/>
      <c r="C16" s="214"/>
      <c r="D16" s="215"/>
      <c r="E16" s="216"/>
      <c r="F16" s="217"/>
      <c r="G16" s="217"/>
      <c r="H16" s="217"/>
      <c r="I16" s="217"/>
      <c r="J16" s="217"/>
      <c r="K16" s="217"/>
      <c r="L16" s="217"/>
      <c r="M16" s="217"/>
      <c r="N16" s="218"/>
    </row>
    <row r="17" spans="1:14" ht="16.5" thickTop="1">
      <c r="A17" s="4"/>
      <c r="B17" s="178"/>
      <c r="C17" s="715" t="s">
        <v>853</v>
      </c>
      <c r="D17" s="716"/>
      <c r="E17" s="717"/>
      <c r="F17" s="157"/>
      <c r="G17" s="157"/>
      <c r="H17" s="157"/>
      <c r="I17" s="157"/>
      <c r="J17" s="157"/>
      <c r="K17" s="157"/>
      <c r="L17" s="157"/>
      <c r="M17" s="157"/>
      <c r="N17" s="193"/>
    </row>
    <row r="18" spans="1:14" ht="15.75">
      <c r="A18" s="4"/>
      <c r="B18" s="178"/>
      <c r="C18" s="702" t="s">
        <v>854</v>
      </c>
      <c r="D18" s="700"/>
      <c r="E18" s="703"/>
      <c r="F18" s="157"/>
      <c r="G18" s="157" t="s">
        <v>855</v>
      </c>
      <c r="H18" s="157" t="s">
        <v>856</v>
      </c>
      <c r="I18" s="157" t="s">
        <v>857</v>
      </c>
      <c r="J18" s="157" t="s">
        <v>858</v>
      </c>
      <c r="K18" s="157" t="s">
        <v>859</v>
      </c>
      <c r="L18" s="157" t="s">
        <v>860</v>
      </c>
      <c r="M18" s="157" t="s">
        <v>861</v>
      </c>
      <c r="N18" s="193" t="s">
        <v>844</v>
      </c>
    </row>
    <row r="19" spans="1:14" ht="15.75">
      <c r="A19" s="4"/>
      <c r="B19" s="178"/>
      <c r="C19" s="718" t="s">
        <v>163</v>
      </c>
      <c r="D19" s="719"/>
      <c r="E19" s="720"/>
      <c r="F19" s="158"/>
      <c r="G19" s="158" t="s">
        <v>165</v>
      </c>
      <c r="H19" s="158" t="s">
        <v>166</v>
      </c>
      <c r="I19" s="158" t="s">
        <v>167</v>
      </c>
      <c r="J19" s="158" t="s">
        <v>168</v>
      </c>
      <c r="K19" s="158" t="s">
        <v>169</v>
      </c>
      <c r="L19" s="158" t="s">
        <v>170</v>
      </c>
      <c r="M19" s="158" t="s">
        <v>171</v>
      </c>
      <c r="N19" s="194" t="s">
        <v>172</v>
      </c>
    </row>
    <row r="20" spans="1:14" ht="15">
      <c r="A20" s="4"/>
      <c r="B20" s="12"/>
      <c r="C20" s="129"/>
      <c r="D20" s="116"/>
      <c r="E20" s="116"/>
      <c r="F20" s="219"/>
      <c r="G20" s="161"/>
      <c r="H20" s="161"/>
      <c r="I20" s="161"/>
      <c r="J20" s="161"/>
      <c r="K20" s="161"/>
      <c r="L20" s="161"/>
      <c r="M20" s="161"/>
      <c r="N20" s="195"/>
    </row>
    <row r="21" spans="1:14" ht="15.75">
      <c r="A21" s="4"/>
      <c r="B21" s="74" t="s">
        <v>152</v>
      </c>
      <c r="C21" s="220">
        <v>1</v>
      </c>
      <c r="D21" s="116" t="s">
        <v>874</v>
      </c>
      <c r="E21" s="221">
        <v>1.5</v>
      </c>
      <c r="F21" s="196"/>
      <c r="G21" s="196">
        <f>$E21*'FY2005 SP Billing Det.'!E23</f>
        <v>7968518.871373823</v>
      </c>
      <c r="H21" s="196">
        <f>$E21*'FY2005 SP Billing Det.'!F23</f>
        <v>2215165.23023831</v>
      </c>
      <c r="I21" s="196">
        <f>$E21*'FY2005 SP Billing Det.'!G23</f>
        <v>2783448.703517767</v>
      </c>
      <c r="J21" s="196">
        <f>$E21*'FY2005 SP Billing Det.'!H23</f>
        <v>2734231.660370031</v>
      </c>
      <c r="K21" s="196">
        <f>$E21*'FY2005 SP Billing Det.'!I23</f>
        <v>1688242.6433838815</v>
      </c>
      <c r="L21" s="196">
        <f>$E21*'FY2005 SP Billing Det.'!J23</f>
        <v>989051.4529551426</v>
      </c>
      <c r="M21" s="196">
        <f>$E21*'FY2005 SP Billing Det.'!K23</f>
        <v>2250592.977501344</v>
      </c>
      <c r="N21" s="197">
        <f>$E21*'FY2005 SP Billing Det.'!L23</f>
        <v>20629251.5393403</v>
      </c>
    </row>
    <row r="22" spans="1:14" ht="15.75">
      <c r="A22" s="4"/>
      <c r="B22" s="74" t="s">
        <v>153</v>
      </c>
      <c r="C22" s="220">
        <v>1.5</v>
      </c>
      <c r="D22" s="116" t="s">
        <v>874</v>
      </c>
      <c r="E22" s="221">
        <v>2</v>
      </c>
      <c r="F22" s="196"/>
      <c r="G22" s="196">
        <f>$E22*'FY2005 SP Billing Det.'!E24</f>
        <v>2256642.287725016</v>
      </c>
      <c r="H22" s="196">
        <f>$E22*'FY2005 SP Billing Det.'!F24</f>
        <v>607216.0926070497</v>
      </c>
      <c r="I22" s="196">
        <f>$E22*'FY2005 SP Billing Det.'!G24</f>
        <v>1027679.1797224043</v>
      </c>
      <c r="J22" s="196">
        <f>$E22*'FY2005 SP Billing Det.'!H24</f>
        <v>1132188.2379442882</v>
      </c>
      <c r="K22" s="196">
        <f>$E22*'FY2005 SP Billing Det.'!I24</f>
        <v>615543.2854667179</v>
      </c>
      <c r="L22" s="196">
        <f>$E22*'FY2005 SP Billing Det.'!J24</f>
        <v>446964.5432520171</v>
      </c>
      <c r="M22" s="196">
        <f>$E22*'FY2005 SP Billing Det.'!K24</f>
        <v>557603.3269089467</v>
      </c>
      <c r="N22" s="197">
        <f>$E22*'FY2005 SP Billing Det.'!L24</f>
        <v>6643836.95362644</v>
      </c>
    </row>
    <row r="23" spans="1:14" ht="15.75">
      <c r="A23" s="4"/>
      <c r="B23" s="74" t="s">
        <v>154</v>
      </c>
      <c r="C23" s="220">
        <v>2</v>
      </c>
      <c r="D23" s="116" t="s">
        <v>874</v>
      </c>
      <c r="E23" s="221">
        <v>2.5</v>
      </c>
      <c r="F23" s="196"/>
      <c r="G23" s="196">
        <f>$E23*'FY2005 SP Billing Det.'!E25</f>
        <v>2111049.672987368</v>
      </c>
      <c r="H23" s="196">
        <f>$E23*'FY2005 SP Billing Det.'!F25</f>
        <v>646588.2291681647</v>
      </c>
      <c r="I23" s="196">
        <f>$E23*'FY2005 SP Billing Det.'!G25</f>
        <v>1319811.8053656765</v>
      </c>
      <c r="J23" s="196">
        <f>$E23*'FY2005 SP Billing Det.'!H25</f>
        <v>1510643.5805041017</v>
      </c>
      <c r="K23" s="196">
        <f>$E23*'FY2005 SP Billing Det.'!I25</f>
        <v>720154.4553271482</v>
      </c>
      <c r="L23" s="196">
        <f>$E23*'FY2005 SP Billing Det.'!J25</f>
        <v>494189.2991617835</v>
      </c>
      <c r="M23" s="196">
        <f>$E23*'FY2005 SP Billing Det.'!K25</f>
        <v>698417.8160449993</v>
      </c>
      <c r="N23" s="197">
        <f>$E23*'FY2005 SP Billing Det.'!L25</f>
        <v>7500854.8585592415</v>
      </c>
    </row>
    <row r="24" spans="1:14" ht="15.75">
      <c r="A24" s="4"/>
      <c r="B24" s="74" t="s">
        <v>155</v>
      </c>
      <c r="C24" s="220">
        <v>2.5</v>
      </c>
      <c r="D24" s="116" t="s">
        <v>874</v>
      </c>
      <c r="E24" s="221">
        <v>3</v>
      </c>
      <c r="F24" s="196"/>
      <c r="G24" s="196">
        <f>$E24*'FY2005 SP Billing Det.'!E26</f>
        <v>2579124.160182188</v>
      </c>
      <c r="H24" s="196">
        <f>$E24*'FY2005 SP Billing Det.'!F26</f>
        <v>584842.6312038194</v>
      </c>
      <c r="I24" s="196">
        <f>$E24*'FY2005 SP Billing Det.'!G26</f>
        <v>1333066.437207725</v>
      </c>
      <c r="J24" s="196">
        <f>$E24*'FY2005 SP Billing Det.'!H26</f>
        <v>1156326.869179451</v>
      </c>
      <c r="K24" s="196">
        <f>$E24*'FY2005 SP Billing Det.'!I26</f>
        <v>475996.32369707583</v>
      </c>
      <c r="L24" s="196">
        <f>$E24*'FY2005 SP Billing Det.'!J26</f>
        <v>409719.31679745717</v>
      </c>
      <c r="M24" s="196">
        <f>$E24*'FY2005 SP Billing Det.'!K26</f>
        <v>488548.6711675994</v>
      </c>
      <c r="N24" s="197">
        <f>$E24*'FY2005 SP Billing Det.'!L26</f>
        <v>7027624.409435315</v>
      </c>
    </row>
    <row r="25" spans="1:14" ht="15.75">
      <c r="A25" s="4"/>
      <c r="B25" s="74" t="s">
        <v>156</v>
      </c>
      <c r="C25" s="220">
        <v>3</v>
      </c>
      <c r="D25" s="116" t="s">
        <v>874</v>
      </c>
      <c r="E25" s="221">
        <v>3.5</v>
      </c>
      <c r="F25" s="196"/>
      <c r="G25" s="196">
        <f>$E25*'FY2005 SP Billing Det.'!E27</f>
        <v>1996399.5259798293</v>
      </c>
      <c r="H25" s="196">
        <f>$E25*'FY2005 SP Billing Det.'!F27</f>
        <v>918451.0119456983</v>
      </c>
      <c r="I25" s="196">
        <f>$E25*'FY2005 SP Billing Det.'!G27</f>
        <v>1035824.5732939546</v>
      </c>
      <c r="J25" s="196">
        <f>$E25*'FY2005 SP Billing Det.'!H27</f>
        <v>1039671.6806599306</v>
      </c>
      <c r="K25" s="196">
        <f>$E25*'FY2005 SP Billing Det.'!I27</f>
        <v>487024.67627212</v>
      </c>
      <c r="L25" s="196">
        <f>$E25*'FY2005 SP Billing Det.'!J27</f>
        <v>178349.96612551497</v>
      </c>
      <c r="M25" s="196">
        <f>$E25*'FY2005 SP Billing Det.'!K27</f>
        <v>428644.0530199052</v>
      </c>
      <c r="N25" s="197">
        <f>$E25*'FY2005 SP Billing Det.'!L27</f>
        <v>6084365.487296952</v>
      </c>
    </row>
    <row r="26" spans="1:14" ht="15.75">
      <c r="A26" s="4"/>
      <c r="B26" s="74" t="s">
        <v>157</v>
      </c>
      <c r="C26" s="220">
        <v>3.5</v>
      </c>
      <c r="D26" s="116" t="s">
        <v>874</v>
      </c>
      <c r="E26" s="221">
        <v>4</v>
      </c>
      <c r="F26" s="196"/>
      <c r="G26" s="196">
        <f>$E26*'FY2005 SP Billing Det.'!E28</f>
        <v>1109859.5115090322</v>
      </c>
      <c r="H26" s="196">
        <f>$E26*'FY2005 SP Billing Det.'!F28</f>
        <v>594371.2325050207</v>
      </c>
      <c r="I26" s="196">
        <f>$E26*'FY2005 SP Billing Det.'!G28</f>
        <v>546049.3551977582</v>
      </c>
      <c r="J26" s="196">
        <f>$E26*'FY2005 SP Billing Det.'!H28</f>
        <v>552120.803236982</v>
      </c>
      <c r="K26" s="196">
        <f>$E26*'FY2005 SP Billing Det.'!I28</f>
        <v>318463.1403133429</v>
      </c>
      <c r="L26" s="196">
        <f>$E26*'FY2005 SP Billing Det.'!J28</f>
        <v>127880.04020048659</v>
      </c>
      <c r="M26" s="196">
        <f>$E26*'FY2005 SP Billing Det.'!K28</f>
        <v>263408.1040531206</v>
      </c>
      <c r="N26" s="197">
        <f>$E26*'FY2005 SP Billing Det.'!L28</f>
        <v>3512152.1870157435</v>
      </c>
    </row>
    <row r="27" spans="1:14" ht="15.75">
      <c r="A27" s="4"/>
      <c r="B27" s="74" t="s">
        <v>158</v>
      </c>
      <c r="C27" s="220">
        <v>4</v>
      </c>
      <c r="D27" s="116" t="s">
        <v>874</v>
      </c>
      <c r="E27" s="221">
        <v>4.5</v>
      </c>
      <c r="F27" s="196"/>
      <c r="G27" s="196">
        <f>$E27*'FY2005 SP Billing Det.'!E29</f>
        <v>905299.7251715903</v>
      </c>
      <c r="H27" s="196">
        <f>$E27*'FY2005 SP Billing Det.'!F29</f>
        <v>300936.6932437442</v>
      </c>
      <c r="I27" s="196">
        <f>$E27*'FY2005 SP Billing Det.'!G29</f>
        <v>361877.7322440044</v>
      </c>
      <c r="J27" s="196">
        <f>$E27*'FY2005 SP Billing Det.'!H29</f>
        <v>508256.6091814012</v>
      </c>
      <c r="K27" s="196">
        <f>$E27*'FY2005 SP Billing Det.'!I29</f>
        <v>261999.28735499983</v>
      </c>
      <c r="L27" s="196">
        <f>$E27*'FY2005 SP Billing Det.'!J29</f>
        <v>160506.88507247972</v>
      </c>
      <c r="M27" s="196">
        <f>$E27*'FY2005 SP Billing Det.'!K29</f>
        <v>278350.39317119116</v>
      </c>
      <c r="N27" s="197">
        <f>$E27*'FY2005 SP Billing Det.'!L29</f>
        <v>2777227.3254394107</v>
      </c>
    </row>
    <row r="28" spans="1:14" ht="15.75">
      <c r="A28" s="4"/>
      <c r="B28" s="74" t="s">
        <v>159</v>
      </c>
      <c r="C28" s="220">
        <v>4.5</v>
      </c>
      <c r="D28" s="116" t="s">
        <v>874</v>
      </c>
      <c r="E28" s="221">
        <v>5</v>
      </c>
      <c r="F28" s="196"/>
      <c r="G28" s="196">
        <f>$E28*'FY2005 SP Billing Det.'!E30</f>
        <v>884250.3284558946</v>
      </c>
      <c r="H28" s="196">
        <f>$E28*'FY2005 SP Billing Det.'!F30</f>
        <v>260882.28590629122</v>
      </c>
      <c r="I28" s="196">
        <f>$E28*'FY2005 SP Billing Det.'!G30</f>
        <v>485068.6360828933</v>
      </c>
      <c r="J28" s="196">
        <f>$E28*'FY2005 SP Billing Det.'!H30</f>
        <v>450614.2299946224</v>
      </c>
      <c r="K28" s="196">
        <f>$E28*'FY2005 SP Billing Det.'!I30</f>
        <v>146903.40095116608</v>
      </c>
      <c r="L28" s="196">
        <f>$E28*'FY2005 SP Billing Det.'!J30</f>
        <v>116080.11455743333</v>
      </c>
      <c r="M28" s="196">
        <f>$E28*'FY2005 SP Billing Det.'!K30</f>
        <v>184784.0675379248</v>
      </c>
      <c r="N28" s="197">
        <f>$E28*'FY2005 SP Billing Det.'!L30</f>
        <v>2528583.063486226</v>
      </c>
    </row>
    <row r="29" spans="1:14" ht="15.75">
      <c r="A29" s="4"/>
      <c r="B29" s="74" t="s">
        <v>160</v>
      </c>
      <c r="C29" s="220">
        <v>5</v>
      </c>
      <c r="D29" s="116" t="s">
        <v>874</v>
      </c>
      <c r="E29" s="221">
        <v>6</v>
      </c>
      <c r="F29" s="196"/>
      <c r="G29" s="196">
        <f>$E29*'FY2005 SP Billing Det.'!E31</f>
        <v>1103831.7521643923</v>
      </c>
      <c r="H29" s="196">
        <f>$E29*'FY2005 SP Billing Det.'!F31</f>
        <v>542932.4832190237</v>
      </c>
      <c r="I29" s="196">
        <f>$E29*'FY2005 SP Billing Det.'!G31</f>
        <v>458343.9061817443</v>
      </c>
      <c r="J29" s="196">
        <f>$E29*'FY2005 SP Billing Det.'!H31</f>
        <v>650654.7131121856</v>
      </c>
      <c r="K29" s="196">
        <f>$E29*'FY2005 SP Billing Det.'!I31</f>
        <v>310600.88350755104</v>
      </c>
      <c r="L29" s="196">
        <f>$E29*'FY2005 SP Billing Det.'!J31</f>
        <v>150045.5588395616</v>
      </c>
      <c r="M29" s="196">
        <f>$E29*'FY2005 SP Billing Det.'!K31</f>
        <v>246475.69425559766</v>
      </c>
      <c r="N29" s="197">
        <f>$E29*'FY2005 SP Billing Det.'!L31</f>
        <v>3462884.991280056</v>
      </c>
    </row>
    <row r="30" spans="1:14" ht="15.75">
      <c r="A30" s="4"/>
      <c r="B30" s="74" t="s">
        <v>161</v>
      </c>
      <c r="C30" s="220">
        <v>6</v>
      </c>
      <c r="D30" s="116" t="s">
        <v>874</v>
      </c>
      <c r="E30" s="221">
        <v>7</v>
      </c>
      <c r="F30" s="196"/>
      <c r="G30" s="196">
        <f>$E30*'FY2005 SP Billing Det.'!E32</f>
        <v>822364.464052578</v>
      </c>
      <c r="H30" s="196">
        <f>$E30*'FY2005 SP Billing Det.'!F32</f>
        <v>329912.33353901823</v>
      </c>
      <c r="I30" s="196">
        <f>$E30*'FY2005 SP Billing Det.'!G32</f>
        <v>589679.2418352668</v>
      </c>
      <c r="J30" s="196">
        <f>$E30*'FY2005 SP Billing Det.'!H32</f>
        <v>542211.3900255746</v>
      </c>
      <c r="K30" s="196">
        <f>$E30*'FY2005 SP Billing Det.'!I32</f>
        <v>350802.50454559387</v>
      </c>
      <c r="L30" s="196">
        <f>$E30*'FY2005 SP Billing Det.'!J32</f>
        <v>95083.72844097961</v>
      </c>
      <c r="M30" s="196">
        <f>$E30*'FY2005 SP Billing Det.'!K32</f>
        <v>210393.7550076981</v>
      </c>
      <c r="N30" s="197">
        <f>$E30*'FY2005 SP Billing Det.'!L32</f>
        <v>2940447.4174467092</v>
      </c>
    </row>
    <row r="31" spans="1:14" ht="15.75">
      <c r="A31" s="4"/>
      <c r="B31" s="74" t="s">
        <v>162</v>
      </c>
      <c r="C31" s="220">
        <v>7</v>
      </c>
      <c r="D31" s="116" t="s">
        <v>874</v>
      </c>
      <c r="E31" s="221">
        <v>8</v>
      </c>
      <c r="F31" s="196"/>
      <c r="G31" s="196">
        <f>$E31*'FY2005 SP Billing Det.'!E33</f>
        <v>573692.1030056003</v>
      </c>
      <c r="H31" s="196">
        <f>$E31*'FY2005 SP Billing Det.'!F33</f>
        <v>232152.9711054174</v>
      </c>
      <c r="I31" s="196">
        <f>$E31*'FY2005 SP Billing Det.'!G33</f>
        <v>216403.3056084984</v>
      </c>
      <c r="J31" s="196">
        <f>$E31*'FY2005 SP Billing Det.'!H33</f>
        <v>305713.86487093224</v>
      </c>
      <c r="K31" s="196">
        <f>$E31*'FY2005 SP Billing Det.'!I33</f>
        <v>96122.44845869952</v>
      </c>
      <c r="L31" s="196">
        <f>$E31*'FY2005 SP Billing Det.'!J33</f>
        <v>112721.18319300485</v>
      </c>
      <c r="M31" s="196">
        <f>$E31*'FY2005 SP Billing Det.'!K33</f>
        <v>47678.795404779354</v>
      </c>
      <c r="N31" s="197">
        <f>$E31*'FY2005 SP Billing Det.'!L33</f>
        <v>1584484.671646932</v>
      </c>
    </row>
    <row r="32" spans="1:14" ht="15.75">
      <c r="A32" s="4"/>
      <c r="B32" s="74" t="s">
        <v>173</v>
      </c>
      <c r="C32" s="220">
        <v>8</v>
      </c>
      <c r="D32" s="116" t="s">
        <v>874</v>
      </c>
      <c r="E32" s="221">
        <v>9</v>
      </c>
      <c r="F32" s="196"/>
      <c r="G32" s="196">
        <f>$E32*'FY2005 SP Billing Det.'!E34</f>
        <v>339581.60824059474</v>
      </c>
      <c r="H32" s="196">
        <f>$E32*'FY2005 SP Billing Det.'!F34</f>
        <v>187249.17410284633</v>
      </c>
      <c r="I32" s="196">
        <f>$E32*'FY2005 SP Billing Det.'!G34</f>
        <v>198066.9851047192</v>
      </c>
      <c r="J32" s="196">
        <f>$E32*'FY2005 SP Billing Det.'!H34</f>
        <v>228804.51248811634</v>
      </c>
      <c r="K32" s="196">
        <f>$E32*'FY2005 SP Billing Det.'!I34</f>
        <v>176071.63016432396</v>
      </c>
      <c r="L32" s="196">
        <f>$E32*'FY2005 SP Billing Det.'!J34</f>
        <v>52765.833628807464</v>
      </c>
      <c r="M32" s="196">
        <f>$E32*'FY2005 SP Billing Det.'!K34</f>
        <v>160358.91128933022</v>
      </c>
      <c r="N32" s="197">
        <f>$E32*'FY2005 SP Billing Det.'!L34</f>
        <v>1342898.6550187382</v>
      </c>
    </row>
    <row r="33" spans="1:14" ht="15.75">
      <c r="A33" s="4"/>
      <c r="B33" s="74" t="s">
        <v>174</v>
      </c>
      <c r="C33" s="220">
        <v>9</v>
      </c>
      <c r="D33" s="116" t="s">
        <v>874</v>
      </c>
      <c r="E33" s="221">
        <v>10</v>
      </c>
      <c r="F33" s="196"/>
      <c r="G33" s="196">
        <f>$E33*'FY2005 SP Billing Det.'!E35</f>
        <v>468308.6694069799</v>
      </c>
      <c r="H33" s="196">
        <f>$E33*'FY2005 SP Billing Det.'!F35</f>
        <v>97341.95425645934</v>
      </c>
      <c r="I33" s="196">
        <f>$E33*'FY2005 SP Billing Det.'!G35</f>
        <v>65653.99118755801</v>
      </c>
      <c r="J33" s="196">
        <f>$E33*'FY2005 SP Billing Det.'!H35</f>
        <v>78521.05999609648</v>
      </c>
      <c r="K33" s="196">
        <f>$E33*'FY2005 SP Billing Det.'!I35</f>
        <v>37653.88724711437</v>
      </c>
      <c r="L33" s="196">
        <f>$E33*'FY2005 SP Billing Det.'!J35</f>
        <v>53491.4761991621</v>
      </c>
      <c r="M33" s="196">
        <f>$E33*'FY2005 SP Billing Det.'!K35</f>
        <v>97270.52127485367</v>
      </c>
      <c r="N33" s="197">
        <f>$E33*'FY2005 SP Billing Det.'!L35</f>
        <v>898241.5595682239</v>
      </c>
    </row>
    <row r="34" spans="1:14" ht="15.75">
      <c r="A34" s="4"/>
      <c r="B34" s="74" t="s">
        <v>176</v>
      </c>
      <c r="C34" s="220">
        <v>10</v>
      </c>
      <c r="D34" s="116" t="s">
        <v>874</v>
      </c>
      <c r="E34" s="221">
        <v>11</v>
      </c>
      <c r="F34" s="196"/>
      <c r="G34" s="196">
        <f>$E34*'FY2005 SP Billing Det.'!E36</f>
        <v>394187.23992649897</v>
      </c>
      <c r="H34" s="196">
        <f>$E34*'FY2005 SP Billing Det.'!F36</f>
        <v>80241.01278705461</v>
      </c>
      <c r="I34" s="196">
        <f>$E34*'FY2005 SP Billing Det.'!G36</f>
        <v>212804.40212139665</v>
      </c>
      <c r="J34" s="196">
        <f>$E34*'FY2005 SP Billing Det.'!H36</f>
        <v>168263.8302734678</v>
      </c>
      <c r="K34" s="196">
        <f>$E34*'FY2005 SP Billing Det.'!I36</f>
        <v>251947.96101943933</v>
      </c>
      <c r="L34" s="196">
        <f>$E34*'FY2005 SP Billing Det.'!J36</f>
        <v>18116.49856310783</v>
      </c>
      <c r="M34" s="196">
        <f>$E34*'FY2005 SP Billing Det.'!K36</f>
        <v>96155.3862726407</v>
      </c>
      <c r="N34" s="197">
        <f>$E34*'FY2005 SP Billing Det.'!L36</f>
        <v>1221716.330963606</v>
      </c>
    </row>
    <row r="35" spans="1:14" ht="15.75">
      <c r="A35" s="4"/>
      <c r="B35" s="74" t="s">
        <v>177</v>
      </c>
      <c r="C35" s="220">
        <v>11</v>
      </c>
      <c r="D35" s="116" t="s">
        <v>874</v>
      </c>
      <c r="E35" s="221">
        <v>12</v>
      </c>
      <c r="F35" s="196"/>
      <c r="G35" s="196">
        <f>$E35*'FY2005 SP Billing Det.'!E37</f>
        <v>264164.0600137224</v>
      </c>
      <c r="H35" s="196">
        <f>$E35*'FY2005 SP Billing Det.'!F37</f>
        <v>153376.66730392876</v>
      </c>
      <c r="I35" s="196">
        <f>$E35*'FY2005 SP Billing Det.'!G37</f>
        <v>168768.41971736128</v>
      </c>
      <c r="J35" s="196">
        <f>$E35*'FY2005 SP Billing Det.'!H37</f>
        <v>71611.60625902592</v>
      </c>
      <c r="K35" s="196">
        <f>$E35*'FY2005 SP Billing Det.'!I37</f>
        <v>26443.06765862249</v>
      </c>
      <c r="L35" s="196">
        <f>$E35*'FY2005 SP Billing Det.'!J37</f>
        <v>13335.682490786474</v>
      </c>
      <c r="M35" s="196">
        <f>$E35*'FY2005 SP Billing Det.'!K37</f>
        <v>183742.34415057264</v>
      </c>
      <c r="N35" s="197">
        <f>$E35*'FY2005 SP Billing Det.'!L37</f>
        <v>881441.84759402</v>
      </c>
    </row>
    <row r="36" spans="1:14" ht="15.75">
      <c r="A36" s="4"/>
      <c r="B36" s="74" t="s">
        <v>183</v>
      </c>
      <c r="C36" s="220">
        <v>12</v>
      </c>
      <c r="D36" s="116" t="s">
        <v>874</v>
      </c>
      <c r="E36" s="221">
        <v>13</v>
      </c>
      <c r="F36" s="196"/>
      <c r="G36" s="196">
        <f>$E36*'FY2005 SP Billing Det.'!E38</f>
        <v>165533.15520525785</v>
      </c>
      <c r="H36" s="196">
        <f>$E36*'FY2005 SP Billing Det.'!F38</f>
        <v>51802.32347705399</v>
      </c>
      <c r="I36" s="196">
        <f>$E36*'FY2005 SP Billing Det.'!G38</f>
        <v>37131.1802698957</v>
      </c>
      <c r="J36" s="196">
        <f>$E36*'FY2005 SP Billing Det.'!H38</f>
        <v>76678.04770231665</v>
      </c>
      <c r="K36" s="196">
        <f>$E36*'FY2005 SP Billing Det.'!I38</f>
        <v>80533.27531257021</v>
      </c>
      <c r="L36" s="196">
        <f>$E36*'FY2005 SP Billing Det.'!J38</f>
        <v>38523.29859577387</v>
      </c>
      <c r="M36" s="196">
        <f>$E36*'FY2005 SP Billing Det.'!K38</f>
        <v>34134.53851907433</v>
      </c>
      <c r="N36" s="197">
        <f>$E36*'FY2005 SP Billing Det.'!L38</f>
        <v>484335.81908194255</v>
      </c>
    </row>
    <row r="37" spans="1:14" ht="15.75">
      <c r="A37" s="4"/>
      <c r="B37" s="74" t="s">
        <v>285</v>
      </c>
      <c r="C37" s="220">
        <v>13</v>
      </c>
      <c r="D37" s="116" t="s">
        <v>874</v>
      </c>
      <c r="E37" s="221">
        <v>14</v>
      </c>
      <c r="F37" s="196"/>
      <c r="G37" s="196">
        <f>$E37*'FY2005 SP Billing Det.'!E39</f>
        <v>52034.8673553323</v>
      </c>
      <c r="H37" s="196">
        <f>$E37*'FY2005 SP Billing Det.'!F39</f>
        <v>144309.7362037341</v>
      </c>
      <c r="I37" s="196">
        <f>$E37*'FY2005 SP Billing Det.'!G39</f>
        <v>67547.91428073718</v>
      </c>
      <c r="J37" s="196">
        <f>$E37*'FY2005 SP Billing Det.'!H39</f>
        <v>24921.093273365</v>
      </c>
      <c r="K37" s="196">
        <f>$E37*'FY2005 SP Billing Det.'!I39</f>
        <v>104387.0470455562</v>
      </c>
      <c r="L37" s="196">
        <f>$E37*'FY2005 SP Billing Det.'!J39</f>
        <v>53209.29648004079</v>
      </c>
      <c r="M37" s="196">
        <f>$E37*'FY2005 SP Billing Det.'!K39</f>
        <v>17358.42218454861</v>
      </c>
      <c r="N37" s="197">
        <f>$E37*'FY2005 SP Billing Det.'!L39</f>
        <v>463768.37682331423</v>
      </c>
    </row>
    <row r="38" spans="1:14" ht="15.75">
      <c r="A38" s="4"/>
      <c r="B38" s="74" t="s">
        <v>286</v>
      </c>
      <c r="C38" s="220">
        <v>14</v>
      </c>
      <c r="D38" s="116" t="s">
        <v>874</v>
      </c>
      <c r="E38" s="221">
        <v>15</v>
      </c>
      <c r="F38" s="196"/>
      <c r="G38" s="196">
        <f>$E38*'FY2005 SP Billing Det.'!E40</f>
        <v>140908.05511207966</v>
      </c>
      <c r="H38" s="196">
        <f>$E38*'FY2005 SP Billing Det.'!F40</f>
        <v>65091.35523281253</v>
      </c>
      <c r="I38" s="196">
        <f>$E38*'FY2005 SP Billing Det.'!G40</f>
        <v>78372.17098782097</v>
      </c>
      <c r="J38" s="196">
        <f>$E38*'FY2005 SP Billing Det.'!H40</f>
        <v>177343.90423163227</v>
      </c>
      <c r="K38" s="196">
        <f>$E38*'FY2005 SP Billing Det.'!I40</f>
        <v>14073.933548033041</v>
      </c>
      <c r="L38" s="196">
        <f>$E38*'FY2005 SP Billing Det.'!J40</f>
        <v>0</v>
      </c>
      <c r="M38" s="196">
        <f>$E38*'FY2005 SP Billing Det.'!K40</f>
        <v>44975.84893238426</v>
      </c>
      <c r="N38" s="197">
        <f>$E38*'FY2005 SP Billing Det.'!L40</f>
        <v>520765.26804476266</v>
      </c>
    </row>
    <row r="39" spans="1:14" ht="15.75">
      <c r="A39" s="4"/>
      <c r="B39" s="74"/>
      <c r="C39" s="129"/>
      <c r="D39" s="116"/>
      <c r="E39" s="84"/>
      <c r="F39" s="198"/>
      <c r="G39" s="198"/>
      <c r="H39" s="198"/>
      <c r="I39" s="198"/>
      <c r="J39" s="198"/>
      <c r="K39" s="198"/>
      <c r="L39" s="198"/>
      <c r="M39" s="198"/>
      <c r="N39" s="199"/>
    </row>
    <row r="40" spans="1:14" ht="18.75">
      <c r="A40" s="4"/>
      <c r="B40" s="74" t="s">
        <v>966</v>
      </c>
      <c r="C40" s="679" t="s">
        <v>180</v>
      </c>
      <c r="D40" s="680"/>
      <c r="E40" s="680"/>
      <c r="F40" s="198"/>
      <c r="G40" s="198">
        <f aca="true" t="shared" si="0" ref="G40:N40">SUM(G21:G38)</f>
        <v>24135750.057867773</v>
      </c>
      <c r="H40" s="198">
        <f t="shared" si="0"/>
        <v>8012863.418045447</v>
      </c>
      <c r="I40" s="198">
        <f t="shared" si="0"/>
        <v>10985597.939927181</v>
      </c>
      <c r="J40" s="198">
        <f t="shared" si="0"/>
        <v>11408777.693303518</v>
      </c>
      <c r="K40" s="198">
        <f t="shared" si="0"/>
        <v>6162963.851273956</v>
      </c>
      <c r="L40" s="198">
        <f t="shared" si="0"/>
        <v>3510034.1745535396</v>
      </c>
      <c r="M40" s="198">
        <f t="shared" si="0"/>
        <v>6288893.626696512</v>
      </c>
      <c r="N40" s="199">
        <f t="shared" si="0"/>
        <v>70504880.76166795</v>
      </c>
    </row>
    <row r="41" spans="1:14" ht="15.75">
      <c r="A41" s="4"/>
      <c r="B41" s="202"/>
      <c r="C41" s="125"/>
      <c r="D41" s="115"/>
      <c r="E41" s="116"/>
      <c r="F41" s="168"/>
      <c r="G41" s="168"/>
      <c r="H41" s="168"/>
      <c r="I41" s="168"/>
      <c r="J41" s="168"/>
      <c r="K41" s="168"/>
      <c r="L41" s="168"/>
      <c r="M41" s="168"/>
      <c r="N41" s="200"/>
    </row>
    <row r="42" spans="1:14" ht="15.75">
      <c r="A42" s="4"/>
      <c r="B42" s="202"/>
      <c r="C42" s="710" t="s">
        <v>875</v>
      </c>
      <c r="D42" s="711"/>
      <c r="E42" s="711"/>
      <c r="F42" s="168"/>
      <c r="G42" s="168"/>
      <c r="H42" s="168"/>
      <c r="I42" s="168"/>
      <c r="J42" s="168"/>
      <c r="K42" s="168"/>
      <c r="L42" s="168"/>
      <c r="M42" s="168"/>
      <c r="N42" s="200"/>
    </row>
    <row r="43" spans="1:14" ht="18.75">
      <c r="A43" s="4"/>
      <c r="B43" s="202" t="s">
        <v>967</v>
      </c>
      <c r="C43" s="710" t="s">
        <v>181</v>
      </c>
      <c r="D43" s="711"/>
      <c r="E43" s="711"/>
      <c r="F43" s="166"/>
      <c r="G43" s="166">
        <f aca="true" t="shared" si="1" ref="G43:N43">+G40*$N$46</f>
        <v>20719850.9045492</v>
      </c>
      <c r="H43" s="166">
        <f t="shared" si="1"/>
        <v>6878813.9975909805</v>
      </c>
      <c r="I43" s="166">
        <f t="shared" si="1"/>
        <v>9430821.535144895</v>
      </c>
      <c r="J43" s="166">
        <f t="shared" si="1"/>
        <v>9794109.24631024</v>
      </c>
      <c r="K43" s="166">
        <f t="shared" si="1"/>
        <v>5290728.144862291</v>
      </c>
      <c r="L43" s="166">
        <f t="shared" si="1"/>
        <v>3013263.9173114942</v>
      </c>
      <c r="M43" s="166">
        <f t="shared" si="1"/>
        <v>5398835.2542308755</v>
      </c>
      <c r="N43" s="223">
        <f t="shared" si="1"/>
        <v>60526423</v>
      </c>
    </row>
    <row r="44" spans="1:14" ht="16.5" thickBot="1">
      <c r="A44" s="4"/>
      <c r="B44" s="202"/>
      <c r="C44" s="712"/>
      <c r="D44" s="713"/>
      <c r="E44" s="713"/>
      <c r="F44" s="170"/>
      <c r="G44" s="170"/>
      <c r="H44" s="170"/>
      <c r="I44" s="170"/>
      <c r="J44" s="170"/>
      <c r="K44" s="170"/>
      <c r="L44" s="170"/>
      <c r="M44" s="170"/>
      <c r="N44" s="201"/>
    </row>
    <row r="45" spans="1:14" ht="15.75">
      <c r="A45" s="4"/>
      <c r="B45" s="202"/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92"/>
    </row>
    <row r="46" spans="1:14" ht="18.75">
      <c r="A46" s="4"/>
      <c r="B46" s="202" t="s">
        <v>669</v>
      </c>
      <c r="C46" s="118" t="s">
        <v>182</v>
      </c>
      <c r="D46" s="115"/>
      <c r="E46" s="204"/>
      <c r="F46" s="115"/>
      <c r="G46" s="115"/>
      <c r="H46" s="115"/>
      <c r="I46" s="115"/>
      <c r="J46" s="115"/>
      <c r="K46" s="115"/>
      <c r="L46" s="115"/>
      <c r="M46" s="115"/>
      <c r="N46" s="224">
        <f>+G12/N40</f>
        <v>0.8584713901524242</v>
      </c>
    </row>
    <row r="47" spans="1:14" ht="16.5" thickBot="1">
      <c r="A47" s="179"/>
      <c r="B47" s="236"/>
      <c r="C47" s="13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80"/>
    </row>
    <row r="48" spans="1:14" ht="12.75">
      <c r="A48" s="62"/>
      <c r="B48" s="39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6"/>
    </row>
    <row r="49" spans="1:14" ht="15.75">
      <c r="A49" s="63"/>
      <c r="B49" s="41"/>
      <c r="C49" s="203" t="s">
        <v>811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8"/>
    </row>
    <row r="50" spans="1:14" ht="13.5" thickBot="1">
      <c r="A50" s="63"/>
      <c r="B50" s="41"/>
      <c r="C50" s="229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1"/>
    </row>
    <row r="51" spans="1:14" ht="15.75" customHeight="1" thickTop="1">
      <c r="A51" s="63"/>
      <c r="B51" s="41"/>
      <c r="C51" s="227" t="s">
        <v>833</v>
      </c>
      <c r="D51" s="227" t="s">
        <v>490</v>
      </c>
      <c r="E51" s="227"/>
      <c r="F51" s="227"/>
      <c r="G51" s="227"/>
      <c r="H51" s="227"/>
      <c r="I51" s="227"/>
      <c r="J51" s="227"/>
      <c r="K51" s="227"/>
      <c r="L51" s="227"/>
      <c r="M51" s="227"/>
      <c r="N51" s="228"/>
    </row>
    <row r="52" spans="1:14" ht="12.75">
      <c r="A52" s="63"/>
      <c r="B52" s="41"/>
      <c r="C52" s="227" t="s">
        <v>831</v>
      </c>
      <c r="D52" s="227" t="s">
        <v>184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8"/>
    </row>
    <row r="53" spans="1:14" ht="12.75">
      <c r="A53" s="63"/>
      <c r="B53" s="41"/>
      <c r="C53" s="227"/>
      <c r="D53" s="227"/>
      <c r="E53" s="227"/>
      <c r="F53" s="227" t="s">
        <v>594</v>
      </c>
      <c r="G53" s="227"/>
      <c r="H53" s="227"/>
      <c r="I53" s="227"/>
      <c r="J53" s="227"/>
      <c r="K53" s="227"/>
      <c r="L53" s="227"/>
      <c r="M53" s="227"/>
      <c r="N53" s="228"/>
    </row>
    <row r="54" spans="1:14" ht="12.75">
      <c r="A54" s="63"/>
      <c r="B54" s="41"/>
      <c r="C54" s="227"/>
      <c r="D54" s="227"/>
      <c r="E54" s="227"/>
      <c r="F54" s="232" t="s">
        <v>175</v>
      </c>
      <c r="G54" s="227"/>
      <c r="H54" s="227"/>
      <c r="I54" s="227"/>
      <c r="J54" s="227"/>
      <c r="K54" s="227"/>
      <c r="L54" s="227"/>
      <c r="M54" s="227"/>
      <c r="N54" s="228"/>
    </row>
    <row r="55" spans="1:14" ht="12.75">
      <c r="A55" s="63"/>
      <c r="B55" s="41"/>
      <c r="C55" s="227" t="s">
        <v>828</v>
      </c>
      <c r="D55" s="227" t="s">
        <v>595</v>
      </c>
      <c r="E55" s="227"/>
      <c r="F55" s="227"/>
      <c r="G55" s="227"/>
      <c r="H55" s="227"/>
      <c r="I55" s="227"/>
      <c r="J55" s="227"/>
      <c r="K55" s="227"/>
      <c r="L55" s="227"/>
      <c r="M55" s="227"/>
      <c r="N55" s="228"/>
    </row>
    <row r="56" spans="1:14" ht="12.75">
      <c r="A56" s="63"/>
      <c r="B56" s="41"/>
      <c r="C56" s="227" t="s">
        <v>826</v>
      </c>
      <c r="D56" s="227" t="s">
        <v>689</v>
      </c>
      <c r="E56" s="227"/>
      <c r="F56" s="227"/>
      <c r="G56" s="227"/>
      <c r="H56" s="227"/>
      <c r="I56" s="227"/>
      <c r="J56" s="227"/>
      <c r="K56" s="227"/>
      <c r="L56" s="227"/>
      <c r="M56" s="227"/>
      <c r="N56" s="228"/>
    </row>
    <row r="57" spans="1:14" ht="12.75">
      <c r="A57" s="63"/>
      <c r="B57" s="41"/>
      <c r="C57" s="227" t="s">
        <v>822</v>
      </c>
      <c r="D57" s="227" t="s">
        <v>690</v>
      </c>
      <c r="E57" s="227"/>
      <c r="F57" s="227"/>
      <c r="G57" s="227"/>
      <c r="H57" s="227"/>
      <c r="I57" s="227"/>
      <c r="J57" s="227"/>
      <c r="K57" s="227"/>
      <c r="L57" s="227"/>
      <c r="M57" s="227"/>
      <c r="N57" s="228"/>
    </row>
    <row r="58" spans="1:14" ht="13.5" thickBot="1">
      <c r="A58" s="21"/>
      <c r="B58" s="4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4"/>
    </row>
  </sheetData>
  <mergeCells count="13">
    <mergeCell ref="C44:E44"/>
    <mergeCell ref="C43:E43"/>
    <mergeCell ref="G10:H10"/>
    <mergeCell ref="G12:H12"/>
    <mergeCell ref="C17:E17"/>
    <mergeCell ref="C19:E19"/>
    <mergeCell ref="C40:E40"/>
    <mergeCell ref="E12:F12"/>
    <mergeCell ref="C18:E18"/>
    <mergeCell ref="I10:K10"/>
    <mergeCell ref="E10:F10"/>
    <mergeCell ref="A4:N4"/>
    <mergeCell ref="C42:E42"/>
  </mergeCells>
  <printOptions/>
  <pageMargins left="0.75" right="0.75" top="1" bottom="1" header="0.5" footer="0.5"/>
  <pageSetup fitToHeight="0" fitToWidth="1" horizontalDpi="600" verticalDpi="600" orientation="portrait" scale="57" r:id="rId1"/>
  <headerFooter alignWithMargins="0">
    <oddHeader>&amp;RUSPS-LR-L-41
Bound Printed Matter Spreadsheets
&amp;A</oddHeader>
    <oddFooter xml:space="preserve">&amp;CPage &amp;P of &amp;N&amp;R&amp;D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1.28125" style="0" customWidth="1"/>
    <col min="4" max="4" width="17.28125" style="0" customWidth="1"/>
    <col min="5" max="5" width="17.140625" style="0" customWidth="1"/>
    <col min="6" max="6" width="16.140625" style="0" customWidth="1"/>
    <col min="7" max="7" width="16.421875" style="0" customWidth="1"/>
    <col min="8" max="8" width="18.28125" style="0" customWidth="1"/>
    <col min="9" max="12" width="19.00390625" style="0" customWidth="1"/>
    <col min="13" max="13" width="19.28125" style="0" customWidth="1"/>
    <col min="14" max="14" width="12.57421875" style="0" customWidth="1"/>
  </cols>
  <sheetData>
    <row r="1" spans="1:9" ht="15">
      <c r="A1" s="173"/>
      <c r="B1" s="174"/>
      <c r="C1" s="175"/>
      <c r="D1" s="175"/>
      <c r="E1" s="175"/>
      <c r="F1" s="175"/>
      <c r="G1" s="175"/>
      <c r="H1" s="175"/>
      <c r="I1" s="176"/>
    </row>
    <row r="2" spans="1:9" ht="15.75">
      <c r="A2" s="4"/>
      <c r="B2" s="5"/>
      <c r="C2" s="23"/>
      <c r="D2" s="23"/>
      <c r="E2" s="23"/>
      <c r="F2" s="23"/>
      <c r="G2" s="23"/>
      <c r="H2" s="23"/>
      <c r="I2" s="655" t="s">
        <v>591</v>
      </c>
    </row>
    <row r="3" spans="1:9" ht="15.75">
      <c r="A3" s="4"/>
      <c r="B3" s="5"/>
      <c r="C3" s="23"/>
      <c r="D3" s="23"/>
      <c r="E3" s="23"/>
      <c r="F3" s="23"/>
      <c r="G3" s="23"/>
      <c r="H3" s="23"/>
      <c r="I3" s="655" t="s">
        <v>645</v>
      </c>
    </row>
    <row r="4" spans="1:9" ht="18">
      <c r="A4" s="692" t="s">
        <v>281</v>
      </c>
      <c r="B4" s="693"/>
      <c r="C4" s="693"/>
      <c r="D4" s="693"/>
      <c r="E4" s="693"/>
      <c r="F4" s="693"/>
      <c r="G4" s="693"/>
      <c r="H4" s="693"/>
      <c r="I4" s="694"/>
    </row>
    <row r="5" spans="1:9" ht="15.75" thickBot="1">
      <c r="A5" s="15"/>
      <c r="B5" s="11"/>
      <c r="C5" s="11"/>
      <c r="D5" s="11"/>
      <c r="E5" s="11"/>
      <c r="F5" s="177"/>
      <c r="G5" s="11"/>
      <c r="H5" s="11"/>
      <c r="I5" s="13"/>
    </row>
    <row r="6" spans="1:9" ht="16.5" thickTop="1">
      <c r="A6" s="4"/>
      <c r="B6" s="14"/>
      <c r="C6" s="118"/>
      <c r="D6" s="130"/>
      <c r="E6" s="115"/>
      <c r="F6" s="116"/>
      <c r="G6" s="151"/>
      <c r="H6" s="145"/>
      <c r="I6" s="146"/>
    </row>
    <row r="7" spans="1:9" ht="18.75">
      <c r="A7" s="4"/>
      <c r="B7" s="14"/>
      <c r="C7" s="118"/>
      <c r="D7" s="699" t="s">
        <v>186</v>
      </c>
      <c r="E7" s="700"/>
      <c r="F7" s="703"/>
      <c r="G7" s="699" t="s">
        <v>418</v>
      </c>
      <c r="H7" s="700"/>
      <c r="I7" s="701"/>
    </row>
    <row r="8" spans="1:9" ht="15.75">
      <c r="A8" s="4"/>
      <c r="B8" s="178"/>
      <c r="C8" s="153"/>
      <c r="D8" s="154"/>
      <c r="E8" s="155"/>
      <c r="F8" s="245"/>
      <c r="G8" s="697"/>
      <c r="H8" s="719"/>
      <c r="I8" s="160"/>
    </row>
    <row r="9" spans="1:9" ht="15.75">
      <c r="A9" s="4"/>
      <c r="B9" s="178"/>
      <c r="C9" s="156"/>
      <c r="D9" s="127" t="s">
        <v>841</v>
      </c>
      <c r="E9" s="157"/>
      <c r="F9" s="127" t="s">
        <v>844</v>
      </c>
      <c r="G9" s="127"/>
      <c r="H9" s="127"/>
      <c r="I9" s="193"/>
    </row>
    <row r="10" spans="1:9" ht="15.75">
      <c r="A10" s="4"/>
      <c r="B10" s="178"/>
      <c r="C10" s="156"/>
      <c r="D10" s="127" t="s">
        <v>842</v>
      </c>
      <c r="E10" s="157" t="s">
        <v>846</v>
      </c>
      <c r="F10" s="127" t="s">
        <v>840</v>
      </c>
      <c r="G10" s="127" t="s">
        <v>879</v>
      </c>
      <c r="H10" s="127" t="s">
        <v>846</v>
      </c>
      <c r="I10" s="193" t="s">
        <v>844</v>
      </c>
    </row>
    <row r="11" spans="1:9" ht="15.75">
      <c r="A11" s="4"/>
      <c r="B11" s="178"/>
      <c r="C11" s="81" t="s">
        <v>848</v>
      </c>
      <c r="D11" s="159" t="s">
        <v>163</v>
      </c>
      <c r="E11" s="158" t="s">
        <v>164</v>
      </c>
      <c r="F11" s="159" t="s">
        <v>165</v>
      </c>
      <c r="G11" s="154" t="s">
        <v>166</v>
      </c>
      <c r="H11" s="154" t="s">
        <v>167</v>
      </c>
      <c r="I11" s="246" t="s">
        <v>168</v>
      </c>
    </row>
    <row r="12" spans="1:9" ht="15.75">
      <c r="A12" s="4"/>
      <c r="B12" s="74"/>
      <c r="C12" s="129"/>
      <c r="D12" s="150"/>
      <c r="E12" s="161"/>
      <c r="F12" s="150"/>
      <c r="G12" s="150"/>
      <c r="H12" s="150"/>
      <c r="I12" s="195"/>
    </row>
    <row r="13" spans="1:9" ht="15.75">
      <c r="A13" s="4"/>
      <c r="B13" s="74" t="s">
        <v>151</v>
      </c>
      <c r="C13" s="83" t="s">
        <v>707</v>
      </c>
      <c r="D13" s="165"/>
      <c r="E13" s="164">
        <f>+'FY2005 Presort Billing Det.'!G23</f>
        <v>505029677</v>
      </c>
      <c r="F13" s="165">
        <f>SUM(D13:E13)</f>
        <v>505029677</v>
      </c>
      <c r="G13" s="247">
        <f>+D13/$D$22</f>
        <v>0</v>
      </c>
      <c r="H13" s="247">
        <f aca="true" t="shared" si="0" ref="H13:H20">E13/$E$22</f>
        <v>0.3881008826496959</v>
      </c>
      <c r="I13" s="248">
        <f>+F13/$F$22</f>
        <v>0.3708515294742903</v>
      </c>
    </row>
    <row r="14" spans="1:9" ht="15.75">
      <c r="A14" s="4"/>
      <c r="B14" s="74" t="s">
        <v>152</v>
      </c>
      <c r="C14" s="83" t="s">
        <v>849</v>
      </c>
      <c r="D14" s="165">
        <f>+'FY2005 Single Piece Pounds'!G43</f>
        <v>20719850.9045492</v>
      </c>
      <c r="E14" s="164">
        <f>+'FY2005 Presort Billing Det.'!G24</f>
        <v>523287331.30390817</v>
      </c>
      <c r="F14" s="165">
        <f aca="true" t="shared" si="1" ref="F14:F19">SUM(D14:E14)</f>
        <v>544007182.2084574</v>
      </c>
      <c r="G14" s="247">
        <f aca="true" t="shared" si="2" ref="G14:G20">+D14/$D$22</f>
        <v>0.3423273651005149</v>
      </c>
      <c r="H14" s="247">
        <f t="shared" si="0"/>
        <v>0.4021313685263898</v>
      </c>
      <c r="I14" s="248">
        <f aca="true" t="shared" si="3" ref="I14:I20">+F14/$F$22</f>
        <v>0.39947334731975626</v>
      </c>
    </row>
    <row r="15" spans="1:9" ht="15.75">
      <c r="A15" s="4"/>
      <c r="B15" s="74" t="s">
        <v>153</v>
      </c>
      <c r="C15" s="83">
        <v>3</v>
      </c>
      <c r="D15" s="165">
        <f>+'FY2005 Single Piece Pounds'!H43</f>
        <v>6878813.9975909805</v>
      </c>
      <c r="E15" s="164">
        <f>+'FY2005 Presort Billing Det.'!G25</f>
        <v>126120495.66180542</v>
      </c>
      <c r="F15" s="165">
        <f t="shared" si="1"/>
        <v>132999309.6593964</v>
      </c>
      <c r="G15" s="247">
        <f t="shared" si="2"/>
        <v>0.11364976908665134</v>
      </c>
      <c r="H15" s="247">
        <f t="shared" si="0"/>
        <v>0.09691999879556351</v>
      </c>
      <c r="I15" s="248">
        <f t="shared" si="3"/>
        <v>0.09766356246469036</v>
      </c>
    </row>
    <row r="16" spans="1:9" ht="15.75">
      <c r="A16" s="4"/>
      <c r="B16" s="74" t="s">
        <v>154</v>
      </c>
      <c r="C16" s="83">
        <v>4</v>
      </c>
      <c r="D16" s="165">
        <f>+'FY2005 Single Piece Pounds'!I43</f>
        <v>9430821.535144895</v>
      </c>
      <c r="E16" s="164">
        <f>+'FY2005 Presort Billing Det.'!G26</f>
        <v>58907312.98425714</v>
      </c>
      <c r="F16" s="165">
        <f t="shared" si="1"/>
        <v>68338134.51940203</v>
      </c>
      <c r="G16" s="247">
        <f t="shared" si="2"/>
        <v>0.15581329719657971</v>
      </c>
      <c r="H16" s="247">
        <f t="shared" si="0"/>
        <v>0.04526858757987818</v>
      </c>
      <c r="I16" s="248">
        <f t="shared" si="3"/>
        <v>0.050181806856352394</v>
      </c>
    </row>
    <row r="17" spans="1:9" ht="15.75">
      <c r="A17" s="4"/>
      <c r="B17" s="74" t="s">
        <v>155</v>
      </c>
      <c r="C17" s="83">
        <v>5</v>
      </c>
      <c r="D17" s="165">
        <f>+'FY2005 Single Piece Pounds'!J43</f>
        <v>9794109.24631024</v>
      </c>
      <c r="E17" s="164">
        <f>+'FY2005 Presort Billing Det.'!G27</f>
        <v>34991510.97032942</v>
      </c>
      <c r="F17" s="165">
        <f t="shared" si="1"/>
        <v>44785620.21663966</v>
      </c>
      <c r="G17" s="247">
        <f t="shared" si="2"/>
        <v>0.16181543135813994</v>
      </c>
      <c r="H17" s="247">
        <f t="shared" si="0"/>
        <v>0.026889976790079536</v>
      </c>
      <c r="I17" s="248">
        <f t="shared" si="3"/>
        <v>0.0328868114334507</v>
      </c>
    </row>
    <row r="18" spans="1:9" ht="15.75">
      <c r="A18" s="4"/>
      <c r="B18" s="74" t="s">
        <v>156</v>
      </c>
      <c r="C18" s="83">
        <v>6</v>
      </c>
      <c r="D18" s="165">
        <f>+'FY2005 Single Piece Pounds'!K43</f>
        <v>5290728.144862291</v>
      </c>
      <c r="E18" s="164">
        <f>+'FY2005 Presort Billing Det.'!G28</f>
        <v>18475126.406357445</v>
      </c>
      <c r="F18" s="165">
        <f t="shared" si="1"/>
        <v>23765854.551219735</v>
      </c>
      <c r="G18" s="247">
        <f t="shared" si="2"/>
        <v>0.08741187538642904</v>
      </c>
      <c r="H18" s="247">
        <f t="shared" si="0"/>
        <v>0.014197606976217417</v>
      </c>
      <c r="I18" s="248">
        <f t="shared" si="3"/>
        <v>0.017451654647184945</v>
      </c>
    </row>
    <row r="19" spans="1:9" ht="15.75">
      <c r="A19" s="4"/>
      <c r="B19" s="74" t="s">
        <v>157</v>
      </c>
      <c r="C19" s="83">
        <v>7</v>
      </c>
      <c r="D19" s="165">
        <f>+'FY2005 Single Piece Pounds'!L43</f>
        <v>3013263.9173114942</v>
      </c>
      <c r="E19" s="164">
        <f>+'FY2005 Presort Billing Det.'!G29</f>
        <v>12594382.486481266</v>
      </c>
      <c r="F19" s="165">
        <f t="shared" si="1"/>
        <v>15607646.403792761</v>
      </c>
      <c r="G19" s="247">
        <f t="shared" si="2"/>
        <v>0.049784272189874745</v>
      </c>
      <c r="H19" s="247">
        <f t="shared" si="0"/>
        <v>0.009678423233395949</v>
      </c>
      <c r="I19" s="248">
        <f t="shared" si="3"/>
        <v>0.011460949334152598</v>
      </c>
    </row>
    <row r="20" spans="1:9" ht="15.75">
      <c r="A20" s="4"/>
      <c r="B20" s="74" t="s">
        <v>158</v>
      </c>
      <c r="C20" s="83">
        <v>8</v>
      </c>
      <c r="D20" s="165">
        <f>+'FY2005 Single Piece Pounds'!M43</f>
        <v>5398835.2542308755</v>
      </c>
      <c r="E20" s="164">
        <f>+'FY2005 Presort Billing Det.'!G30</f>
        <v>21878699.186861087</v>
      </c>
      <c r="F20" s="165">
        <f>SUM(D20:E20)</f>
        <v>27277534.441091962</v>
      </c>
      <c r="G20" s="247">
        <f t="shared" si="2"/>
        <v>0.08919798968181016</v>
      </c>
      <c r="H20" s="247">
        <f t="shared" si="0"/>
        <v>0.01681315544877964</v>
      </c>
      <c r="I20" s="248">
        <f t="shared" si="3"/>
        <v>0.020030338470122387</v>
      </c>
    </row>
    <row r="21" spans="1:9" ht="15.75">
      <c r="A21" s="4"/>
      <c r="B21" s="74"/>
      <c r="C21" s="83"/>
      <c r="D21" s="134"/>
      <c r="E21" s="166"/>
      <c r="F21" s="134"/>
      <c r="G21" s="249"/>
      <c r="H21" s="247"/>
      <c r="I21" s="250"/>
    </row>
    <row r="22" spans="1:9" ht="15.75">
      <c r="A22" s="4"/>
      <c r="B22" s="74" t="s">
        <v>159</v>
      </c>
      <c r="C22" s="83" t="s">
        <v>844</v>
      </c>
      <c r="D22" s="166">
        <f aca="true" t="shared" si="4" ref="D22:I22">SUM(D13:D20)</f>
        <v>60526422.999999985</v>
      </c>
      <c r="E22" s="166">
        <f t="shared" si="4"/>
        <v>1301284536</v>
      </c>
      <c r="F22" s="166">
        <f t="shared" si="4"/>
        <v>1361810959</v>
      </c>
      <c r="G22" s="247">
        <f t="shared" si="4"/>
        <v>0.9999999999999997</v>
      </c>
      <c r="H22" s="247">
        <f t="shared" si="4"/>
        <v>1</v>
      </c>
      <c r="I22" s="248">
        <f t="shared" si="4"/>
        <v>0.9999999999999999</v>
      </c>
    </row>
    <row r="23" spans="1:9" ht="15.75">
      <c r="A23" s="4"/>
      <c r="B23" s="202"/>
      <c r="C23" s="129"/>
      <c r="D23" s="134"/>
      <c r="E23" s="166"/>
      <c r="F23" s="134"/>
      <c r="G23" s="167"/>
      <c r="H23" s="167"/>
      <c r="I23" s="251"/>
    </row>
    <row r="24" spans="1:9" ht="15.75">
      <c r="A24" s="4"/>
      <c r="B24" s="202"/>
      <c r="C24" s="125"/>
      <c r="D24" s="134"/>
      <c r="E24" s="168"/>
      <c r="F24" s="169"/>
      <c r="G24" s="130"/>
      <c r="H24" s="130"/>
      <c r="I24" s="200"/>
    </row>
    <row r="25" spans="1:9" ht="16.5" thickBot="1">
      <c r="A25" s="179"/>
      <c r="B25" s="236"/>
      <c r="C25" s="135"/>
      <c r="D25" s="137"/>
      <c r="E25" s="170"/>
      <c r="F25" s="171"/>
      <c r="G25" s="172"/>
      <c r="H25" s="172"/>
      <c r="I25" s="201"/>
    </row>
    <row r="26" spans="1:9" ht="12.75">
      <c r="A26" s="62"/>
      <c r="B26" s="39"/>
      <c r="C26" s="225"/>
      <c r="D26" s="225"/>
      <c r="E26" s="225"/>
      <c r="F26" s="225"/>
      <c r="G26" s="225"/>
      <c r="H26" s="225"/>
      <c r="I26" s="226"/>
    </row>
    <row r="27" spans="1:9" ht="15.75">
      <c r="A27" s="63"/>
      <c r="B27" s="41"/>
      <c r="C27" s="203" t="s">
        <v>811</v>
      </c>
      <c r="D27" s="227"/>
      <c r="E27" s="227"/>
      <c r="F27" s="227"/>
      <c r="G27" s="227"/>
      <c r="H27" s="227"/>
      <c r="I27" s="228"/>
    </row>
    <row r="28" spans="1:9" ht="13.5" thickBot="1">
      <c r="A28" s="63"/>
      <c r="B28" s="41"/>
      <c r="C28" s="229"/>
      <c r="D28" s="230"/>
      <c r="E28" s="230"/>
      <c r="F28" s="230"/>
      <c r="G28" s="230"/>
      <c r="H28" s="230"/>
      <c r="I28" s="231"/>
    </row>
    <row r="29" spans="1:9" ht="13.5" thickTop="1">
      <c r="A29" s="63"/>
      <c r="B29" s="41"/>
      <c r="C29" s="227" t="s">
        <v>833</v>
      </c>
      <c r="D29" s="227" t="s">
        <v>491</v>
      </c>
      <c r="E29" s="227"/>
      <c r="F29" s="227"/>
      <c r="G29" s="227"/>
      <c r="H29" s="227"/>
      <c r="I29" s="228"/>
    </row>
    <row r="30" spans="1:9" ht="12.75">
      <c r="A30" s="63"/>
      <c r="B30" s="41"/>
      <c r="C30" s="227"/>
      <c r="D30" s="227" t="s">
        <v>492</v>
      </c>
      <c r="E30" s="227"/>
      <c r="F30" s="227"/>
      <c r="G30" s="227"/>
      <c r="H30" s="227"/>
      <c r="I30" s="228"/>
    </row>
    <row r="31" spans="1:9" ht="12.75">
      <c r="A31" s="63"/>
      <c r="B31" s="41"/>
      <c r="C31" s="227"/>
      <c r="D31" s="227" t="s">
        <v>188</v>
      </c>
      <c r="E31" s="227"/>
      <c r="F31" s="227"/>
      <c r="G31" s="227"/>
      <c r="H31" s="227"/>
      <c r="I31" s="228"/>
    </row>
    <row r="32" spans="1:9" ht="12.75">
      <c r="A32" s="63"/>
      <c r="B32" s="41"/>
      <c r="C32" s="227" t="s">
        <v>831</v>
      </c>
      <c r="D32" s="227" t="s">
        <v>419</v>
      </c>
      <c r="E32" s="227"/>
      <c r="F32" s="227"/>
      <c r="G32" s="227"/>
      <c r="H32" s="227"/>
      <c r="I32" s="228"/>
    </row>
    <row r="33" spans="1:9" ht="12.75">
      <c r="A33" s="63"/>
      <c r="B33" s="41"/>
      <c r="C33" s="227"/>
      <c r="D33" s="227" t="s">
        <v>421</v>
      </c>
      <c r="E33" s="227"/>
      <c r="F33" s="227"/>
      <c r="G33" s="227"/>
      <c r="H33" s="227"/>
      <c r="I33" s="228"/>
    </row>
    <row r="34" spans="1:9" ht="12.75">
      <c r="A34" s="63"/>
      <c r="B34" s="41"/>
      <c r="C34" s="227"/>
      <c r="D34" s="227" t="s">
        <v>422</v>
      </c>
      <c r="E34" s="227"/>
      <c r="F34" s="227"/>
      <c r="G34" s="227"/>
      <c r="H34" s="227"/>
      <c r="I34" s="228"/>
    </row>
    <row r="35" spans="1:9" ht="12.75">
      <c r="A35" s="63"/>
      <c r="B35" s="41"/>
      <c r="C35" s="227"/>
      <c r="D35" s="227" t="s">
        <v>423</v>
      </c>
      <c r="E35" s="227"/>
      <c r="F35" s="227"/>
      <c r="G35" s="227"/>
      <c r="H35" s="227"/>
      <c r="I35" s="228"/>
    </row>
    <row r="36" spans="1:9" ht="12.75">
      <c r="A36" s="63"/>
      <c r="B36" s="41"/>
      <c r="C36" s="227"/>
      <c r="D36" s="227" t="s">
        <v>424</v>
      </c>
      <c r="E36" s="227"/>
      <c r="F36" s="227"/>
      <c r="G36" s="227"/>
      <c r="H36" s="227"/>
      <c r="I36" s="228"/>
    </row>
    <row r="37" spans="1:9" ht="12.75">
      <c r="A37" s="63"/>
      <c r="B37" s="41"/>
      <c r="C37" s="227"/>
      <c r="D37" s="227" t="s">
        <v>187</v>
      </c>
      <c r="E37" s="227"/>
      <c r="F37" s="227"/>
      <c r="G37" s="227"/>
      <c r="H37" s="227"/>
      <c r="I37" s="228"/>
    </row>
    <row r="38" spans="1:9" ht="13.5" thickBot="1">
      <c r="A38" s="21"/>
      <c r="B38" s="43"/>
      <c r="C38" s="233"/>
      <c r="D38" s="233"/>
      <c r="E38" s="233"/>
      <c r="F38" s="233"/>
      <c r="G38" s="233"/>
      <c r="H38" s="233"/>
      <c r="I38" s="234"/>
    </row>
    <row r="39" spans="1:9" ht="15">
      <c r="A39" s="1"/>
      <c r="B39" s="7"/>
      <c r="C39" s="8"/>
      <c r="D39" s="20"/>
      <c r="E39" s="20"/>
      <c r="F39" s="20"/>
      <c r="G39" s="8"/>
      <c r="H39" s="8"/>
      <c r="I39" s="8"/>
    </row>
    <row r="40" spans="1:10" ht="15">
      <c r="A40" s="1"/>
      <c r="B40" s="7"/>
      <c r="C40" s="8"/>
      <c r="D40" s="20"/>
      <c r="E40" s="20"/>
      <c r="F40" s="20"/>
      <c r="G40" s="8"/>
      <c r="H40" s="8"/>
      <c r="I40" s="8"/>
      <c r="J40" s="8"/>
    </row>
    <row r="41" ht="13.5" thickBot="1"/>
    <row r="42" spans="1:11" ht="15">
      <c r="A42" s="173"/>
      <c r="B42" s="174"/>
      <c r="C42" s="175"/>
      <c r="D42" s="175"/>
      <c r="E42" s="175"/>
      <c r="F42" s="175"/>
      <c r="G42" s="175"/>
      <c r="H42" s="175"/>
      <c r="I42" s="175"/>
      <c r="J42" s="176"/>
      <c r="K42" s="24"/>
    </row>
    <row r="43" spans="1:11" ht="15.75">
      <c r="A43" s="4"/>
      <c r="B43" s="5"/>
      <c r="C43" s="23"/>
      <c r="D43" s="23"/>
      <c r="E43" s="23"/>
      <c r="F43" s="23"/>
      <c r="G43" s="23"/>
      <c r="H43" s="23"/>
      <c r="I43" s="23"/>
      <c r="J43" s="655" t="s">
        <v>591</v>
      </c>
      <c r="K43" s="24"/>
    </row>
    <row r="44" spans="1:11" ht="15.75">
      <c r="A44" s="4"/>
      <c r="B44" s="5"/>
      <c r="C44" s="23"/>
      <c r="D44" s="23"/>
      <c r="E44" s="23"/>
      <c r="F44" s="23"/>
      <c r="G44" s="23"/>
      <c r="H44" s="23"/>
      <c r="I44" s="23"/>
      <c r="J44" s="655" t="s">
        <v>646</v>
      </c>
      <c r="K44" s="24"/>
    </row>
    <row r="45" spans="1:11" ht="18">
      <c r="A45" s="692" t="s">
        <v>878</v>
      </c>
      <c r="B45" s="693"/>
      <c r="C45" s="693"/>
      <c r="D45" s="693"/>
      <c r="E45" s="693"/>
      <c r="F45" s="693"/>
      <c r="G45" s="693"/>
      <c r="H45" s="693"/>
      <c r="I45" s="693"/>
      <c r="J45" s="694"/>
      <c r="K45" s="25"/>
    </row>
    <row r="46" spans="1:11" ht="15.75" thickBot="1">
      <c r="A46" s="15"/>
      <c r="B46" s="11"/>
      <c r="C46" s="11"/>
      <c r="D46" s="11"/>
      <c r="E46" s="11"/>
      <c r="F46" s="11"/>
      <c r="G46" s="11"/>
      <c r="H46" s="11"/>
      <c r="I46" s="177"/>
      <c r="J46" s="13"/>
      <c r="K46" s="26"/>
    </row>
    <row r="47" spans="1:12" ht="16.5" thickTop="1">
      <c r="A47" s="4"/>
      <c r="B47" s="14"/>
      <c r="C47" s="118"/>
      <c r="D47" s="130"/>
      <c r="E47" s="149"/>
      <c r="F47" s="115"/>
      <c r="G47" s="151"/>
      <c r="H47" s="252" t="s">
        <v>847</v>
      </c>
      <c r="I47" s="243" t="s">
        <v>850</v>
      </c>
      <c r="J47" s="244" t="s">
        <v>844</v>
      </c>
      <c r="L47" s="27"/>
    </row>
    <row r="48" spans="1:12" ht="18.75">
      <c r="A48" s="4"/>
      <c r="B48" s="14"/>
      <c r="C48" s="118"/>
      <c r="D48" s="699" t="s">
        <v>189</v>
      </c>
      <c r="E48" s="700"/>
      <c r="F48" s="700"/>
      <c r="G48" s="66" t="s">
        <v>841</v>
      </c>
      <c r="H48" s="157" t="s">
        <v>846</v>
      </c>
      <c r="I48" s="157" t="s">
        <v>846</v>
      </c>
      <c r="J48" s="193" t="s">
        <v>846</v>
      </c>
      <c r="L48" s="28"/>
    </row>
    <row r="49" spans="1:12" ht="15.75">
      <c r="A49" s="4"/>
      <c r="B49" s="178"/>
      <c r="C49" s="153"/>
      <c r="D49" s="154"/>
      <c r="E49" s="82"/>
      <c r="F49" s="155"/>
      <c r="G49" s="127" t="s">
        <v>839</v>
      </c>
      <c r="H49" s="253" t="s">
        <v>839</v>
      </c>
      <c r="I49" s="253" t="s">
        <v>839</v>
      </c>
      <c r="J49" s="254" t="s">
        <v>839</v>
      </c>
      <c r="L49" s="29"/>
    </row>
    <row r="50" spans="1:12" ht="15.75">
      <c r="A50" s="4"/>
      <c r="B50" s="178"/>
      <c r="C50" s="156"/>
      <c r="D50" s="127" t="s">
        <v>841</v>
      </c>
      <c r="E50" s="157" t="s">
        <v>847</v>
      </c>
      <c r="F50" s="157" t="s">
        <v>850</v>
      </c>
      <c r="G50" s="127" t="s">
        <v>876</v>
      </c>
      <c r="H50" s="157" t="s">
        <v>876</v>
      </c>
      <c r="I50" s="127" t="s">
        <v>876</v>
      </c>
      <c r="J50" s="193" t="s">
        <v>876</v>
      </c>
      <c r="L50" s="29"/>
    </row>
    <row r="51" spans="1:12" ht="18.75">
      <c r="A51" s="4"/>
      <c r="B51" s="178"/>
      <c r="C51" s="156"/>
      <c r="D51" s="127" t="s">
        <v>842</v>
      </c>
      <c r="E51" s="157" t="s">
        <v>846</v>
      </c>
      <c r="F51" s="157" t="s">
        <v>846</v>
      </c>
      <c r="G51" s="127" t="s">
        <v>190</v>
      </c>
      <c r="H51" s="157" t="s">
        <v>191</v>
      </c>
      <c r="I51" s="127" t="s">
        <v>192</v>
      </c>
      <c r="J51" s="193" t="s">
        <v>272</v>
      </c>
      <c r="L51" s="29"/>
    </row>
    <row r="52" spans="1:12" ht="15.75">
      <c r="A52" s="4"/>
      <c r="B52" s="178"/>
      <c r="C52" s="81" t="s">
        <v>848</v>
      </c>
      <c r="D52" s="159" t="s">
        <v>163</v>
      </c>
      <c r="E52" s="158" t="s">
        <v>164</v>
      </c>
      <c r="F52" s="159" t="s">
        <v>165</v>
      </c>
      <c r="G52" s="154" t="s">
        <v>166</v>
      </c>
      <c r="H52" s="154" t="s">
        <v>167</v>
      </c>
      <c r="I52" s="154" t="s">
        <v>168</v>
      </c>
      <c r="J52" s="246" t="s">
        <v>169</v>
      </c>
      <c r="L52" s="29"/>
    </row>
    <row r="53" spans="1:12" ht="15">
      <c r="A53" s="4"/>
      <c r="B53" s="12"/>
      <c r="C53" s="129"/>
      <c r="D53" s="150"/>
      <c r="E53" s="161"/>
      <c r="F53" s="161"/>
      <c r="G53" s="255"/>
      <c r="H53" s="161"/>
      <c r="I53" s="150"/>
      <c r="J53" s="195"/>
      <c r="L53" s="30"/>
    </row>
    <row r="54" spans="1:12" ht="15.75">
      <c r="A54" s="4"/>
      <c r="B54" s="74" t="s">
        <v>151</v>
      </c>
      <c r="C54" s="83" t="s">
        <v>707</v>
      </c>
      <c r="D54" s="165">
        <f>+'FY2005 SP Billing Det.'!D42</f>
        <v>0</v>
      </c>
      <c r="E54" s="164">
        <f>+'FY2005 Presort Billing Det.'!D23</f>
        <v>117788723</v>
      </c>
      <c r="F54" s="164">
        <f>+'FY2005 Presort Billing Det.'!E23</f>
        <v>129835235</v>
      </c>
      <c r="G54" s="256">
        <f aca="true" t="shared" si="5" ref="G54:G61">+D54/$D$63</f>
        <v>0</v>
      </c>
      <c r="H54" s="257">
        <f>+E54/$E$63</f>
        <v>0.2901701718083475</v>
      </c>
      <c r="I54" s="258">
        <f>+F54/$F$63</f>
        <v>0.8657845640364004</v>
      </c>
      <c r="J54" s="259">
        <f>+(E54+F54)/($E$63+$F$63)</f>
        <v>0.4454530926061651</v>
      </c>
      <c r="L54" s="31"/>
    </row>
    <row r="55" spans="1:12" ht="15.75">
      <c r="A55" s="4"/>
      <c r="B55" s="74" t="s">
        <v>152</v>
      </c>
      <c r="C55" s="83" t="s">
        <v>849</v>
      </c>
      <c r="D55" s="165">
        <f>+'FY2005 SP Billing Det.'!E42</f>
        <v>9912106.613085542</v>
      </c>
      <c r="E55" s="164">
        <f>+'FY2005 Presort Billing Det.'!D24</f>
        <v>174161263.600391</v>
      </c>
      <c r="F55" s="164">
        <f>+'FY2005 Presort Billing Det.'!E24</f>
        <v>11491267.42497444</v>
      </c>
      <c r="G55" s="256">
        <f t="shared" si="5"/>
        <v>0.35551641568580744</v>
      </c>
      <c r="H55" s="257">
        <f aca="true" t="shared" si="6" ref="H55:H61">+E55/$E$63</f>
        <v>0.42904280218136287</v>
      </c>
      <c r="I55" s="258">
        <f aca="true" t="shared" si="7" ref="I55:I61">+F55/$F$63</f>
        <v>0.07662759618186223</v>
      </c>
      <c r="J55" s="259">
        <f aca="true" t="shared" si="8" ref="J55:J61">+(E55+F55)/($E$63+$F$63)</f>
        <v>0.33397210335928423</v>
      </c>
      <c r="K55" s="484"/>
      <c r="L55" s="31"/>
    </row>
    <row r="56" spans="1:12" ht="15.75">
      <c r="A56" s="4"/>
      <c r="B56" s="74" t="s">
        <v>153</v>
      </c>
      <c r="C56" s="83">
        <v>3</v>
      </c>
      <c r="D56" s="165">
        <f>+'FY2005 SP Billing Det.'!F42</f>
        <v>2999912.306467323</v>
      </c>
      <c r="E56" s="164">
        <f>+'FY2005 Presort Billing Det.'!D25</f>
        <v>44680386.18054877</v>
      </c>
      <c r="F56" s="164">
        <f>+'FY2005 Presort Billing Det.'!E25</f>
        <v>5408998.340532357</v>
      </c>
      <c r="G56" s="256">
        <f t="shared" si="5"/>
        <v>0.10759751808551316</v>
      </c>
      <c r="H56" s="257">
        <f t="shared" si="6"/>
        <v>0.11006924096182918</v>
      </c>
      <c r="I56" s="258">
        <f t="shared" si="7"/>
        <v>0.0360690013780267</v>
      </c>
      <c r="J56" s="259">
        <f t="shared" si="8"/>
        <v>0.09010627009546049</v>
      </c>
      <c r="L56" s="31"/>
    </row>
    <row r="57" spans="1:12" ht="15.75">
      <c r="A57" s="4"/>
      <c r="B57" s="74" t="s">
        <v>154</v>
      </c>
      <c r="C57" s="83">
        <v>4</v>
      </c>
      <c r="D57" s="165">
        <f>+'FY2005 SP Billing Det.'!G42</f>
        <v>4214215.072620982</v>
      </c>
      <c r="E57" s="164">
        <f>+'FY2005 Presort Billing Det.'!D26</f>
        <v>24424940.05961546</v>
      </c>
      <c r="F57" s="164">
        <f>+'FY2005 Presort Billing Det.'!E26</f>
        <v>1473346.1085744062</v>
      </c>
      <c r="G57" s="256">
        <f t="shared" si="5"/>
        <v>0.15115077914612282</v>
      </c>
      <c r="H57" s="257">
        <f t="shared" si="6"/>
        <v>0.06017035309489862</v>
      </c>
      <c r="I57" s="258">
        <f t="shared" si="7"/>
        <v>0.009824762271095511</v>
      </c>
      <c r="J57" s="259">
        <f t="shared" si="8"/>
        <v>0.04658867324469325</v>
      </c>
      <c r="L57" s="31"/>
    </row>
    <row r="58" spans="1:12" ht="15.75">
      <c r="A58" s="4"/>
      <c r="B58" s="74" t="s">
        <v>155</v>
      </c>
      <c r="C58" s="83">
        <v>5</v>
      </c>
      <c r="D58" s="165">
        <f>+'FY2005 SP Billing Det.'!H42</f>
        <v>4314918.906397033</v>
      </c>
      <c r="E58" s="164">
        <f>+'FY2005 Presort Billing Det.'!D27</f>
        <v>17510506.518963825</v>
      </c>
      <c r="F58" s="164">
        <f>+'FY2005 Presort Billing Det.'!E27</f>
        <v>578292.7443175764</v>
      </c>
      <c r="G58" s="256">
        <f t="shared" si="5"/>
        <v>0.1547627122525138</v>
      </c>
      <c r="H58" s="257">
        <f t="shared" si="6"/>
        <v>0.043136783858832746</v>
      </c>
      <c r="I58" s="258">
        <f t="shared" si="7"/>
        <v>0.0038562485100782267</v>
      </c>
      <c r="J58" s="259">
        <f t="shared" si="8"/>
        <v>0.03254011299407799</v>
      </c>
      <c r="L58" s="31"/>
    </row>
    <row r="59" spans="1:12" ht="15.75">
      <c r="A59" s="4"/>
      <c r="B59" s="74" t="s">
        <v>156</v>
      </c>
      <c r="C59" s="83">
        <v>6</v>
      </c>
      <c r="D59" s="165">
        <f>+'FY2005 SP Billing Det.'!I42</f>
        <v>2363285.3612651876</v>
      </c>
      <c r="E59" s="164">
        <f>+'FY2005 Presort Billing Det.'!D28</f>
        <v>9523216.706615832</v>
      </c>
      <c r="F59" s="164">
        <f>+'FY2005 Presort Billing Det.'!E28</f>
        <v>155294.91761904676</v>
      </c>
      <c r="G59" s="256">
        <f t="shared" si="5"/>
        <v>0.08476369087581838</v>
      </c>
      <c r="H59" s="257">
        <f t="shared" si="6"/>
        <v>0.023460254577399916</v>
      </c>
      <c r="I59" s="258">
        <f t="shared" si="7"/>
        <v>0.0010355582022697853</v>
      </c>
      <c r="J59" s="259">
        <f t="shared" si="8"/>
        <v>0.017410766590041118</v>
      </c>
      <c r="L59" s="31"/>
    </row>
    <row r="60" spans="1:12" ht="15.75">
      <c r="A60" s="4"/>
      <c r="B60" s="74" t="s">
        <v>157</v>
      </c>
      <c r="C60" s="83">
        <v>7</v>
      </c>
      <c r="D60" s="165">
        <f>+'FY2005 SP Billing Det.'!J42</f>
        <v>1432325.4998404176</v>
      </c>
      <c r="E60" s="164">
        <f>+'FY2005 Presort Billing Det.'!D29</f>
        <v>5991359.418380047</v>
      </c>
      <c r="F60" s="164">
        <f>+'FY2005 Presort Billing Det.'!E29</f>
        <v>494677.91824445163</v>
      </c>
      <c r="G60" s="256">
        <f t="shared" si="5"/>
        <v>0.051373057986120074</v>
      </c>
      <c r="H60" s="257">
        <f t="shared" si="6"/>
        <v>0.014759594530937389</v>
      </c>
      <c r="I60" s="258">
        <f t="shared" si="7"/>
        <v>0.003298677017727173</v>
      </c>
      <c r="J60" s="259">
        <f t="shared" si="8"/>
        <v>0.01166779423806172</v>
      </c>
      <c r="L60" s="31"/>
    </row>
    <row r="61" spans="1:12" ht="15.75">
      <c r="A61" s="4"/>
      <c r="B61" s="74" t="s">
        <v>158</v>
      </c>
      <c r="C61" s="83">
        <v>8</v>
      </c>
      <c r="D61" s="165">
        <f>+'FY2005 SP Billing Det.'!K42</f>
        <v>2644105.240323516</v>
      </c>
      <c r="E61" s="164">
        <f>+'FY2005 Presort Billing Det.'!D30</f>
        <v>11849415.515485061</v>
      </c>
      <c r="F61" s="164">
        <f>+'FY2005 Presort Billing Det.'!E30</f>
        <v>525407.5457377211</v>
      </c>
      <c r="G61" s="256">
        <f t="shared" si="5"/>
        <v>0.09483582596810437</v>
      </c>
      <c r="H61" s="257">
        <f t="shared" si="6"/>
        <v>0.02919079898639192</v>
      </c>
      <c r="I61" s="258">
        <f t="shared" si="7"/>
        <v>0.003503592402539788</v>
      </c>
      <c r="J61" s="259">
        <f t="shared" si="8"/>
        <v>0.022261186872216055</v>
      </c>
      <c r="L61" s="31"/>
    </row>
    <row r="62" spans="1:14" ht="15.75">
      <c r="A62" s="4"/>
      <c r="B62" s="74"/>
      <c r="C62" s="83"/>
      <c r="D62" s="134"/>
      <c r="E62" s="166"/>
      <c r="F62" s="166"/>
      <c r="G62" s="260"/>
      <c r="H62" s="257"/>
      <c r="I62" s="258"/>
      <c r="J62" s="223"/>
      <c r="L62" s="32"/>
      <c r="N62" s="19"/>
    </row>
    <row r="63" spans="1:14" ht="15.75">
      <c r="A63" s="4"/>
      <c r="B63" s="74" t="s">
        <v>159</v>
      </c>
      <c r="C63" s="83" t="s">
        <v>844</v>
      </c>
      <c r="D63" s="134">
        <f>SUM(D54:D61)</f>
        <v>27880869</v>
      </c>
      <c r="E63" s="166">
        <f aca="true" t="shared" si="9" ref="E63:J63">SUM(E54:E61)</f>
        <v>405929810.99999994</v>
      </c>
      <c r="F63" s="166">
        <f t="shared" si="9"/>
        <v>149962520.00000003</v>
      </c>
      <c r="G63" s="260">
        <f>SUM(G54:G61)</f>
        <v>1</v>
      </c>
      <c r="H63" s="257">
        <f t="shared" si="9"/>
        <v>1</v>
      </c>
      <c r="I63" s="258">
        <f t="shared" si="9"/>
        <v>0.9999999999999998</v>
      </c>
      <c r="J63" s="259">
        <f t="shared" si="9"/>
        <v>1</v>
      </c>
      <c r="L63" s="32"/>
      <c r="N63" s="19"/>
    </row>
    <row r="64" spans="1:14" ht="15.75">
      <c r="A64" s="4"/>
      <c r="B64" s="74"/>
      <c r="C64" s="83"/>
      <c r="D64" s="134"/>
      <c r="E64" s="166"/>
      <c r="F64" s="166"/>
      <c r="G64" s="260"/>
      <c r="H64" s="257"/>
      <c r="I64" s="258"/>
      <c r="J64" s="259"/>
      <c r="L64" s="32"/>
      <c r="N64" s="19"/>
    </row>
    <row r="65" spans="1:14" ht="15.75">
      <c r="A65" s="4"/>
      <c r="B65" s="202"/>
      <c r="C65" s="129" t="s">
        <v>877</v>
      </c>
      <c r="D65" s="134"/>
      <c r="E65" s="166"/>
      <c r="F65" s="166"/>
      <c r="G65" s="261"/>
      <c r="H65" s="166"/>
      <c r="I65" s="134"/>
      <c r="J65" s="223"/>
      <c r="L65" s="33"/>
      <c r="N65" s="19"/>
    </row>
    <row r="66" spans="1:14" ht="15.75">
      <c r="A66" s="4"/>
      <c r="B66" s="202" t="s">
        <v>160</v>
      </c>
      <c r="C66" s="222" t="s">
        <v>880</v>
      </c>
      <c r="D66" s="262">
        <f>+D63/($E$63+$F$63+$D$63)</f>
        <v>0.04775976183901556</v>
      </c>
      <c r="E66" s="262">
        <f>+E63/($E$63+$F$63+$D$63)</f>
        <v>0.6953553383403005</v>
      </c>
      <c r="F66" s="262">
        <f>+F63/($E$63+$F$63+$D$63)</f>
        <v>0.25688489982068385</v>
      </c>
      <c r="G66" s="261"/>
      <c r="H66" s="166"/>
      <c r="I66" s="134"/>
      <c r="J66" s="263"/>
      <c r="L66" s="33"/>
      <c r="N66" s="19"/>
    </row>
    <row r="67" spans="1:14" ht="15.75">
      <c r="A67" s="4"/>
      <c r="B67" s="202"/>
      <c r="C67" s="222" t="s">
        <v>839</v>
      </c>
      <c r="D67" s="262"/>
      <c r="E67" s="262"/>
      <c r="F67" s="262"/>
      <c r="G67" s="261"/>
      <c r="H67" s="166"/>
      <c r="I67" s="134"/>
      <c r="J67" s="263"/>
      <c r="L67" s="33"/>
      <c r="N67" s="19"/>
    </row>
    <row r="68" spans="1:14" ht="16.5" thickBot="1">
      <c r="A68" s="179"/>
      <c r="B68" s="236"/>
      <c r="C68" s="135"/>
      <c r="D68" s="264"/>
      <c r="E68" s="170"/>
      <c r="F68" s="170"/>
      <c r="G68" s="265"/>
      <c r="H68" s="266"/>
      <c r="I68" s="137"/>
      <c r="J68" s="267"/>
      <c r="L68" s="33"/>
      <c r="N68" s="19"/>
    </row>
    <row r="69" spans="1:12" ht="12.75">
      <c r="A69" s="62"/>
      <c r="B69" s="39"/>
      <c r="C69" s="225"/>
      <c r="D69" s="225"/>
      <c r="E69" s="225"/>
      <c r="F69" s="225"/>
      <c r="G69" s="225"/>
      <c r="H69" s="225"/>
      <c r="I69" s="225"/>
      <c r="J69" s="226"/>
      <c r="L69" s="19"/>
    </row>
    <row r="70" spans="1:10" ht="15.75">
      <c r="A70" s="63"/>
      <c r="B70" s="41"/>
      <c r="C70" s="203" t="s">
        <v>811</v>
      </c>
      <c r="D70" s="227"/>
      <c r="E70" s="227"/>
      <c r="F70" s="227"/>
      <c r="G70" s="227"/>
      <c r="H70" s="227"/>
      <c r="I70" s="227"/>
      <c r="J70" s="228"/>
    </row>
    <row r="71" spans="1:10" ht="13.5" thickBot="1">
      <c r="A71" s="63"/>
      <c r="B71" s="41"/>
      <c r="C71" s="229"/>
      <c r="D71" s="230"/>
      <c r="E71" s="230"/>
      <c r="F71" s="230"/>
      <c r="G71" s="230"/>
      <c r="H71" s="230"/>
      <c r="I71" s="230"/>
      <c r="J71" s="231"/>
    </row>
    <row r="72" spans="1:10" ht="13.5" thickTop="1">
      <c r="A72" s="63"/>
      <c r="B72" s="41"/>
      <c r="C72" s="227" t="s">
        <v>833</v>
      </c>
      <c r="D72" s="227" t="s">
        <v>493</v>
      </c>
      <c r="E72" s="227"/>
      <c r="F72" s="227"/>
      <c r="G72" s="227"/>
      <c r="H72" s="227"/>
      <c r="I72" s="227"/>
      <c r="J72" s="228"/>
    </row>
    <row r="73" spans="1:10" ht="12.75">
      <c r="A73" s="63"/>
      <c r="B73" s="41"/>
      <c r="C73" s="227"/>
      <c r="D73" s="227" t="s">
        <v>494</v>
      </c>
      <c r="E73" s="227"/>
      <c r="F73" s="227"/>
      <c r="G73" s="227"/>
      <c r="H73" s="227"/>
      <c r="I73" s="227"/>
      <c r="J73" s="228"/>
    </row>
    <row r="74" spans="1:10" ht="12.75">
      <c r="A74" s="63"/>
      <c r="B74" s="41"/>
      <c r="C74" s="227"/>
      <c r="D74" s="227" t="s">
        <v>273</v>
      </c>
      <c r="E74" s="227"/>
      <c r="F74" s="227"/>
      <c r="G74" s="227"/>
      <c r="H74" s="227"/>
      <c r="I74" s="227"/>
      <c r="J74" s="228"/>
    </row>
    <row r="75" spans="1:10" ht="12.75">
      <c r="A75" s="63"/>
      <c r="B75" s="41"/>
      <c r="C75" s="227"/>
      <c r="D75" s="227" t="s">
        <v>274</v>
      </c>
      <c r="E75" s="227"/>
      <c r="F75" s="227"/>
      <c r="G75" s="227"/>
      <c r="H75" s="227"/>
      <c r="I75" s="227"/>
      <c r="J75" s="228"/>
    </row>
    <row r="76" spans="1:10" ht="12.75">
      <c r="A76" s="63"/>
      <c r="B76" s="41"/>
      <c r="C76" s="227"/>
      <c r="D76" s="227" t="s">
        <v>275</v>
      </c>
      <c r="E76" s="227"/>
      <c r="F76" s="227"/>
      <c r="G76" s="227"/>
      <c r="H76" s="227"/>
      <c r="I76" s="227"/>
      <c r="J76" s="228"/>
    </row>
    <row r="77" spans="1:10" ht="12.75">
      <c r="A77" s="63"/>
      <c r="B77" s="41"/>
      <c r="C77" s="227" t="s">
        <v>831</v>
      </c>
      <c r="D77" s="227" t="s">
        <v>276</v>
      </c>
      <c r="E77" s="227"/>
      <c r="F77" s="227"/>
      <c r="G77" s="227"/>
      <c r="H77" s="227"/>
      <c r="I77" s="227"/>
      <c r="J77" s="228"/>
    </row>
    <row r="78" spans="1:10" ht="12.75">
      <c r="A78" s="63"/>
      <c r="B78" s="41"/>
      <c r="C78" s="227" t="s">
        <v>828</v>
      </c>
      <c r="D78" s="227" t="s">
        <v>277</v>
      </c>
      <c r="E78" s="227"/>
      <c r="F78" s="227"/>
      <c r="G78" s="227"/>
      <c r="H78" s="227"/>
      <c r="I78" s="227"/>
      <c r="J78" s="228"/>
    </row>
    <row r="79" spans="1:10" ht="12.75">
      <c r="A79" s="63"/>
      <c r="B79" s="41"/>
      <c r="C79" s="227" t="s">
        <v>826</v>
      </c>
      <c r="D79" s="227" t="s">
        <v>278</v>
      </c>
      <c r="E79" s="227"/>
      <c r="F79" s="227"/>
      <c r="G79" s="227"/>
      <c r="H79" s="227"/>
      <c r="I79" s="227"/>
      <c r="J79" s="228"/>
    </row>
    <row r="80" spans="1:10" ht="12.75">
      <c r="A80" s="63"/>
      <c r="B80" s="41"/>
      <c r="C80" s="227" t="s">
        <v>822</v>
      </c>
      <c r="D80" s="227" t="s">
        <v>279</v>
      </c>
      <c r="E80" s="227"/>
      <c r="F80" s="227"/>
      <c r="G80" s="227"/>
      <c r="H80" s="227"/>
      <c r="I80" s="227"/>
      <c r="J80" s="228"/>
    </row>
    <row r="81" spans="1:10" ht="13.5" thickBot="1">
      <c r="A81" s="21"/>
      <c r="B81" s="43"/>
      <c r="C81" s="233"/>
      <c r="D81" s="233"/>
      <c r="E81" s="233"/>
      <c r="F81" s="233"/>
      <c r="G81" s="233"/>
      <c r="H81" s="233"/>
      <c r="I81" s="233"/>
      <c r="J81" s="234"/>
    </row>
    <row r="82" spans="10:11" ht="12.75">
      <c r="J82" s="19"/>
      <c r="K82" s="19"/>
    </row>
  </sheetData>
  <mergeCells count="6">
    <mergeCell ref="A4:I4"/>
    <mergeCell ref="G8:H8"/>
    <mergeCell ref="D48:F48"/>
    <mergeCell ref="A45:J45"/>
    <mergeCell ref="D7:F7"/>
    <mergeCell ref="G7:I7"/>
  </mergeCells>
  <printOptions/>
  <pageMargins left="0.75" right="0.75" top="1" bottom="1" header="0.5" footer="0.5"/>
  <pageSetup fitToHeight="0" horizontalDpi="600" verticalDpi="600" orientation="portrait" scale="60" r:id="rId1"/>
  <headerFooter alignWithMargins="0">
    <oddHeader>&amp;RUSPS-LR-L-41
Bound Printed Matter Spreadsheets
&amp;A</oddHeader>
    <oddFooter xml:space="preserve">&amp;CPage &amp;P of &amp;N&amp;R&amp;D </oddFoot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1.7109375" style="0" customWidth="1"/>
    <col min="4" max="4" width="21.7109375" style="0" customWidth="1"/>
    <col min="5" max="5" width="20.00390625" style="0" customWidth="1"/>
    <col min="6" max="7" width="13.7109375" style="0" customWidth="1"/>
    <col min="8" max="8" width="15.00390625" style="0" customWidth="1"/>
    <col min="9" max="9" width="18.28125" style="0" customWidth="1"/>
    <col min="10" max="10" width="18.00390625" style="0" customWidth="1"/>
    <col min="11" max="11" width="15.421875" style="0" customWidth="1"/>
    <col min="12" max="12" width="15.28125" style="0" customWidth="1"/>
    <col min="13" max="13" width="14.00390625" style="0" customWidth="1"/>
    <col min="14" max="14" width="19.28125" style="0" customWidth="1"/>
    <col min="15" max="15" width="16.140625" style="0" customWidth="1"/>
    <col min="16" max="16" width="14.421875" style="0" customWidth="1"/>
    <col min="17" max="17" width="18.140625" style="0" customWidth="1"/>
    <col min="18" max="18" width="19.28125" style="0" customWidth="1"/>
    <col min="19" max="19" width="12.00390625" style="0" bestFit="1" customWidth="1"/>
    <col min="20" max="20" width="12.7109375" style="0" bestFit="1" customWidth="1"/>
    <col min="21" max="21" width="18.7109375" style="0" bestFit="1" customWidth="1"/>
  </cols>
  <sheetData>
    <row r="1" spans="1:17" ht="15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</row>
    <row r="2" spans="1:17" ht="15.75">
      <c r="A2" s="4"/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655" t="s">
        <v>591</v>
      </c>
    </row>
    <row r="3" spans="1:17" ht="15.75">
      <c r="A3" s="4"/>
      <c r="B3" s="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655" t="s">
        <v>408</v>
      </c>
    </row>
    <row r="4" spans="1:17" ht="18">
      <c r="A4" s="692" t="s">
        <v>425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4"/>
    </row>
    <row r="5" spans="1:17" ht="15.75" thickBot="1">
      <c r="A5" s="1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77"/>
      <c r="O5" s="11"/>
      <c r="P5" s="11"/>
      <c r="Q5" s="13"/>
    </row>
    <row r="6" spans="1:17" ht="16.5" thickTop="1">
      <c r="A6" s="4"/>
      <c r="B6" s="14"/>
      <c r="C6" s="118"/>
      <c r="D6" s="268"/>
      <c r="E6" s="115"/>
      <c r="F6" s="115"/>
      <c r="G6" s="115"/>
      <c r="H6" s="115"/>
      <c r="I6" s="115"/>
      <c r="J6" s="115"/>
      <c r="K6" s="115"/>
      <c r="L6" s="115"/>
      <c r="M6" s="115"/>
      <c r="N6" s="116"/>
      <c r="O6" s="151"/>
      <c r="P6" s="145"/>
      <c r="Q6" s="146"/>
    </row>
    <row r="7" spans="1:17" ht="18.75">
      <c r="A7" s="4"/>
      <c r="B7" s="14"/>
      <c r="C7" s="118"/>
      <c r="D7" s="699" t="s">
        <v>282</v>
      </c>
      <c r="E7" s="700"/>
      <c r="F7" s="700"/>
      <c r="G7" s="700"/>
      <c r="H7" s="700"/>
      <c r="I7" s="700"/>
      <c r="J7" s="700"/>
      <c r="K7" s="700"/>
      <c r="L7" s="700"/>
      <c r="M7" s="700"/>
      <c r="N7" s="703"/>
      <c r="O7" s="681" t="s">
        <v>283</v>
      </c>
      <c r="P7" s="682"/>
      <c r="Q7" s="683"/>
    </row>
    <row r="8" spans="1:17" ht="15.75">
      <c r="A8" s="4"/>
      <c r="B8" s="178"/>
      <c r="C8" s="153"/>
      <c r="D8" s="159"/>
      <c r="E8" s="149"/>
      <c r="F8" s="149"/>
      <c r="G8" s="149"/>
      <c r="H8" s="149"/>
      <c r="I8" s="67"/>
      <c r="J8" s="67"/>
      <c r="K8" s="67"/>
      <c r="L8" s="67"/>
      <c r="M8" s="67"/>
      <c r="N8" s="483"/>
      <c r="O8" s="154"/>
      <c r="P8" s="82"/>
      <c r="Q8" s="160"/>
    </row>
    <row r="9" spans="1:17" ht="15.75">
      <c r="A9" s="4"/>
      <c r="B9" s="178"/>
      <c r="C9" s="153"/>
      <c r="D9" s="482"/>
      <c r="E9" s="296"/>
      <c r="F9" s="163"/>
      <c r="G9" s="163"/>
      <c r="H9" s="296"/>
      <c r="I9" s="485"/>
      <c r="J9" s="485"/>
      <c r="K9" s="485"/>
      <c r="L9" s="485"/>
      <c r="M9" s="485"/>
      <c r="N9" s="485"/>
      <c r="O9" s="237"/>
      <c r="P9" s="237"/>
      <c r="Q9" s="128"/>
    </row>
    <row r="10" spans="1:17" ht="15.75">
      <c r="A10" s="4"/>
      <c r="B10" s="178"/>
      <c r="C10" s="153"/>
      <c r="D10" s="482"/>
      <c r="E10" s="699" t="s">
        <v>879</v>
      </c>
      <c r="F10" s="700"/>
      <c r="G10" s="703"/>
      <c r="H10" s="699" t="s">
        <v>846</v>
      </c>
      <c r="I10" s="700"/>
      <c r="J10" s="700"/>
      <c r="K10" s="700"/>
      <c r="L10" s="700"/>
      <c r="M10" s="700"/>
      <c r="N10" s="700"/>
      <c r="O10" s="157"/>
      <c r="P10" s="157"/>
      <c r="Q10" s="128"/>
    </row>
    <row r="11" spans="1:17" ht="15.75">
      <c r="A11" s="4"/>
      <c r="B11" s="178"/>
      <c r="C11" s="156"/>
      <c r="D11" s="127"/>
      <c r="E11" s="154"/>
      <c r="F11" s="82"/>
      <c r="G11" s="82"/>
      <c r="H11" s="697"/>
      <c r="I11" s="719"/>
      <c r="J11" s="719"/>
      <c r="K11" s="719"/>
      <c r="L11" s="719"/>
      <c r="M11" s="719"/>
      <c r="N11" s="719"/>
      <c r="O11" s="157"/>
      <c r="P11" s="157"/>
      <c r="Q11" s="128"/>
    </row>
    <row r="12" spans="1:17" ht="15.75">
      <c r="A12" s="4"/>
      <c r="B12" s="178"/>
      <c r="C12" s="156"/>
      <c r="D12" s="157"/>
      <c r="E12" s="127"/>
      <c r="F12" s="127"/>
      <c r="G12" s="127"/>
      <c r="H12" s="157"/>
      <c r="I12" s="684" t="s">
        <v>144</v>
      </c>
      <c r="J12" s="685"/>
      <c r="K12" s="686"/>
      <c r="L12" s="684" t="s">
        <v>145</v>
      </c>
      <c r="M12" s="685"/>
      <c r="N12" s="685"/>
      <c r="O12" s="157"/>
      <c r="P12" s="157" t="s">
        <v>841</v>
      </c>
      <c r="Q12" s="128"/>
    </row>
    <row r="13" spans="1:17" ht="15.75">
      <c r="A13" s="4"/>
      <c r="B13" s="178"/>
      <c r="C13" s="156"/>
      <c r="D13" s="157"/>
      <c r="E13" s="127"/>
      <c r="F13" s="127"/>
      <c r="G13" s="127" t="s">
        <v>898</v>
      </c>
      <c r="H13" s="157"/>
      <c r="I13" s="157" t="s">
        <v>847</v>
      </c>
      <c r="J13" s="127" t="s">
        <v>847</v>
      </c>
      <c r="K13" s="127" t="s">
        <v>847</v>
      </c>
      <c r="L13" s="127" t="s">
        <v>901</v>
      </c>
      <c r="M13" s="127" t="s">
        <v>901</v>
      </c>
      <c r="N13" s="127" t="s">
        <v>901</v>
      </c>
      <c r="O13" s="157" t="s">
        <v>844</v>
      </c>
      <c r="P13" s="157" t="s">
        <v>842</v>
      </c>
      <c r="Q13" s="128" t="s">
        <v>846</v>
      </c>
    </row>
    <row r="14" spans="1:17" ht="15.75">
      <c r="A14" s="4"/>
      <c r="B14" s="178"/>
      <c r="C14" s="156"/>
      <c r="D14" s="157" t="s">
        <v>844</v>
      </c>
      <c r="E14" s="127" t="s">
        <v>844</v>
      </c>
      <c r="F14" s="127" t="s">
        <v>897</v>
      </c>
      <c r="G14" s="127" t="s">
        <v>899</v>
      </c>
      <c r="H14" s="157" t="s">
        <v>844</v>
      </c>
      <c r="I14" s="157" t="s">
        <v>844</v>
      </c>
      <c r="J14" s="127" t="s">
        <v>897</v>
      </c>
      <c r="K14" s="127" t="s">
        <v>900</v>
      </c>
      <c r="L14" s="157" t="s">
        <v>844</v>
      </c>
      <c r="M14" s="127" t="s">
        <v>897</v>
      </c>
      <c r="N14" s="127" t="s">
        <v>900</v>
      </c>
      <c r="O14" s="157"/>
      <c r="P14" s="157"/>
      <c r="Q14" s="128"/>
    </row>
    <row r="15" spans="1:17" ht="15.75">
      <c r="A15" s="4"/>
      <c r="B15" s="178"/>
      <c r="C15" s="81" t="s">
        <v>848</v>
      </c>
      <c r="D15" s="269" t="s">
        <v>163</v>
      </c>
      <c r="E15" s="159" t="s">
        <v>164</v>
      </c>
      <c r="F15" s="159" t="s">
        <v>165</v>
      </c>
      <c r="G15" s="159" t="s">
        <v>166</v>
      </c>
      <c r="H15" s="158" t="s">
        <v>167</v>
      </c>
      <c r="I15" s="158" t="s">
        <v>168</v>
      </c>
      <c r="J15" s="159" t="s">
        <v>169</v>
      </c>
      <c r="K15" s="159" t="s">
        <v>170</v>
      </c>
      <c r="L15" s="159" t="s">
        <v>171</v>
      </c>
      <c r="M15" s="159" t="s">
        <v>172</v>
      </c>
      <c r="N15" s="159" t="s">
        <v>289</v>
      </c>
      <c r="O15" s="269" t="s">
        <v>691</v>
      </c>
      <c r="P15" s="269" t="s">
        <v>692</v>
      </c>
      <c r="Q15" s="160" t="s">
        <v>693</v>
      </c>
    </row>
    <row r="16" spans="1:17" ht="15.75">
      <c r="A16" s="4"/>
      <c r="B16" s="178"/>
      <c r="C16" s="222"/>
      <c r="D16" s="270"/>
      <c r="E16" s="271"/>
      <c r="F16" s="271"/>
      <c r="G16" s="271"/>
      <c r="H16" s="271"/>
      <c r="I16" s="272"/>
      <c r="J16" s="271"/>
      <c r="K16" s="271"/>
      <c r="L16" s="271"/>
      <c r="M16" s="271"/>
      <c r="N16" s="271"/>
      <c r="O16" s="273"/>
      <c r="P16" s="207"/>
      <c r="Q16" s="274"/>
    </row>
    <row r="17" spans="1:19" ht="15.75">
      <c r="A17" s="4"/>
      <c r="B17" s="178" t="s">
        <v>151</v>
      </c>
      <c r="C17" s="222" t="s">
        <v>881</v>
      </c>
      <c r="D17" s="275">
        <f>+Inputs!D21</f>
        <v>648784884.637037</v>
      </c>
      <c r="E17" s="276">
        <f>+$D$17*'Distribution Factors'!D66</f>
        <v>30985811.575018074</v>
      </c>
      <c r="F17" s="276">
        <f>+E17*Inputs!$D$32</f>
        <v>13606000.361195033</v>
      </c>
      <c r="G17" s="276">
        <f>+E17-F17</f>
        <v>17379811.213823043</v>
      </c>
      <c r="H17" s="276">
        <f>+I17+L17</f>
        <v>617799073.0620189</v>
      </c>
      <c r="I17" s="276">
        <f>+$D$17*'Distribution Factors'!E66</f>
        <v>451136032.9668597</v>
      </c>
      <c r="J17" s="276">
        <f>+I17*Inputs!$D$33</f>
        <v>176009198.7346459</v>
      </c>
      <c r="K17" s="276">
        <f>+I17-J17</f>
        <v>275126834.2322138</v>
      </c>
      <c r="L17" s="276">
        <f>+$D$17*'Distribution Factors'!F66</f>
        <v>166663040.0951592</v>
      </c>
      <c r="M17" s="276">
        <f>+L17*Inputs!$D$34</f>
        <v>108747147.66234002</v>
      </c>
      <c r="N17" s="276">
        <f>+L17-M17</f>
        <v>57915892.43281919</v>
      </c>
      <c r="O17" s="277">
        <f>+Q17+P17</f>
        <v>1513468528.4152608</v>
      </c>
      <c r="P17" s="277">
        <f>+'Distribution Factors'!D22/'Distribution Factors'!D63*('TYBR Pieces &amp; Pounds'!E17)</f>
        <v>67266925.51755972</v>
      </c>
      <c r="Q17" s="278">
        <f>+'Distribution Factors'!E22/('Distribution Factors'!E63+'Distribution Factors'!F63)*(H17)</f>
        <v>1446201602.897701</v>
      </c>
      <c r="R17" s="51"/>
      <c r="S17" s="51"/>
    </row>
    <row r="18" spans="1:17" ht="15.75">
      <c r="A18" s="4"/>
      <c r="B18" s="74"/>
      <c r="C18" s="83"/>
      <c r="D18" s="276"/>
      <c r="E18" s="164"/>
      <c r="F18" s="164"/>
      <c r="G18" s="164"/>
      <c r="H18" s="276"/>
      <c r="I18" s="164"/>
      <c r="J18" s="164"/>
      <c r="K18" s="164"/>
      <c r="L18" s="164"/>
      <c r="M18" s="164"/>
      <c r="N18" s="276"/>
      <c r="O18" s="277"/>
      <c r="P18" s="249"/>
      <c r="Q18" s="250"/>
    </row>
    <row r="19" spans="1:20" ht="15.75">
      <c r="A19" s="4"/>
      <c r="B19" s="74" t="s">
        <v>152</v>
      </c>
      <c r="C19" s="83" t="s">
        <v>849</v>
      </c>
      <c r="D19" s="276">
        <f aca="true" t="shared" si="0" ref="D19:D25">+I19+L19+E19</f>
        <v>492544128.25690335</v>
      </c>
      <c r="E19" s="164">
        <f>+E$17*('Distribution Factors'!G54+'Distribution Factors'!G55)</f>
        <v>11015964.66826623</v>
      </c>
      <c r="F19" s="276">
        <f>+E19*Inputs!$D$32</f>
        <v>4837156.48023186</v>
      </c>
      <c r="G19" s="276">
        <f aca="true" t="shared" si="1" ref="G19:G25">+E19-F19</f>
        <v>6178808.18803437</v>
      </c>
      <c r="H19" s="276">
        <f aca="true" t="shared" si="2" ref="H19:H25">+I19+L19</f>
        <v>481528163.5886371</v>
      </c>
      <c r="I19" s="164">
        <f>+I$17*('Distribution Factors'!H54+'Distribution Factors'!H55)</f>
        <v>324462887.9440152</v>
      </c>
      <c r="J19" s="276">
        <f>+I19*Inputs!$D$33</f>
        <v>126588099.27149065</v>
      </c>
      <c r="K19" s="276">
        <f aca="true" t="shared" si="3" ref="K19:K25">+I19-J19</f>
        <v>197874788.67252457</v>
      </c>
      <c r="L19" s="164">
        <f>+L$17*('Distribution Factors'!I54+'Distribution Factors'!I55)</f>
        <v>157065275.6446219</v>
      </c>
      <c r="M19" s="276">
        <f>+L19*Inputs!$D$34</f>
        <v>102484634.34604025</v>
      </c>
      <c r="N19" s="276">
        <f aca="true" t="shared" si="4" ref="N19:N25">+L19-M19</f>
        <v>54580641.29858166</v>
      </c>
      <c r="O19" s="277">
        <f aca="true" t="shared" si="5" ref="O19:O25">+Q19+P19</f>
        <v>1165862457.6831527</v>
      </c>
      <c r="P19" s="249">
        <f>+P$17*('Distribution Factors'!G13+'Distribution Factors'!G14)</f>
        <v>23027309.37083881</v>
      </c>
      <c r="Q19" s="250">
        <f>+Q$17*('Distribution Factors'!H13+'Distribution Factors'!H14)</f>
        <v>1142835148.3123138</v>
      </c>
      <c r="T19" s="49"/>
    </row>
    <row r="20" spans="1:20" ht="15.75">
      <c r="A20" s="4"/>
      <c r="B20" s="74" t="s">
        <v>153</v>
      </c>
      <c r="C20" s="83">
        <v>3</v>
      </c>
      <c r="D20" s="276">
        <f t="shared" si="0"/>
        <v>59001566.56338872</v>
      </c>
      <c r="E20" s="164">
        <f>+E$17*'Distribution Factors'!G56</f>
        <v>3333996.42133731</v>
      </c>
      <c r="F20" s="276">
        <f>+E20*Inputs!$D$32</f>
        <v>1463971.8699351812</v>
      </c>
      <c r="G20" s="276">
        <f t="shared" si="1"/>
        <v>1870024.551402129</v>
      </c>
      <c r="H20" s="276">
        <f t="shared" si="2"/>
        <v>55667570.14205141</v>
      </c>
      <c r="I20" s="164">
        <f>+I$17*'Distribution Factors'!H56</f>
        <v>49656200.719193</v>
      </c>
      <c r="J20" s="276">
        <f>+I20*Inputs!$D$33</f>
        <v>19373198.90702222</v>
      </c>
      <c r="K20" s="276">
        <f t="shared" si="3"/>
        <v>30283001.812170777</v>
      </c>
      <c r="L20" s="164">
        <f>+L$17*'Distribution Factors'!I56</f>
        <v>6011369.422858416</v>
      </c>
      <c r="M20" s="276">
        <f>+L20*Inputs!$D$34</f>
        <v>3922401.0188894146</v>
      </c>
      <c r="N20" s="276">
        <f t="shared" si="4"/>
        <v>2088968.4039690015</v>
      </c>
      <c r="O20" s="277">
        <f t="shared" si="5"/>
        <v>147810728.16322684</v>
      </c>
      <c r="P20" s="249">
        <f>+P$17*'Distribution Factors'!G15</f>
        <v>7644870.552239637</v>
      </c>
      <c r="Q20" s="250">
        <f>+Q$17*'Distribution Factors'!H15</f>
        <v>140165857.61098722</v>
      </c>
      <c r="T20" s="49"/>
    </row>
    <row r="21" spans="1:20" ht="15.75">
      <c r="A21" s="4"/>
      <c r="B21" s="74" t="s">
        <v>154</v>
      </c>
      <c r="C21" s="83">
        <v>4</v>
      </c>
      <c r="D21" s="276">
        <f t="shared" si="0"/>
        <v>33465968.707799703</v>
      </c>
      <c r="E21" s="164">
        <f>+E$17*'Distribution Factors'!G57</f>
        <v>4683529.562038933</v>
      </c>
      <c r="F21" s="276">
        <f>+E21*Inputs!$D$32</f>
        <v>2056557.5556570578</v>
      </c>
      <c r="G21" s="276">
        <f t="shared" si="1"/>
        <v>2626972.006381875</v>
      </c>
      <c r="H21" s="276">
        <f t="shared" si="2"/>
        <v>28782439.14576077</v>
      </c>
      <c r="I21" s="164">
        <f>+I$17*'Distribution Factors'!H57</f>
        <v>27145014.397447772</v>
      </c>
      <c r="J21" s="276">
        <f>+I21*Inputs!$D$33</f>
        <v>10590535.635813827</v>
      </c>
      <c r="K21" s="276">
        <f t="shared" si="3"/>
        <v>16554478.761633946</v>
      </c>
      <c r="L21" s="164">
        <f>+L$17*'Distribution Factors'!I57</f>
        <v>1637424.7483129986</v>
      </c>
      <c r="M21" s="276">
        <f>+L21*Inputs!$D$34</f>
        <v>1068414.8734422105</v>
      </c>
      <c r="N21" s="276">
        <f t="shared" si="4"/>
        <v>569009.8748707881</v>
      </c>
      <c r="O21" s="277">
        <f t="shared" si="5"/>
        <v>75948585.3761025</v>
      </c>
      <c r="P21" s="249">
        <f>+P$17*'Distribution Factors'!G16</f>
        <v>10481081.457167724</v>
      </c>
      <c r="Q21" s="250">
        <f>+Q$17*'Distribution Factors'!H16</f>
        <v>65467503.918934785</v>
      </c>
      <c r="T21" s="49"/>
    </row>
    <row r="22" spans="1:20" ht="15.75">
      <c r="A22" s="4"/>
      <c r="B22" s="74" t="s">
        <v>155</v>
      </c>
      <c r="C22" s="83">
        <v>5</v>
      </c>
      <c r="D22" s="276">
        <f t="shared" si="0"/>
        <v>24898699.88576987</v>
      </c>
      <c r="E22" s="164">
        <f>+E$17*'Distribution Factors'!G58</f>
        <v>4795448.240695134</v>
      </c>
      <c r="F22" s="276">
        <f>+E22*Inputs!$D$32</f>
        <v>2105701.518807226</v>
      </c>
      <c r="G22" s="276">
        <f t="shared" si="1"/>
        <v>2689746.721887908</v>
      </c>
      <c r="H22" s="276">
        <f t="shared" si="2"/>
        <v>20103251.645074736</v>
      </c>
      <c r="I22" s="164">
        <f>+I$17*'Distribution Factors'!H58</f>
        <v>19460557.54502267</v>
      </c>
      <c r="J22" s="276">
        <f>+I22*Inputs!$D$33</f>
        <v>7592470.762982758</v>
      </c>
      <c r="K22" s="276">
        <f t="shared" si="3"/>
        <v>11868086.782039912</v>
      </c>
      <c r="L22" s="164">
        <f>+L$17*'Distribution Factors'!I58</f>
        <v>642694.1000520654</v>
      </c>
      <c r="M22" s="276">
        <f>+L22*Inputs!$D$34</f>
        <v>419356.0261481556</v>
      </c>
      <c r="N22" s="276">
        <f t="shared" si="4"/>
        <v>223338.07390390983</v>
      </c>
      <c r="O22" s="277">
        <f t="shared" si="5"/>
        <v>49773154.1044548</v>
      </c>
      <c r="P22" s="249">
        <f>+P$17*'Distribution Factors'!G17</f>
        <v>10884826.568759797</v>
      </c>
      <c r="Q22" s="250">
        <f>+Q$17*'Distribution Factors'!H17</f>
        <v>38888327.535695</v>
      </c>
      <c r="T22" s="49"/>
    </row>
    <row r="23" spans="1:20" ht="15.75">
      <c r="A23" s="4"/>
      <c r="B23" s="74" t="s">
        <v>156</v>
      </c>
      <c r="C23" s="83">
        <v>6</v>
      </c>
      <c r="D23" s="276">
        <f t="shared" si="0"/>
        <v>13382827.214507759</v>
      </c>
      <c r="E23" s="164">
        <f>+E$17*'Distribution Factors'!G59</f>
        <v>2626471.753881187</v>
      </c>
      <c r="F23" s="276">
        <f>+E23*Inputs!$D$32</f>
        <v>1153294.808672609</v>
      </c>
      <c r="G23" s="276">
        <f t="shared" si="1"/>
        <v>1473176.9452085781</v>
      </c>
      <c r="H23" s="276">
        <f t="shared" si="2"/>
        <v>10756355.46062657</v>
      </c>
      <c r="I23" s="164">
        <f>+I$17*'Distribution Factors'!H59</f>
        <v>10583766.18244081</v>
      </c>
      <c r="J23" s="276">
        <f>+I23*Inputs!$D$33</f>
        <v>4129220.610278968</v>
      </c>
      <c r="K23" s="276">
        <f t="shared" si="3"/>
        <v>6454545.572161842</v>
      </c>
      <c r="L23" s="164">
        <f>+L$17*'Distribution Factors'!I59</f>
        <v>172589.27818576022</v>
      </c>
      <c r="M23" s="276">
        <f>+L23*Inputs!$D$34</f>
        <v>112614.00073517971</v>
      </c>
      <c r="N23" s="276">
        <f t="shared" si="4"/>
        <v>59975.277450580514</v>
      </c>
      <c r="O23" s="277">
        <f t="shared" si="5"/>
        <v>26412530.077286344</v>
      </c>
      <c r="P23" s="249">
        <f>+P$17*'Distribution Factors'!G18</f>
        <v>5879928.110969135</v>
      </c>
      <c r="Q23" s="250">
        <f>+Q$17*'Distribution Factors'!H18</f>
        <v>20532601.96631721</v>
      </c>
      <c r="T23" s="49"/>
    </row>
    <row r="24" spans="1:20" ht="15.75">
      <c r="A24" s="4"/>
      <c r="B24" s="74" t="s">
        <v>157</v>
      </c>
      <c r="C24" s="83">
        <v>7</v>
      </c>
      <c r="D24" s="276">
        <f t="shared" si="0"/>
        <v>8800188.35974329</v>
      </c>
      <c r="E24" s="164">
        <f>+E$17*'Distribution Factors'!G60</f>
        <v>1591835.8947903942</v>
      </c>
      <c r="F24" s="276">
        <f>+E24*Inputs!$D$32</f>
        <v>698981.8455148432</v>
      </c>
      <c r="G24" s="276">
        <f t="shared" si="1"/>
        <v>892854.049275551</v>
      </c>
      <c r="H24" s="276">
        <f t="shared" si="2"/>
        <v>7208352.464952896</v>
      </c>
      <c r="I24" s="164">
        <f>+I$17*'Distribution Factors'!H60</f>
        <v>6658584.924886452</v>
      </c>
      <c r="J24" s="276">
        <f>+I24*Inputs!$D$33</f>
        <v>2597824.4070385518</v>
      </c>
      <c r="K24" s="276">
        <f t="shared" si="3"/>
        <v>4060760.5178479003</v>
      </c>
      <c r="L24" s="164">
        <f>+L$17*'Distribution Factors'!I60</f>
        <v>549767.540066444</v>
      </c>
      <c r="M24" s="276">
        <f>+L24*Inputs!$D$34</f>
        <v>358721.7167371442</v>
      </c>
      <c r="N24" s="276">
        <f t="shared" si="4"/>
        <v>191045.82332929975</v>
      </c>
      <c r="O24" s="277">
        <f t="shared" si="5"/>
        <v>17345786.123001795</v>
      </c>
      <c r="P24" s="249">
        <f>+P$17*'Distribution Factors'!G19</f>
        <v>3348834.9293422243</v>
      </c>
      <c r="Q24" s="250">
        <f>+Q$17*'Distribution Factors'!H19</f>
        <v>13996951.193659572</v>
      </c>
      <c r="T24" s="49"/>
    </row>
    <row r="25" spans="1:20" ht="15.75">
      <c r="A25" s="4"/>
      <c r="B25" s="74" t="s">
        <v>158</v>
      </c>
      <c r="C25" s="83">
        <v>8</v>
      </c>
      <c r="D25" s="276">
        <f t="shared" si="0"/>
        <v>16691505.648924353</v>
      </c>
      <c r="E25" s="164">
        <f>+E$17*'Distribution Factors'!G61</f>
        <v>2938565.034008888</v>
      </c>
      <c r="F25" s="276">
        <f>+E25*Inputs!$D$32</f>
        <v>1290336.2823762575</v>
      </c>
      <c r="G25" s="276">
        <f t="shared" si="1"/>
        <v>1648228.7516326306</v>
      </c>
      <c r="H25" s="276">
        <f t="shared" si="2"/>
        <v>13752940.614915464</v>
      </c>
      <c r="I25" s="164">
        <f>+I$17*'Distribution Factors'!H61</f>
        <v>13169021.25385388</v>
      </c>
      <c r="J25" s="276">
        <f>+I25*Inputs!$D$33</f>
        <v>5137849.140018956</v>
      </c>
      <c r="K25" s="276">
        <f t="shared" si="3"/>
        <v>8031172.113834924</v>
      </c>
      <c r="L25" s="164">
        <f>+L$17*'Distribution Factors'!I61</f>
        <v>583919.3610615839</v>
      </c>
      <c r="M25" s="276">
        <f>+L25*Inputs!$D$34</f>
        <v>381005.68034764694</v>
      </c>
      <c r="N25" s="276">
        <f t="shared" si="4"/>
        <v>202913.68071393692</v>
      </c>
      <c r="O25" s="277">
        <f t="shared" si="5"/>
        <v>30315286.88803572</v>
      </c>
      <c r="P25" s="249">
        <f>+P$17*'Distribution Factors'!G20</f>
        <v>6000074.528242384</v>
      </c>
      <c r="Q25" s="250">
        <f>+Q$17*'Distribution Factors'!H20</f>
        <v>24315212.359793335</v>
      </c>
      <c r="T25" s="49"/>
    </row>
    <row r="26" spans="1:17" ht="15.75">
      <c r="A26" s="4"/>
      <c r="B26" s="74"/>
      <c r="C26" s="83"/>
      <c r="D26" s="279"/>
      <c r="E26" s="134"/>
      <c r="F26" s="134"/>
      <c r="G26" s="134"/>
      <c r="H26" s="134"/>
      <c r="I26" s="166"/>
      <c r="J26" s="134"/>
      <c r="K26" s="134"/>
      <c r="L26" s="134"/>
      <c r="M26" s="134"/>
      <c r="N26" s="134"/>
      <c r="O26" s="281"/>
      <c r="P26" s="247"/>
      <c r="Q26" s="250"/>
    </row>
    <row r="27" spans="1:17" ht="16.5" thickBot="1">
      <c r="A27" s="179"/>
      <c r="B27" s="236"/>
      <c r="C27" s="135"/>
      <c r="D27" s="242"/>
      <c r="E27" s="171"/>
      <c r="F27" s="171"/>
      <c r="G27" s="171"/>
      <c r="H27" s="171"/>
      <c r="I27" s="170"/>
      <c r="J27" s="172"/>
      <c r="K27" s="172"/>
      <c r="L27" s="172"/>
      <c r="M27" s="172"/>
      <c r="N27" s="137"/>
      <c r="O27" s="241"/>
      <c r="P27" s="172"/>
      <c r="Q27" s="201"/>
    </row>
    <row r="28" spans="1:17" ht="12.75">
      <c r="A28" s="62"/>
      <c r="B28" s="39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6"/>
    </row>
    <row r="29" spans="1:17" ht="15.75">
      <c r="A29" s="63"/>
      <c r="B29" s="41"/>
      <c r="C29" s="203" t="s">
        <v>811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8"/>
    </row>
    <row r="30" spans="1:17" ht="13.5" thickBot="1">
      <c r="A30" s="63"/>
      <c r="B30" s="41"/>
      <c r="C30" s="229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</row>
    <row r="31" spans="1:17" ht="13.5" thickTop="1">
      <c r="A31" s="63"/>
      <c r="B31" s="41"/>
      <c r="C31" s="227" t="s">
        <v>833</v>
      </c>
      <c r="D31" s="227" t="s">
        <v>596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8"/>
    </row>
    <row r="32" spans="1:17" ht="12.75">
      <c r="A32" s="63"/>
      <c r="B32" s="41"/>
      <c r="C32" s="227"/>
      <c r="D32" s="227" t="s">
        <v>284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8"/>
    </row>
    <row r="33" spans="1:17" ht="12.75">
      <c r="A33" s="63"/>
      <c r="B33" s="41"/>
      <c r="C33" s="227"/>
      <c r="D33" s="227" t="s">
        <v>695</v>
      </c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</row>
    <row r="34" spans="1:17" ht="12.75">
      <c r="A34" s="63"/>
      <c r="B34" s="41"/>
      <c r="C34" s="227"/>
      <c r="D34" s="227"/>
      <c r="E34" s="227" t="s">
        <v>694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</row>
    <row r="35" spans="1:17" ht="12.75">
      <c r="A35" s="63"/>
      <c r="B35" s="41"/>
      <c r="C35" s="227"/>
      <c r="D35" s="227"/>
      <c r="E35" s="227" t="s">
        <v>597</v>
      </c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/>
    </row>
    <row r="36" spans="1:17" ht="12.75">
      <c r="A36" s="63"/>
      <c r="B36" s="41"/>
      <c r="C36" s="227"/>
      <c r="D36" s="227"/>
      <c r="E36" s="227" t="s">
        <v>696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8"/>
    </row>
    <row r="37" spans="1:17" ht="12.75">
      <c r="A37" s="63"/>
      <c r="B37" s="41"/>
      <c r="C37" s="227"/>
      <c r="D37" s="227"/>
      <c r="E37" s="227" t="s">
        <v>697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8"/>
    </row>
    <row r="38" spans="1:17" ht="12.75">
      <c r="A38" s="63"/>
      <c r="B38" s="41"/>
      <c r="C38" s="227"/>
      <c r="D38" s="227"/>
      <c r="E38" s="227" t="s">
        <v>702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8"/>
    </row>
    <row r="39" spans="1:17" ht="12.75">
      <c r="A39" s="63"/>
      <c r="B39" s="41"/>
      <c r="C39" s="227"/>
      <c r="D39" s="227"/>
      <c r="E39" s="227" t="s">
        <v>598</v>
      </c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8"/>
    </row>
    <row r="40" spans="1:17" ht="12.75">
      <c r="A40" s="63"/>
      <c r="B40" s="41"/>
      <c r="C40" s="227"/>
      <c r="D40" s="227"/>
      <c r="E40" s="227" t="s">
        <v>698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8"/>
    </row>
    <row r="41" spans="1:17" ht="12.75">
      <c r="A41" s="63"/>
      <c r="B41" s="41"/>
      <c r="C41" s="227"/>
      <c r="D41" s="227"/>
      <c r="E41" s="227" t="s">
        <v>703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8"/>
    </row>
    <row r="42" spans="1:17" ht="12.75">
      <c r="A42" s="63"/>
      <c r="B42" s="41"/>
      <c r="C42" s="227"/>
      <c r="D42" s="227"/>
      <c r="E42" s="227" t="s">
        <v>599</v>
      </c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8"/>
    </row>
    <row r="43" spans="1:17" ht="12.75">
      <c r="A43" s="63"/>
      <c r="B43" s="41"/>
      <c r="C43" s="227"/>
      <c r="D43" s="227"/>
      <c r="E43" s="227" t="s">
        <v>699</v>
      </c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8"/>
    </row>
    <row r="44" spans="1:17" ht="12.75">
      <c r="A44" s="63"/>
      <c r="B44" s="41"/>
      <c r="C44" s="227"/>
      <c r="D44" s="227" t="s">
        <v>426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8"/>
    </row>
    <row r="45" spans="1:17" ht="12.75">
      <c r="A45" s="63"/>
      <c r="B45" s="41"/>
      <c r="C45" s="227"/>
      <c r="D45" s="227"/>
      <c r="E45" s="227" t="s">
        <v>701</v>
      </c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8"/>
    </row>
    <row r="46" spans="1:17" ht="12.75">
      <c r="A46" s="63"/>
      <c r="B46" s="41"/>
      <c r="C46" s="227"/>
      <c r="D46" s="227"/>
      <c r="E46" s="227" t="s">
        <v>700</v>
      </c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8"/>
    </row>
    <row r="47" spans="1:17" ht="12.75">
      <c r="A47" s="63"/>
      <c r="B47" s="41"/>
      <c r="C47" s="227"/>
      <c r="D47" s="227"/>
      <c r="E47" s="227" t="s">
        <v>704</v>
      </c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8"/>
    </row>
    <row r="48" spans="1:17" ht="12.75">
      <c r="A48" s="63"/>
      <c r="B48" s="41"/>
      <c r="C48" s="227"/>
      <c r="D48" s="227"/>
      <c r="E48" s="227" t="s">
        <v>705</v>
      </c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8"/>
    </row>
    <row r="49" spans="1:17" ht="12.75">
      <c r="A49" s="63"/>
      <c r="B49" s="41"/>
      <c r="C49" s="227"/>
      <c r="D49" s="227"/>
      <c r="E49" s="227" t="s">
        <v>723</v>
      </c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8"/>
    </row>
    <row r="50" spans="1:17" ht="12.75">
      <c r="A50" s="63"/>
      <c r="B50" s="41"/>
      <c r="C50" s="227"/>
      <c r="D50" s="227"/>
      <c r="E50" s="227" t="s">
        <v>724</v>
      </c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8"/>
    </row>
    <row r="51" spans="1:17" ht="12.75">
      <c r="A51" s="63"/>
      <c r="B51" s="41"/>
      <c r="C51" s="227"/>
      <c r="D51" s="227"/>
      <c r="E51" s="227" t="s">
        <v>725</v>
      </c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8"/>
    </row>
    <row r="52" spans="1:17" ht="12.75">
      <c r="A52" s="63"/>
      <c r="B52" s="41"/>
      <c r="C52" s="227"/>
      <c r="D52" s="227"/>
      <c r="E52" s="227" t="s">
        <v>600</v>
      </c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8"/>
    </row>
    <row r="53" spans="1:17" ht="12.75">
      <c r="A53" s="63"/>
      <c r="B53" s="41"/>
      <c r="C53" s="227"/>
      <c r="D53" s="227"/>
      <c r="E53" s="227" t="s">
        <v>726</v>
      </c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8"/>
    </row>
    <row r="54" spans="1:17" ht="12.75">
      <c r="A54" s="63"/>
      <c r="B54" s="41"/>
      <c r="C54" s="227"/>
      <c r="D54" s="227"/>
      <c r="E54" s="227" t="s">
        <v>727</v>
      </c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8"/>
    </row>
    <row r="55" spans="1:17" ht="12.75">
      <c r="A55" s="63"/>
      <c r="B55" s="41"/>
      <c r="C55" s="227"/>
      <c r="D55" s="227"/>
      <c r="E55" s="227" t="s">
        <v>601</v>
      </c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8"/>
    </row>
    <row r="56" spans="1:17" ht="12.75">
      <c r="A56" s="63"/>
      <c r="B56" s="41"/>
      <c r="C56" s="227"/>
      <c r="D56" s="227"/>
      <c r="E56" s="227" t="s">
        <v>728</v>
      </c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8"/>
    </row>
    <row r="57" spans="1:17" ht="12.75">
      <c r="A57" s="63"/>
      <c r="B57" s="41"/>
      <c r="C57" s="227"/>
      <c r="D57" s="227"/>
      <c r="E57" s="227" t="s">
        <v>602</v>
      </c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8"/>
    </row>
    <row r="58" spans="1:17" ht="12.75">
      <c r="A58" s="63"/>
      <c r="B58" s="41"/>
      <c r="C58" s="227"/>
      <c r="D58" s="227"/>
      <c r="E58" s="227" t="s">
        <v>729</v>
      </c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8"/>
    </row>
    <row r="59" spans="1:17" ht="12.75">
      <c r="A59" s="63"/>
      <c r="B59" s="41"/>
      <c r="C59" s="227" t="s">
        <v>831</v>
      </c>
      <c r="D59" s="227" t="s">
        <v>367</v>
      </c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8"/>
    </row>
    <row r="60" spans="1:17" ht="12.75">
      <c r="A60" s="63"/>
      <c r="B60" s="41"/>
      <c r="C60" s="227"/>
      <c r="D60" s="227" t="s">
        <v>427</v>
      </c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8"/>
    </row>
    <row r="61" spans="1:17" ht="12.75">
      <c r="A61" s="63"/>
      <c r="B61" s="41"/>
      <c r="C61" s="227"/>
      <c r="D61" s="227" t="s">
        <v>368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8"/>
    </row>
    <row r="62" spans="1:17" ht="12.75">
      <c r="A62" s="63"/>
      <c r="B62" s="41"/>
      <c r="C62" s="227"/>
      <c r="D62" s="227" t="s">
        <v>730</v>
      </c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8"/>
    </row>
    <row r="63" spans="1:17" ht="12.75">
      <c r="A63" s="63"/>
      <c r="B63" s="41"/>
      <c r="C63" s="227"/>
      <c r="D63" s="227" t="s">
        <v>731</v>
      </c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8"/>
    </row>
    <row r="64" spans="1:17" ht="12.75">
      <c r="A64" s="63"/>
      <c r="B64" s="41"/>
      <c r="C64" s="227"/>
      <c r="D64" s="227" t="s">
        <v>133</v>
      </c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8"/>
    </row>
    <row r="65" spans="1:17" ht="12.75">
      <c r="A65" s="63"/>
      <c r="B65" s="41"/>
      <c r="C65" s="227"/>
      <c r="D65" s="227"/>
      <c r="E65" s="227" t="s">
        <v>732</v>
      </c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8"/>
    </row>
    <row r="66" spans="1:17" ht="12.75">
      <c r="A66" s="63"/>
      <c r="B66" s="41"/>
      <c r="C66" s="227"/>
      <c r="D66" s="227"/>
      <c r="E66" s="227" t="s">
        <v>733</v>
      </c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8"/>
    </row>
    <row r="67" spans="1:17" ht="12.75">
      <c r="A67" s="63"/>
      <c r="B67" s="41"/>
      <c r="C67" s="227"/>
      <c r="D67" s="227"/>
      <c r="E67" s="227" t="s">
        <v>734</v>
      </c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8"/>
    </row>
    <row r="68" spans="1:17" ht="12.75">
      <c r="A68" s="63"/>
      <c r="B68" s="41"/>
      <c r="C68" s="227"/>
      <c r="D68" s="227"/>
      <c r="E68" s="227" t="s">
        <v>735</v>
      </c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8"/>
    </row>
    <row r="69" spans="1:17" ht="12.75">
      <c r="A69" s="63"/>
      <c r="B69" s="41"/>
      <c r="C69" s="227"/>
      <c r="D69" s="227"/>
      <c r="E69" s="227" t="s">
        <v>736</v>
      </c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8"/>
    </row>
    <row r="70" spans="1:17" ht="12.75">
      <c r="A70" s="63"/>
      <c r="B70" s="41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8"/>
    </row>
    <row r="71" spans="1:17" ht="13.5" thickBot="1">
      <c r="A71" s="21"/>
      <c r="B71" s="4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4"/>
    </row>
  </sheetData>
  <mergeCells count="8">
    <mergeCell ref="I12:K12"/>
    <mergeCell ref="L12:N12"/>
    <mergeCell ref="H11:N11"/>
    <mergeCell ref="H10:N10"/>
    <mergeCell ref="A4:Q4"/>
    <mergeCell ref="E10:G10"/>
    <mergeCell ref="D7:N7"/>
    <mergeCell ref="O7:Q7"/>
  </mergeCells>
  <printOptions/>
  <pageMargins left="0.75" right="0.75" top="1" bottom="1" header="0.5" footer="0.5"/>
  <pageSetup fitToHeight="0" fitToWidth="1" horizontalDpi="600" verticalDpi="600" orientation="landscape" scale="48" r:id="rId1"/>
  <headerFooter alignWithMargins="0">
    <oddHeader>&amp;RUSPS-LR-L-41
Bound Printed Matter Spreadsheets
&amp;A</oddHeader>
    <oddFooter xml:space="preserve">&amp;CPage &amp;P of &amp;N&amp;R&amp;D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8.57421875" style="0" customWidth="1"/>
    <col min="4" max="4" width="16.00390625" style="0" customWidth="1"/>
    <col min="5" max="5" width="15.421875" style="0" customWidth="1"/>
    <col min="6" max="6" width="20.7109375" style="0" customWidth="1"/>
    <col min="7" max="7" width="15.28125" style="0" customWidth="1"/>
    <col min="8" max="8" width="14.28125" style="0" customWidth="1"/>
    <col min="9" max="9" width="22.00390625" style="0" customWidth="1"/>
    <col min="10" max="11" width="16.28125" style="0" customWidth="1"/>
    <col min="12" max="12" width="16.421875" style="0" customWidth="1"/>
    <col min="13" max="13" width="15.8515625" style="0" customWidth="1"/>
    <col min="14" max="14" width="16.421875" style="0" customWidth="1"/>
    <col min="15" max="22" width="15.7109375" style="0" customWidth="1"/>
    <col min="23" max="23" width="16.140625" style="0" customWidth="1"/>
    <col min="24" max="24" width="17.28125" style="0" customWidth="1"/>
    <col min="25" max="25" width="16.28125" style="0" customWidth="1"/>
    <col min="26" max="26" width="17.421875" style="0" customWidth="1"/>
    <col min="27" max="27" width="15.7109375" style="0" customWidth="1"/>
    <col min="28" max="28" width="17.7109375" style="0" customWidth="1"/>
    <col min="29" max="29" width="11.140625" style="0" bestFit="1" customWidth="1"/>
  </cols>
  <sheetData>
    <row r="1" spans="1:14" ht="15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 ht="15.75">
      <c r="A2" s="4"/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655" t="s">
        <v>591</v>
      </c>
    </row>
    <row r="3" spans="1:14" ht="15.75">
      <c r="A3" s="4"/>
      <c r="B3" s="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655" t="s">
        <v>739</v>
      </c>
    </row>
    <row r="4" spans="1:14" ht="18">
      <c r="A4" s="692" t="s">
        <v>457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4"/>
    </row>
    <row r="5" spans="1:14" ht="15.75" thickBot="1">
      <c r="A5" s="1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</row>
    <row r="6" spans="1:14" ht="16.5" thickTop="1">
      <c r="A6" s="4"/>
      <c r="B6" s="178"/>
      <c r="C6" s="156"/>
      <c r="D6" s="186"/>
      <c r="E6" s="85"/>
      <c r="F6" s="85"/>
      <c r="G6" s="85"/>
      <c r="H6" s="85"/>
      <c r="I6" s="127"/>
      <c r="J6" s="127"/>
      <c r="K6" s="149"/>
      <c r="L6" s="149"/>
      <c r="M6" s="149"/>
      <c r="N6" s="128"/>
    </row>
    <row r="7" spans="1:14" ht="15.75">
      <c r="A7" s="4"/>
      <c r="B7" s="178"/>
      <c r="C7" s="156"/>
      <c r="D7" s="697" t="s">
        <v>840</v>
      </c>
      <c r="E7" s="719"/>
      <c r="F7" s="719"/>
      <c r="G7" s="719"/>
      <c r="H7" s="720"/>
      <c r="I7" s="127"/>
      <c r="J7" s="127"/>
      <c r="K7" s="149"/>
      <c r="L7" s="149"/>
      <c r="M7" s="149"/>
      <c r="N7" s="128"/>
    </row>
    <row r="8" spans="1:14" ht="15.75">
      <c r="A8" s="4"/>
      <c r="B8" s="178"/>
      <c r="C8" s="156"/>
      <c r="D8" s="127"/>
      <c r="E8" s="296"/>
      <c r="F8" s="149"/>
      <c r="G8" s="149"/>
      <c r="H8" s="149"/>
      <c r="I8" s="127" t="s">
        <v>879</v>
      </c>
      <c r="J8" s="699" t="s">
        <v>394</v>
      </c>
      <c r="K8" s="700"/>
      <c r="L8" s="700"/>
      <c r="M8" s="700"/>
      <c r="N8" s="701"/>
    </row>
    <row r="9" spans="1:18" ht="15.75">
      <c r="A9" s="4"/>
      <c r="B9" s="178"/>
      <c r="C9" s="156"/>
      <c r="D9" s="127"/>
      <c r="E9" s="697" t="s">
        <v>846</v>
      </c>
      <c r="F9" s="719"/>
      <c r="G9" s="719"/>
      <c r="H9" s="720"/>
      <c r="I9" s="127" t="s">
        <v>961</v>
      </c>
      <c r="J9" s="154"/>
      <c r="K9" s="82"/>
      <c r="L9" s="82"/>
      <c r="M9" s="82"/>
      <c r="N9" s="160"/>
      <c r="Q9" s="17"/>
      <c r="R9" s="18"/>
    </row>
    <row r="10" spans="1:18" ht="15.75">
      <c r="A10" s="4"/>
      <c r="B10" s="178"/>
      <c r="C10" s="156"/>
      <c r="D10" s="157" t="s">
        <v>841</v>
      </c>
      <c r="E10" s="127" t="s">
        <v>393</v>
      </c>
      <c r="F10" s="157"/>
      <c r="G10" s="149"/>
      <c r="H10" s="127"/>
      <c r="I10" s="127" t="s">
        <v>962</v>
      </c>
      <c r="J10" s="127"/>
      <c r="K10" s="296" t="s">
        <v>149</v>
      </c>
      <c r="L10" s="296"/>
      <c r="M10" s="296"/>
      <c r="N10" s="297"/>
      <c r="Q10" s="17"/>
      <c r="R10" s="18"/>
    </row>
    <row r="11" spans="1:18" ht="18.75">
      <c r="A11" s="4"/>
      <c r="B11" s="178"/>
      <c r="C11" s="156"/>
      <c r="D11" s="157" t="s">
        <v>458</v>
      </c>
      <c r="E11" s="127" t="s">
        <v>459</v>
      </c>
      <c r="F11" s="157" t="s">
        <v>460</v>
      </c>
      <c r="G11" s="149" t="s">
        <v>461</v>
      </c>
      <c r="H11" s="157" t="s">
        <v>462</v>
      </c>
      <c r="I11" s="127" t="s">
        <v>397</v>
      </c>
      <c r="J11" s="127" t="s">
        <v>398</v>
      </c>
      <c r="K11" s="127" t="s">
        <v>463</v>
      </c>
      <c r="L11" s="127" t="s">
        <v>464</v>
      </c>
      <c r="M11" s="127" t="s">
        <v>465</v>
      </c>
      <c r="N11" s="193" t="s">
        <v>466</v>
      </c>
      <c r="P11" s="48"/>
      <c r="Q11" s="17"/>
      <c r="R11" s="18"/>
    </row>
    <row r="12" spans="1:18" ht="15.75">
      <c r="A12" s="4"/>
      <c r="B12" s="178"/>
      <c r="C12" s="81"/>
      <c r="D12" s="158" t="s">
        <v>163</v>
      </c>
      <c r="E12" s="159" t="s">
        <v>164</v>
      </c>
      <c r="F12" s="158" t="s">
        <v>165</v>
      </c>
      <c r="G12" s="298" t="s">
        <v>166</v>
      </c>
      <c r="H12" s="158" t="s">
        <v>167</v>
      </c>
      <c r="I12" s="158" t="s">
        <v>168</v>
      </c>
      <c r="J12" s="158" t="s">
        <v>169</v>
      </c>
      <c r="K12" s="159" t="s">
        <v>170</v>
      </c>
      <c r="L12" s="158" t="s">
        <v>171</v>
      </c>
      <c r="M12" s="159" t="s">
        <v>172</v>
      </c>
      <c r="N12" s="194" t="s">
        <v>289</v>
      </c>
      <c r="P12" s="48"/>
      <c r="Q12" s="17"/>
      <c r="R12" s="18"/>
    </row>
    <row r="13" spans="1:18" ht="15.75">
      <c r="A13" s="4"/>
      <c r="B13" s="178"/>
      <c r="C13" s="238"/>
      <c r="D13" s="299"/>
      <c r="E13" s="299"/>
      <c r="F13" s="299"/>
      <c r="G13" s="279"/>
      <c r="H13" s="280"/>
      <c r="I13" s="273"/>
      <c r="J13" s="273"/>
      <c r="K13" s="273"/>
      <c r="L13" s="273"/>
      <c r="M13" s="273"/>
      <c r="N13" s="283"/>
      <c r="P13" s="48"/>
      <c r="Q13" s="17"/>
      <c r="R13" s="18"/>
    </row>
    <row r="14" spans="1:31" ht="15.75">
      <c r="A14" s="4"/>
      <c r="B14" s="178"/>
      <c r="C14" s="238" t="s">
        <v>955</v>
      </c>
      <c r="D14" s="300"/>
      <c r="E14" s="300"/>
      <c r="F14" s="300"/>
      <c r="G14" s="301"/>
      <c r="H14" s="302"/>
      <c r="I14" s="303"/>
      <c r="J14" s="302"/>
      <c r="K14" s="303"/>
      <c r="L14" s="303"/>
      <c r="M14" s="303"/>
      <c r="N14" s="304"/>
      <c r="AC14" s="18"/>
      <c r="AD14" s="18"/>
      <c r="AE14" s="18"/>
    </row>
    <row r="15" spans="1:31" ht="15.75">
      <c r="A15" s="4"/>
      <c r="B15" s="74" t="s">
        <v>151</v>
      </c>
      <c r="C15" s="284" t="s">
        <v>934</v>
      </c>
      <c r="D15" s="276">
        <f>+'TYBR Pieces &amp; Pounds'!P19</f>
        <v>23027309.37083881</v>
      </c>
      <c r="E15" s="286">
        <f>('FY2005 Presort Billing Det.'!D52/'FY2005 Presort Billing Det.'!G32)*'TYBR Pieces &amp; Pounds'!Q17</f>
        <v>40423899.20279783</v>
      </c>
      <c r="F15" s="286">
        <f>('FY2005 Presort Billing Det.'!E52/'FY2005 Presort Billing Det.'!G32)*'TYBR Pieces &amp; Pounds'!Q17</f>
        <v>541139130.5355133</v>
      </c>
      <c r="G15" s="286">
        <f>('FY2005 Presort Billing Det.'!F51/'FY2005 Presort Billing Det.'!G32)*'TYBR Pieces &amp; Pounds'!Q17</f>
        <v>381157986.78737587</v>
      </c>
      <c r="H15" s="286">
        <f>('FY2005 Presort Billing Det.'!G51/'FY2005 Presort Billing Det.'!G32)*'TYBR Pieces &amp; Pounds'!Q17</f>
        <v>180114131.78662694</v>
      </c>
      <c r="I15" s="287">
        <f>+D15*Inputs!D52</f>
        <v>3077512.2741512638</v>
      </c>
      <c r="J15" s="287">
        <f>+K15+L15+M15+N15</f>
        <v>58491274.15870068</v>
      </c>
      <c r="K15" s="287">
        <f>+E15*Inputs!D52</f>
        <v>5402500.307882568</v>
      </c>
      <c r="L15" s="287">
        <f>+F15*Inputs!D62</f>
        <v>33816601.41992243</v>
      </c>
      <c r="M15" s="287">
        <f>+G15*Inputs!D66</f>
        <v>17889544.970979813</v>
      </c>
      <c r="N15" s="288">
        <f>+H15*Inputs!D67</f>
        <v>1382627.4599158675</v>
      </c>
      <c r="O15" s="18"/>
      <c r="P15" s="46"/>
      <c r="Q15" s="46"/>
      <c r="R15" s="18"/>
      <c r="T15" s="18"/>
      <c r="AC15" s="18"/>
      <c r="AD15" s="18"/>
      <c r="AE15" s="18"/>
    </row>
    <row r="16" spans="1:20" ht="15.75">
      <c r="A16" s="4"/>
      <c r="B16" s="74" t="s">
        <v>152</v>
      </c>
      <c r="C16" s="284" t="s">
        <v>935</v>
      </c>
      <c r="D16" s="276">
        <f>+'TYBR Pieces &amp; Pounds'!P20</f>
        <v>7644870.552239637</v>
      </c>
      <c r="E16" s="286">
        <f>('FY2005 Presort Billing Det.'!D53/'FY2005 Presort Billing Det.'!G32)*'TYBR Pieces &amp; Pounds'!Q17</f>
        <v>25973153.30596388</v>
      </c>
      <c r="F16" s="286">
        <f>('FY2005 Presort Billing Det.'!E53/'FY2005 Presort Billing Det.'!G32)*'TYBR Pieces &amp; Pounds'!Q17</f>
        <v>114192704.3050233</v>
      </c>
      <c r="G16" s="301"/>
      <c r="H16" s="301"/>
      <c r="I16" s="287">
        <f>+D16*Inputs!D53</f>
        <v>1105443.2787436668</v>
      </c>
      <c r="J16" s="287">
        <f>+K16+L16</f>
        <v>15709325.20132229</v>
      </c>
      <c r="K16" s="287">
        <f>+E16*Inputs!D53</f>
        <v>3755700.9701681887</v>
      </c>
      <c r="L16" s="287">
        <f>+F16*Inputs!D63</f>
        <v>11953624.231154101</v>
      </c>
      <c r="M16" s="289" t="s">
        <v>882</v>
      </c>
      <c r="N16" s="305" t="s">
        <v>882</v>
      </c>
      <c r="O16" s="642"/>
      <c r="P16" s="46"/>
      <c r="Q16" s="46"/>
      <c r="R16" s="18"/>
      <c r="T16" s="18"/>
    </row>
    <row r="17" spans="1:20" ht="15.75">
      <c r="A17" s="4"/>
      <c r="B17" s="74" t="s">
        <v>153</v>
      </c>
      <c r="C17" s="284" t="s">
        <v>936</v>
      </c>
      <c r="D17" s="276">
        <f>+'TYBR Pieces &amp; Pounds'!P21</f>
        <v>10481081.457167724</v>
      </c>
      <c r="E17" s="286">
        <f>('FY2005 Presort Billing Det.'!D54/'FY2005 Presort Billing Det.'!G32)*'TYBR Pieces &amp; Pounds'!Q17</f>
        <v>40710116.96697286</v>
      </c>
      <c r="F17" s="286">
        <f>('FY2005 Presort Billing Det.'!E54/'FY2005 Presort Billing Det.'!G32)*'TYBR Pieces &amp; Pounds'!Q17</f>
        <v>24757386.951961923</v>
      </c>
      <c r="G17" s="301"/>
      <c r="H17" s="301"/>
      <c r="I17" s="287">
        <f>+D17*Inputs!D54</f>
        <v>1656801.2805952067</v>
      </c>
      <c r="J17" s="287">
        <f>+K17+L17</f>
        <v>9829787.241043748</v>
      </c>
      <c r="K17" s="287">
        <f>+E17*Inputs!D54</f>
        <v>6435268.555033989</v>
      </c>
      <c r="L17" s="287">
        <f>+F17*Inputs!D64</f>
        <v>3394518.686009759</v>
      </c>
      <c r="M17" s="289" t="s">
        <v>882</v>
      </c>
      <c r="N17" s="305" t="s">
        <v>882</v>
      </c>
      <c r="O17" s="18"/>
      <c r="P17" s="46"/>
      <c r="Q17" s="46"/>
      <c r="R17" s="18"/>
      <c r="T17" s="18"/>
    </row>
    <row r="18" spans="1:20" ht="15.75">
      <c r="A18" s="4"/>
      <c r="B18" s="74" t="s">
        <v>154</v>
      </c>
      <c r="C18" s="284" t="s">
        <v>937</v>
      </c>
      <c r="D18" s="276">
        <f>+'TYBR Pieces &amp; Pounds'!P22</f>
        <v>10884826.568759797</v>
      </c>
      <c r="E18" s="286">
        <f>('FY2005 Presort Billing Det.'!D55/'FY2005 Presort Billing Det.'!G32)*'TYBR Pieces &amp; Pounds'!Q17</f>
        <v>38203703.17428598</v>
      </c>
      <c r="F18" s="286">
        <f>('FY2005 Presort Billing Det.'!E55/'FY2005 Presort Billing Det.'!G32)*'TYBR Pieces &amp; Pounds'!Q17</f>
        <v>684624.3614090219</v>
      </c>
      <c r="G18" s="301"/>
      <c r="H18" s="301"/>
      <c r="I18" s="287">
        <f>+D18*Inputs!D55</f>
        <v>1959069.748441435</v>
      </c>
      <c r="J18" s="287">
        <f>+K18+L18</f>
        <v>6999185.310175755</v>
      </c>
      <c r="K18" s="287">
        <f>+E18*Inputs!D55</f>
        <v>6875967.999525717</v>
      </c>
      <c r="L18" s="656">
        <f>+F18*(Inputs!D65*0.6979294)</f>
        <v>123217.31065003802</v>
      </c>
      <c r="M18" s="289" t="s">
        <v>882</v>
      </c>
      <c r="N18" s="305" t="s">
        <v>882</v>
      </c>
      <c r="O18" s="18"/>
      <c r="P18" s="46"/>
      <c r="Q18" s="46"/>
      <c r="R18" s="18"/>
      <c r="T18" s="18"/>
    </row>
    <row r="19" spans="1:20" ht="15.75">
      <c r="A19" s="4"/>
      <c r="B19" s="74" t="s">
        <v>155</v>
      </c>
      <c r="C19" s="284" t="s">
        <v>952</v>
      </c>
      <c r="D19" s="276">
        <f>+'TYBR Pieces &amp; Pounds'!P23</f>
        <v>5879928.110969135</v>
      </c>
      <c r="E19" s="286">
        <f>('FY2005 Presort Billing Det.'!D56/'FY2005 Presort Billing Det.'!G32)*'TYBR Pieces &amp; Pounds'!Q17</f>
        <v>20532601.96631721</v>
      </c>
      <c r="F19" s="276"/>
      <c r="G19" s="301"/>
      <c r="H19" s="301"/>
      <c r="I19" s="287">
        <f>+D19*Inputs!D56</f>
        <v>1191790.6646931092</v>
      </c>
      <c r="J19" s="287">
        <f>+K19</f>
        <v>4161711.3140662145</v>
      </c>
      <c r="K19" s="287">
        <f>+E19*Inputs!D56</f>
        <v>4161711.3140662145</v>
      </c>
      <c r="L19" s="289" t="s">
        <v>882</v>
      </c>
      <c r="M19" s="289" t="s">
        <v>882</v>
      </c>
      <c r="N19" s="290" t="s">
        <v>882</v>
      </c>
      <c r="O19" s="18"/>
      <c r="P19" s="46"/>
      <c r="Q19" s="46"/>
      <c r="R19" s="18"/>
      <c r="T19" s="18"/>
    </row>
    <row r="20" spans="1:20" ht="15.75">
      <c r="A20" s="4"/>
      <c r="B20" s="74" t="s">
        <v>156</v>
      </c>
      <c r="C20" s="284" t="s">
        <v>953</v>
      </c>
      <c r="D20" s="276">
        <f>+'TYBR Pieces &amp; Pounds'!P24</f>
        <v>3348834.9293422243</v>
      </c>
      <c r="E20" s="286">
        <f>('FY2005 Presort Billing Det.'!D57/'FY2005 Presort Billing Det.'!G32)*'TYBR Pieces &amp; Pounds'!Q17</f>
        <v>13996951.193659572</v>
      </c>
      <c r="F20" s="276"/>
      <c r="G20" s="301"/>
      <c r="H20" s="301"/>
      <c r="I20" s="287">
        <f>+D20*Inputs!D57</f>
        <v>764905.4075654923</v>
      </c>
      <c r="J20" s="287">
        <f>+K20</f>
        <v>3197035.3521018163</v>
      </c>
      <c r="K20" s="287">
        <f>+E20*Inputs!D57</f>
        <v>3197035.3521018163</v>
      </c>
      <c r="L20" s="289" t="s">
        <v>882</v>
      </c>
      <c r="M20" s="289" t="s">
        <v>882</v>
      </c>
      <c r="N20" s="290" t="s">
        <v>882</v>
      </c>
      <c r="O20" s="18"/>
      <c r="P20" s="46"/>
      <c r="Q20" s="46"/>
      <c r="R20" s="18"/>
      <c r="T20" s="18"/>
    </row>
    <row r="21" spans="1:20" ht="15.75">
      <c r="A21" s="4"/>
      <c r="B21" s="74" t="s">
        <v>157</v>
      </c>
      <c r="C21" s="284" t="s">
        <v>954</v>
      </c>
      <c r="D21" s="276">
        <f>+'TYBR Pieces &amp; Pounds'!P25</f>
        <v>6000074.528242384</v>
      </c>
      <c r="E21" s="286">
        <f>('FY2005 Presort Billing Det.'!D58/'FY2005 Presort Billing Det.'!G32)*'TYBR Pieces &amp; Pounds'!Q17</f>
        <v>24315212.359793335</v>
      </c>
      <c r="F21" s="276"/>
      <c r="G21" s="301"/>
      <c r="H21" s="301"/>
      <c r="I21" s="287">
        <f>+D21*Inputs!D58</f>
        <v>1673965.6717356395</v>
      </c>
      <c r="J21" s="287">
        <f>+K21</f>
        <v>6783720.868743833</v>
      </c>
      <c r="K21" s="287">
        <f>+E21*Inputs!D58</f>
        <v>6783720.868743833</v>
      </c>
      <c r="L21" s="289" t="s">
        <v>882</v>
      </c>
      <c r="M21" s="289" t="s">
        <v>882</v>
      </c>
      <c r="N21" s="290" t="s">
        <v>882</v>
      </c>
      <c r="O21" s="18"/>
      <c r="P21" s="46"/>
      <c r="Q21" s="46"/>
      <c r="R21" s="18"/>
      <c r="T21" s="18"/>
    </row>
    <row r="22" spans="1:20" ht="15.75">
      <c r="A22" s="4"/>
      <c r="B22" s="74"/>
      <c r="C22" s="284"/>
      <c r="D22" s="276"/>
      <c r="E22" s="276"/>
      <c r="F22" s="276"/>
      <c r="G22" s="301"/>
      <c r="H22" s="302"/>
      <c r="I22" s="287"/>
      <c r="J22" s="287"/>
      <c r="K22" s="287"/>
      <c r="L22" s="289"/>
      <c r="M22" s="289"/>
      <c r="N22" s="290"/>
      <c r="O22" s="18"/>
      <c r="P22" s="46"/>
      <c r="Q22" s="46"/>
      <c r="R22" s="18"/>
      <c r="T22" s="18"/>
    </row>
    <row r="23" spans="1:20" ht="15.75">
      <c r="A23" s="4"/>
      <c r="B23" s="74" t="s">
        <v>158</v>
      </c>
      <c r="C23" s="284" t="s">
        <v>395</v>
      </c>
      <c r="D23" s="276">
        <f aca="true" t="shared" si="0" ref="D23:N23">SUM(D15:D21)</f>
        <v>67266925.5175597</v>
      </c>
      <c r="E23" s="276">
        <f t="shared" si="0"/>
        <v>204155638.16979066</v>
      </c>
      <c r="F23" s="276">
        <f t="shared" si="0"/>
        <v>680773846.1539075</v>
      </c>
      <c r="G23" s="276">
        <f t="shared" si="0"/>
        <v>381157986.78737587</v>
      </c>
      <c r="H23" s="276">
        <f t="shared" si="0"/>
        <v>180114131.78662694</v>
      </c>
      <c r="I23" s="301">
        <f t="shared" si="0"/>
        <v>11429488.325925814</v>
      </c>
      <c r="J23" s="301">
        <f t="shared" si="0"/>
        <v>105172039.44615436</v>
      </c>
      <c r="K23" s="301">
        <f t="shared" si="0"/>
        <v>36611905.36752233</v>
      </c>
      <c r="L23" s="301">
        <f t="shared" si="0"/>
        <v>49287961.64773632</v>
      </c>
      <c r="M23" s="301">
        <f t="shared" si="0"/>
        <v>17889544.970979813</v>
      </c>
      <c r="N23" s="306">
        <f t="shared" si="0"/>
        <v>1382627.4599158675</v>
      </c>
      <c r="O23" s="18"/>
      <c r="P23" s="46"/>
      <c r="Q23" s="46"/>
      <c r="R23" s="18"/>
      <c r="T23" s="18"/>
    </row>
    <row r="24" spans="1:14" ht="16.5" thickBot="1">
      <c r="A24" s="179"/>
      <c r="B24" s="295"/>
      <c r="C24" s="291"/>
      <c r="D24" s="307"/>
      <c r="E24" s="307"/>
      <c r="F24" s="307"/>
      <c r="G24" s="307"/>
      <c r="H24" s="292"/>
      <c r="I24" s="292"/>
      <c r="J24" s="287"/>
      <c r="K24" s="292"/>
      <c r="L24" s="292"/>
      <c r="M24" s="292"/>
      <c r="N24" s="293"/>
    </row>
    <row r="25" spans="1:14" ht="12.75">
      <c r="A25" s="62"/>
      <c r="B25" s="39"/>
      <c r="C25" s="225"/>
      <c r="D25" s="225"/>
      <c r="E25" s="225"/>
      <c r="F25" s="225"/>
      <c r="G25" s="225"/>
      <c r="H25" s="225"/>
      <c r="I25" s="308"/>
      <c r="J25" s="225"/>
      <c r="K25" s="225"/>
      <c r="L25" s="225"/>
      <c r="M25" s="225"/>
      <c r="N25" s="226"/>
    </row>
    <row r="26" spans="1:14" ht="15.75">
      <c r="A26" s="63"/>
      <c r="B26" s="41"/>
      <c r="C26" s="203" t="s">
        <v>811</v>
      </c>
      <c r="D26" s="576"/>
      <c r="E26" s="410"/>
      <c r="F26" s="309"/>
      <c r="G26" s="309"/>
      <c r="H26" s="309"/>
      <c r="I26" s="310"/>
      <c r="J26" s="309"/>
      <c r="K26" s="227"/>
      <c r="L26" s="227"/>
      <c r="M26" s="227"/>
      <c r="N26" s="228"/>
    </row>
    <row r="27" spans="1:14" ht="13.5" thickBot="1">
      <c r="A27" s="63"/>
      <c r="B27" s="41"/>
      <c r="C27" s="229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1"/>
    </row>
    <row r="28" spans="1:14" ht="13.5" thickTop="1">
      <c r="A28" s="63"/>
      <c r="B28" s="41"/>
      <c r="C28" s="227" t="s">
        <v>603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 ht="12.75">
      <c r="A29" s="63"/>
      <c r="B29" s="41"/>
      <c r="C29" s="227" t="s">
        <v>737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 ht="12.75">
      <c r="A30" s="63"/>
      <c r="B30" s="41"/>
      <c r="C30" s="227" t="s">
        <v>604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 ht="12.75">
      <c r="A31" s="63"/>
      <c r="B31" s="41"/>
      <c r="C31" s="227" t="s">
        <v>605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 ht="12.75">
      <c r="A32" s="63"/>
      <c r="B32" s="41"/>
      <c r="C32" s="227" t="s">
        <v>606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 ht="12.75">
      <c r="A33" s="63"/>
      <c r="B33" s="41"/>
      <c r="C33" s="227" t="s">
        <v>607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 ht="12.75">
      <c r="A34" s="63"/>
      <c r="B34" s="41"/>
      <c r="C34" s="227" t="s">
        <v>608</v>
      </c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 ht="12.75">
      <c r="A35" s="63"/>
      <c r="B35" s="41"/>
      <c r="C35" s="227" t="s">
        <v>609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12.75">
      <c r="A36" s="63"/>
      <c r="B36" s="41"/>
      <c r="C36" s="227" t="s">
        <v>611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12.75">
      <c r="A37" s="63"/>
      <c r="B37" s="41"/>
      <c r="C37" s="227" t="s">
        <v>293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8"/>
    </row>
    <row r="38" spans="1:14" ht="12.75">
      <c r="A38" s="63"/>
      <c r="B38" s="41"/>
      <c r="C38" s="227" t="s">
        <v>610</v>
      </c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8"/>
    </row>
    <row r="39" spans="1:14" ht="12.75">
      <c r="A39" s="63"/>
      <c r="B39" s="41"/>
      <c r="C39" s="227" t="s">
        <v>612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8"/>
    </row>
    <row r="40" spans="1:14" ht="12.75">
      <c r="A40" s="63"/>
      <c r="B40" s="41"/>
      <c r="C40" s="227" t="s">
        <v>613</v>
      </c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8"/>
    </row>
    <row r="41" spans="1:14" ht="12.75">
      <c r="A41" s="63"/>
      <c r="B41" s="41"/>
      <c r="C41" s="227" t="s">
        <v>614</v>
      </c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8"/>
    </row>
    <row r="42" spans="1:14" ht="12.75">
      <c r="A42" s="63"/>
      <c r="B42" s="41"/>
      <c r="C42" s="227" t="s">
        <v>294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8"/>
    </row>
    <row r="43" spans="1:14" ht="12.75">
      <c r="A43" s="63"/>
      <c r="B43" s="41"/>
      <c r="C43" s="227" t="s">
        <v>615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8"/>
    </row>
    <row r="44" spans="1:14" ht="12.75">
      <c r="A44" s="63"/>
      <c r="B44" s="41"/>
      <c r="C44" s="227" t="s">
        <v>295</v>
      </c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ht="12.75">
      <c r="A45" s="63"/>
      <c r="B45" s="41"/>
      <c r="C45" s="227" t="s">
        <v>616</v>
      </c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8"/>
    </row>
    <row r="46" spans="1:14" ht="12.75">
      <c r="A46" s="63"/>
      <c r="B46" s="41"/>
      <c r="C46" s="227" t="s">
        <v>296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8"/>
    </row>
    <row r="47" spans="1:14" ht="12.75">
      <c r="A47" s="63"/>
      <c r="B47" s="41"/>
      <c r="C47" s="227" t="s">
        <v>617</v>
      </c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8"/>
    </row>
    <row r="48" spans="1:14" ht="12.75">
      <c r="A48" s="63"/>
      <c r="B48" s="41"/>
      <c r="C48" s="227" t="s">
        <v>297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8"/>
    </row>
    <row r="49" spans="1:14" ht="12.75">
      <c r="A49" s="63"/>
      <c r="B49" s="41"/>
      <c r="C49" s="227" t="s">
        <v>298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8"/>
    </row>
    <row r="50" spans="1:14" ht="12.75">
      <c r="A50" s="63"/>
      <c r="B50" s="41"/>
      <c r="C50" s="227" t="s">
        <v>299</v>
      </c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8"/>
    </row>
    <row r="51" spans="1:14" ht="12.75">
      <c r="A51" s="63"/>
      <c r="B51" s="41"/>
      <c r="C51" s="227" t="s">
        <v>618</v>
      </c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8"/>
    </row>
    <row r="52" spans="1:14" ht="12.75">
      <c r="A52" s="63"/>
      <c r="B52" s="41"/>
      <c r="C52" s="227" t="s">
        <v>300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8"/>
    </row>
    <row r="53" spans="1:14" ht="12.75">
      <c r="A53" s="63"/>
      <c r="B53" s="41"/>
      <c r="C53" s="227" t="s">
        <v>619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8"/>
    </row>
    <row r="54" spans="1:14" ht="12.75">
      <c r="A54" s="63"/>
      <c r="B54" s="41"/>
      <c r="C54" s="227" t="s">
        <v>193</v>
      </c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8"/>
    </row>
    <row r="55" spans="1:14" ht="12.75">
      <c r="A55" s="63"/>
      <c r="B55" s="41"/>
      <c r="C55" s="227" t="s">
        <v>301</v>
      </c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8"/>
    </row>
    <row r="56" spans="1:14" ht="12.75">
      <c r="A56" s="63"/>
      <c r="B56" s="41"/>
      <c r="C56" s="227" t="s">
        <v>194</v>
      </c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8"/>
    </row>
    <row r="57" spans="1:14" ht="12.75">
      <c r="A57" s="63"/>
      <c r="B57" s="41"/>
      <c r="C57" s="227" t="s">
        <v>302</v>
      </c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8"/>
    </row>
    <row r="58" spans="1:14" ht="12.75">
      <c r="A58" s="63"/>
      <c r="B58" s="41"/>
      <c r="C58" s="227" t="s">
        <v>195</v>
      </c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8"/>
    </row>
    <row r="59" spans="1:14" ht="12.75">
      <c r="A59" s="63"/>
      <c r="B59" s="41"/>
      <c r="C59" s="227" t="s">
        <v>303</v>
      </c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8"/>
    </row>
    <row r="60" spans="1:14" ht="13.5" thickBot="1">
      <c r="A60" s="21"/>
      <c r="B60" s="4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4"/>
    </row>
    <row r="61" ht="15">
      <c r="H61" s="34"/>
    </row>
    <row r="62" spans="8:9" ht="15">
      <c r="H62" s="34"/>
      <c r="I62" s="34"/>
    </row>
    <row r="63" spans="8:12" ht="15.75" thickBot="1">
      <c r="H63" s="35"/>
      <c r="L63" s="486"/>
    </row>
    <row r="64" spans="1:13" ht="15.75">
      <c r="A64" s="315"/>
      <c r="B64" s="22"/>
      <c r="C64" s="175"/>
      <c r="D64" s="175"/>
      <c r="E64" s="175"/>
      <c r="F64" s="175"/>
      <c r="G64" s="175"/>
      <c r="H64" s="175"/>
      <c r="I64" s="175"/>
      <c r="J64" s="175"/>
      <c r="K64" s="175"/>
      <c r="L64" s="294"/>
      <c r="M64" s="24"/>
    </row>
    <row r="65" spans="1:13" ht="15.75">
      <c r="A65" s="45"/>
      <c r="B65" s="14"/>
      <c r="C65" s="23"/>
      <c r="D65" s="23"/>
      <c r="E65" s="23"/>
      <c r="F65" s="23"/>
      <c r="G65" s="23"/>
      <c r="H65" s="23"/>
      <c r="I65" s="23"/>
      <c r="J65" s="23"/>
      <c r="K65" s="23"/>
      <c r="L65" s="655" t="s">
        <v>591</v>
      </c>
      <c r="M65" s="52"/>
    </row>
    <row r="66" spans="1:13" ht="15.75">
      <c r="A66" s="45"/>
      <c r="B66" s="14"/>
      <c r="C66" s="23"/>
      <c r="D66" s="23"/>
      <c r="E66" s="23"/>
      <c r="F66" s="23"/>
      <c r="G66" s="23"/>
      <c r="H66" s="23"/>
      <c r="I66" s="23"/>
      <c r="J66" s="23"/>
      <c r="K66" s="23"/>
      <c r="L66" s="655" t="s">
        <v>740</v>
      </c>
      <c r="M66" s="52"/>
    </row>
    <row r="67" spans="1:13" ht="18">
      <c r="A67" s="689" t="s">
        <v>634</v>
      </c>
      <c r="B67" s="690"/>
      <c r="C67" s="690"/>
      <c r="D67" s="690"/>
      <c r="E67" s="690"/>
      <c r="F67" s="690"/>
      <c r="G67" s="690"/>
      <c r="H67" s="690"/>
      <c r="I67" s="690"/>
      <c r="J67" s="690"/>
      <c r="K67" s="690"/>
      <c r="L67" s="691"/>
      <c r="M67" s="53"/>
    </row>
    <row r="68" spans="1:13" ht="16.5" thickBot="1">
      <c r="A68" s="316"/>
      <c r="B68" s="16"/>
      <c r="C68" s="317"/>
      <c r="D68" s="317"/>
      <c r="E68" s="317"/>
      <c r="F68" s="317"/>
      <c r="G68" s="317"/>
      <c r="H68" s="317"/>
      <c r="I68" s="317"/>
      <c r="J68" s="317"/>
      <c r="K68" s="317"/>
      <c r="L68" s="318"/>
      <c r="M68" s="54"/>
    </row>
    <row r="69" spans="1:13" ht="16.5" thickTop="1">
      <c r="A69" s="45"/>
      <c r="B69" s="178"/>
      <c r="C69" s="183"/>
      <c r="D69" s="127"/>
      <c r="E69" s="127" t="s">
        <v>844</v>
      </c>
      <c r="F69" s="157" t="s">
        <v>879</v>
      </c>
      <c r="G69" s="149"/>
      <c r="H69" s="149"/>
      <c r="I69" s="149"/>
      <c r="J69" s="296"/>
      <c r="K69" s="149"/>
      <c r="L69" s="488"/>
      <c r="M69" s="29"/>
    </row>
    <row r="70" spans="1:13" ht="15.75">
      <c r="A70" s="45"/>
      <c r="B70" s="178"/>
      <c r="C70" s="156"/>
      <c r="D70" s="127"/>
      <c r="E70" s="157" t="s">
        <v>951</v>
      </c>
      <c r="F70" s="157" t="s">
        <v>951</v>
      </c>
      <c r="G70" s="697" t="s">
        <v>147</v>
      </c>
      <c r="H70" s="719"/>
      <c r="I70" s="719"/>
      <c r="J70" s="697" t="s">
        <v>902</v>
      </c>
      <c r="K70" s="719"/>
      <c r="L70" s="698"/>
      <c r="M70" s="29"/>
    </row>
    <row r="71" spans="1:13" ht="15.75">
      <c r="A71" s="45"/>
      <c r="B71" s="178"/>
      <c r="C71" s="156"/>
      <c r="D71" s="157"/>
      <c r="E71" s="157" t="s">
        <v>950</v>
      </c>
      <c r="F71" s="157" t="s">
        <v>950</v>
      </c>
      <c r="G71" s="157"/>
      <c r="H71" s="157" t="s">
        <v>148</v>
      </c>
      <c r="I71" s="157" t="s">
        <v>149</v>
      </c>
      <c r="J71" s="157"/>
      <c r="K71" s="127"/>
      <c r="L71" s="193"/>
      <c r="M71" s="29"/>
    </row>
    <row r="72" spans="1:13" ht="18.75">
      <c r="A72" s="45"/>
      <c r="B72" s="178"/>
      <c r="C72" s="156"/>
      <c r="D72" s="157" t="s">
        <v>399</v>
      </c>
      <c r="E72" s="157" t="s">
        <v>400</v>
      </c>
      <c r="F72" s="157" t="s">
        <v>401</v>
      </c>
      <c r="G72" s="157" t="s">
        <v>185</v>
      </c>
      <c r="H72" s="157" t="s">
        <v>402</v>
      </c>
      <c r="I72" s="157" t="s">
        <v>403</v>
      </c>
      <c r="J72" s="157" t="s">
        <v>903</v>
      </c>
      <c r="K72" s="127" t="s">
        <v>904</v>
      </c>
      <c r="L72" s="193" t="s">
        <v>905</v>
      </c>
      <c r="M72" s="29"/>
    </row>
    <row r="73" spans="1:13" ht="15.75">
      <c r="A73" s="4"/>
      <c r="B73" s="178"/>
      <c r="C73" s="81"/>
      <c r="D73" s="158" t="s">
        <v>163</v>
      </c>
      <c r="E73" s="158" t="s">
        <v>164</v>
      </c>
      <c r="F73" s="158" t="s">
        <v>165</v>
      </c>
      <c r="G73" s="158" t="s">
        <v>166</v>
      </c>
      <c r="H73" s="158" t="s">
        <v>167</v>
      </c>
      <c r="I73" s="158" t="s">
        <v>168</v>
      </c>
      <c r="J73" s="158" t="s">
        <v>169</v>
      </c>
      <c r="K73" s="159" t="s">
        <v>170</v>
      </c>
      <c r="L73" s="194" t="s">
        <v>171</v>
      </c>
      <c r="M73" s="55"/>
    </row>
    <row r="74" spans="1:13" ht="15.75">
      <c r="A74" s="4"/>
      <c r="B74" s="178"/>
      <c r="C74" s="238"/>
      <c r="D74" s="280"/>
      <c r="E74" s="280"/>
      <c r="F74" s="280"/>
      <c r="G74" s="280"/>
      <c r="H74" s="280"/>
      <c r="I74" s="280"/>
      <c r="J74" s="280"/>
      <c r="K74" s="273"/>
      <c r="L74" s="283"/>
      <c r="M74" s="54"/>
    </row>
    <row r="75" spans="1:13" ht="15.75">
      <c r="A75" s="4"/>
      <c r="B75" s="74" t="s">
        <v>151</v>
      </c>
      <c r="C75" s="238" t="s">
        <v>635</v>
      </c>
      <c r="D75" s="302">
        <f>+Inputs!D48-I23-J23</f>
        <v>507152583.22245884</v>
      </c>
      <c r="E75" s="650">
        <f>+Inputs!D70*'TYBR Pieces &amp; Pounds'!O17</f>
        <v>30269370.568305217</v>
      </c>
      <c r="F75" s="302">
        <f>+E75*(2*'Distribution Factors'!D22)/(2*'Distribution Factors'!D22+'Distribution Factors'!E22)</f>
        <v>2576177.4247750053</v>
      </c>
      <c r="G75" s="302">
        <f>+E75-F75</f>
        <v>27693193.143530212</v>
      </c>
      <c r="H75" s="287">
        <f>+G75*SUM(F23:H23)/SUM(E23:H23)</f>
        <v>23783833.9588574</v>
      </c>
      <c r="I75" s="302">
        <f>+G75-H75</f>
        <v>3909359.184672814</v>
      </c>
      <c r="J75" s="302">
        <f>+D75-E75</f>
        <v>476883212.65415365</v>
      </c>
      <c r="K75" s="302">
        <f>+J75*(2*'Distribution Factors'!D63)/(2*'Distribution Factors'!D63+'Distribution Factors'!E63+'Distribution Factors'!F63)</f>
        <v>43475287.92556631</v>
      </c>
      <c r="L75" s="487">
        <f>+J75*('Distribution Factors'!E63+'Distribution Factors'!F63)/(2*'Distribution Factors'!D63+'Distribution Factors'!E63+'Distribution Factors'!F63)</f>
        <v>433407924.7285873</v>
      </c>
      <c r="M75" s="56"/>
    </row>
    <row r="76" spans="1:13" ht="15.75">
      <c r="A76" s="4"/>
      <c r="B76" s="74"/>
      <c r="C76" s="238"/>
      <c r="D76" s="302"/>
      <c r="E76" s="302"/>
      <c r="F76" s="302"/>
      <c r="G76" s="302"/>
      <c r="H76" s="302"/>
      <c r="I76" s="282"/>
      <c r="J76" s="311"/>
      <c r="K76" s="303"/>
      <c r="L76" s="304"/>
      <c r="M76" s="56"/>
    </row>
    <row r="77" spans="1:13" ht="15.75">
      <c r="A77" s="4"/>
      <c r="B77" s="74"/>
      <c r="C77" s="238" t="s">
        <v>955</v>
      </c>
      <c r="D77" s="302"/>
      <c r="E77" s="303"/>
      <c r="F77" s="303"/>
      <c r="G77" s="303"/>
      <c r="H77" s="312"/>
      <c r="I77" s="312"/>
      <c r="J77" s="313"/>
      <c r="K77" s="303"/>
      <c r="L77" s="304"/>
      <c r="M77" s="57"/>
    </row>
    <row r="78" spans="1:13" ht="15.75">
      <c r="A78" s="4"/>
      <c r="B78" s="74" t="s">
        <v>152</v>
      </c>
      <c r="C78" s="284" t="s">
        <v>934</v>
      </c>
      <c r="D78" s="314" t="s">
        <v>882</v>
      </c>
      <c r="E78" s="301">
        <f>+E$75*('Distribution Factors'!I13+'Distribution Factors'!I$14)</f>
        <v>23317249.153663054</v>
      </c>
      <c r="F78" s="302">
        <f>+F$75*('Distribution Factors'!G13+'Distribution Factors'!G14)</f>
        <v>881896.0298546576</v>
      </c>
      <c r="G78" s="287">
        <f>+G$75*('Distribution Factors'!H13+'Distribution Factors'!H14)</f>
        <v>21884054.360066023</v>
      </c>
      <c r="H78" s="287">
        <f>SUM(F15:H15)/SUM($F$23:$H$23)*$H$75</f>
        <v>21109980.50618933</v>
      </c>
      <c r="I78" s="287">
        <f>+G78-H78</f>
        <v>774073.8538766913</v>
      </c>
      <c r="J78" s="314" t="s">
        <v>882</v>
      </c>
      <c r="K78" s="314" t="s">
        <v>882</v>
      </c>
      <c r="L78" s="305" t="s">
        <v>882</v>
      </c>
      <c r="M78" s="58"/>
    </row>
    <row r="79" spans="1:13" ht="15.75">
      <c r="A79" s="4"/>
      <c r="B79" s="74" t="s">
        <v>153</v>
      </c>
      <c r="C79" s="284" t="s">
        <v>935</v>
      </c>
      <c r="D79" s="314" t="s">
        <v>882</v>
      </c>
      <c r="E79" s="301">
        <f>+E$75*'Distribution Factors'!I15</f>
        <v>2956214.5632645367</v>
      </c>
      <c r="F79" s="302">
        <f>+F$75*'Distribution Factors'!G15</f>
        <v>292781.96945192345</v>
      </c>
      <c r="G79" s="302">
        <f>+G$75*'Distribution Factors'!H15</f>
        <v>2684024.246116256</v>
      </c>
      <c r="H79" s="287">
        <f>F16/SUM($F$23:$H$23)*$H$75</f>
        <v>2186666.5128601287</v>
      </c>
      <c r="I79" s="287">
        <f aca="true" t="shared" si="1" ref="I79:I84">+G79-H79</f>
        <v>497357.7332561272</v>
      </c>
      <c r="J79" s="314" t="s">
        <v>882</v>
      </c>
      <c r="K79" s="314" t="s">
        <v>882</v>
      </c>
      <c r="L79" s="305" t="s">
        <v>882</v>
      </c>
      <c r="M79" s="58"/>
    </row>
    <row r="80" spans="1:13" ht="15.75">
      <c r="A80" s="4"/>
      <c r="B80" s="74" t="s">
        <v>154</v>
      </c>
      <c r="C80" s="284" t="s">
        <v>936</v>
      </c>
      <c r="D80" s="314" t="s">
        <v>882</v>
      </c>
      <c r="E80" s="301">
        <f>+E$75*'Distribution Factors'!I16</f>
        <v>1518971.70752205</v>
      </c>
      <c r="F80" s="302">
        <f>+F$75*'Distribution Factors'!G16</f>
        <v>401402.6987175873</v>
      </c>
      <c r="G80" s="302">
        <f>+G$75*'Distribution Factors'!H16</f>
        <v>1253631.7391843793</v>
      </c>
      <c r="H80" s="287">
        <f>F17/SUM($F$23:$H$23)*$H$75</f>
        <v>474077.1253579464</v>
      </c>
      <c r="I80" s="287">
        <f t="shared" si="1"/>
        <v>779554.613826433</v>
      </c>
      <c r="J80" s="314" t="s">
        <v>882</v>
      </c>
      <c r="K80" s="314" t="s">
        <v>882</v>
      </c>
      <c r="L80" s="305" t="s">
        <v>882</v>
      </c>
      <c r="M80" s="58"/>
    </row>
    <row r="81" spans="1:13" ht="15.75">
      <c r="A81" s="4"/>
      <c r="B81" s="74" t="s">
        <v>155</v>
      </c>
      <c r="C81" s="284" t="s">
        <v>937</v>
      </c>
      <c r="D81" s="314" t="s">
        <v>882</v>
      </c>
      <c r="E81" s="301">
        <f>+E$75*'Distribution Factors'!I17</f>
        <v>995463.0820890962</v>
      </c>
      <c r="F81" s="302">
        <f>+F$75*'Distribution Factors'!G17</f>
        <v>416865.2612450696</v>
      </c>
      <c r="G81" s="302">
        <f>+G$75*'Distribution Factors'!H17</f>
        <v>744669.3208727172</v>
      </c>
      <c r="H81" s="287">
        <f>F18/SUM($F$23:$H$23)*$H$75</f>
        <v>13109.814449989375</v>
      </c>
      <c r="I81" s="287">
        <f t="shared" si="1"/>
        <v>731559.5064227278</v>
      </c>
      <c r="J81" s="314" t="s">
        <v>882</v>
      </c>
      <c r="K81" s="314" t="s">
        <v>882</v>
      </c>
      <c r="L81" s="305" t="s">
        <v>882</v>
      </c>
      <c r="M81" s="58"/>
    </row>
    <row r="82" spans="1:13" ht="15.75">
      <c r="A82" s="4"/>
      <c r="B82" s="74" t="s">
        <v>156</v>
      </c>
      <c r="C82" s="284" t="s">
        <v>952</v>
      </c>
      <c r="D82" s="314" t="s">
        <v>882</v>
      </c>
      <c r="E82" s="301">
        <f>+E$75*'Distribution Factors'!I18</f>
        <v>528250.6015457269</v>
      </c>
      <c r="F82" s="302">
        <f>+F$75*'Distribution Factors'!G18</f>
        <v>225188.50002776444</v>
      </c>
      <c r="G82" s="302">
        <f>+G$75*'Distribution Factors'!H18</f>
        <v>393177.0721683209</v>
      </c>
      <c r="H82" s="287">
        <v>0</v>
      </c>
      <c r="I82" s="287">
        <f t="shared" si="1"/>
        <v>393177.0721683209</v>
      </c>
      <c r="J82" s="314" t="s">
        <v>882</v>
      </c>
      <c r="K82" s="314" t="s">
        <v>882</v>
      </c>
      <c r="L82" s="305" t="s">
        <v>882</v>
      </c>
      <c r="M82" s="58"/>
    </row>
    <row r="83" spans="1:13" ht="15.75">
      <c r="A83" s="4"/>
      <c r="B83" s="74" t="s">
        <v>157</v>
      </c>
      <c r="C83" s="284" t="s">
        <v>953</v>
      </c>
      <c r="D83" s="314" t="s">
        <v>882</v>
      </c>
      <c r="E83" s="301">
        <f>+E$75*'Distribution Factors'!I19</f>
        <v>346915.72246003593</v>
      </c>
      <c r="F83" s="302">
        <f>+F$75*'Distribution Factors'!G19</f>
        <v>128253.11812440943</v>
      </c>
      <c r="G83" s="302">
        <f>+G$75*'Distribution Factors'!H19</f>
        <v>268026.4439272642</v>
      </c>
      <c r="H83" s="302">
        <v>0</v>
      </c>
      <c r="I83" s="287">
        <f t="shared" si="1"/>
        <v>268026.4439272642</v>
      </c>
      <c r="J83" s="314" t="s">
        <v>882</v>
      </c>
      <c r="K83" s="314" t="s">
        <v>882</v>
      </c>
      <c r="L83" s="305" t="s">
        <v>882</v>
      </c>
      <c r="M83" s="58"/>
    </row>
    <row r="84" spans="1:13" ht="15.75">
      <c r="A84" s="4"/>
      <c r="B84" s="74" t="s">
        <v>158</v>
      </c>
      <c r="C84" s="284" t="s">
        <v>954</v>
      </c>
      <c r="D84" s="314" t="s">
        <v>882</v>
      </c>
      <c r="E84" s="301">
        <f>+E$75*'Distribution Factors'!I20</f>
        <v>606305.7377607144</v>
      </c>
      <c r="F84" s="302">
        <f>+F$75*'Distribution Factors'!G20</f>
        <v>229789.84735359318</v>
      </c>
      <c r="G84" s="302">
        <f>+G$75*'Distribution Factors'!H20</f>
        <v>465609.961195252</v>
      </c>
      <c r="H84" s="302">
        <v>0</v>
      </c>
      <c r="I84" s="287">
        <f t="shared" si="1"/>
        <v>465609.961195252</v>
      </c>
      <c r="J84" s="314" t="s">
        <v>882</v>
      </c>
      <c r="K84" s="314" t="s">
        <v>882</v>
      </c>
      <c r="L84" s="305" t="s">
        <v>882</v>
      </c>
      <c r="M84" s="58"/>
    </row>
    <row r="85" spans="1:13" ht="16.5" thickBot="1">
      <c r="A85" s="179"/>
      <c r="B85" s="295"/>
      <c r="C85" s="291"/>
      <c r="D85" s="292"/>
      <c r="E85" s="292"/>
      <c r="F85" s="292"/>
      <c r="G85" s="292"/>
      <c r="H85" s="292"/>
      <c r="I85" s="292"/>
      <c r="J85" s="292"/>
      <c r="K85" s="292"/>
      <c r="L85" s="293"/>
      <c r="M85" s="59"/>
    </row>
    <row r="86" spans="1:13" ht="12.75">
      <c r="A86" s="62"/>
      <c r="B86" s="39"/>
      <c r="C86" s="225"/>
      <c r="D86" s="225"/>
      <c r="E86" s="225"/>
      <c r="F86" s="225"/>
      <c r="G86" s="225"/>
      <c r="H86" s="225"/>
      <c r="I86" s="225"/>
      <c r="J86" s="225"/>
      <c r="K86" s="225"/>
      <c r="L86" s="228"/>
      <c r="M86" s="60"/>
    </row>
    <row r="87" spans="1:13" ht="15.75">
      <c r="A87" s="63"/>
      <c r="B87" s="41"/>
      <c r="C87" s="203" t="s">
        <v>811</v>
      </c>
      <c r="D87" s="576"/>
      <c r="E87" s="227"/>
      <c r="F87" s="227"/>
      <c r="G87" s="227"/>
      <c r="H87" s="309"/>
      <c r="I87" s="227"/>
      <c r="J87" s="227"/>
      <c r="K87" s="227"/>
      <c r="L87" s="228"/>
      <c r="M87" s="60"/>
    </row>
    <row r="88" spans="1:13" ht="13.5" thickBot="1">
      <c r="A88" s="63"/>
      <c r="B88" s="41"/>
      <c r="C88" s="229"/>
      <c r="D88" s="230"/>
      <c r="E88" s="230"/>
      <c r="F88" s="230"/>
      <c r="G88" s="230"/>
      <c r="H88" s="230"/>
      <c r="I88" s="230"/>
      <c r="J88" s="230"/>
      <c r="K88" s="230"/>
      <c r="L88" s="231"/>
      <c r="M88" s="60"/>
    </row>
    <row r="89" spans="1:13" ht="13.5" thickTop="1">
      <c r="A89" s="63"/>
      <c r="B89" s="41"/>
      <c r="C89" s="227" t="s">
        <v>196</v>
      </c>
      <c r="D89" s="227"/>
      <c r="E89" s="227"/>
      <c r="F89" s="227"/>
      <c r="G89" s="227"/>
      <c r="H89" s="227"/>
      <c r="I89" s="227"/>
      <c r="J89" s="227"/>
      <c r="K89" s="227"/>
      <c r="L89" s="228"/>
      <c r="M89" s="60"/>
    </row>
    <row r="90" spans="1:13" ht="12.75">
      <c r="A90" s="63"/>
      <c r="B90" s="41"/>
      <c r="C90" s="227" t="s">
        <v>197</v>
      </c>
      <c r="D90" s="227"/>
      <c r="E90" s="227"/>
      <c r="F90" s="227"/>
      <c r="G90" s="227"/>
      <c r="H90" s="227"/>
      <c r="I90" s="227"/>
      <c r="J90" s="227"/>
      <c r="K90" s="227"/>
      <c r="L90" s="228"/>
      <c r="M90" s="60"/>
    </row>
    <row r="91" spans="1:13" ht="12.75">
      <c r="A91" s="63"/>
      <c r="B91" s="41"/>
      <c r="C91" s="227" t="s">
        <v>304</v>
      </c>
      <c r="D91" s="227"/>
      <c r="E91" s="227"/>
      <c r="F91" s="227"/>
      <c r="G91" s="227"/>
      <c r="H91" s="227"/>
      <c r="I91" s="227"/>
      <c r="J91" s="227"/>
      <c r="K91" s="227"/>
      <c r="L91" s="228"/>
      <c r="M91" s="60"/>
    </row>
    <row r="92" spans="1:13" ht="12.75">
      <c r="A92" s="63"/>
      <c r="B92" s="41"/>
      <c r="C92" s="227" t="s">
        <v>305</v>
      </c>
      <c r="D92" s="227"/>
      <c r="E92" s="227"/>
      <c r="F92" s="227"/>
      <c r="G92" s="227"/>
      <c r="H92" s="227"/>
      <c r="I92" s="227"/>
      <c r="J92" s="227"/>
      <c r="K92" s="227"/>
      <c r="L92" s="228"/>
      <c r="M92" s="60"/>
    </row>
    <row r="93" spans="1:13" ht="12.75">
      <c r="A93" s="63"/>
      <c r="B93" s="41"/>
      <c r="C93" s="227" t="s">
        <v>407</v>
      </c>
      <c r="D93" s="227"/>
      <c r="E93" s="227"/>
      <c r="F93" s="227"/>
      <c r="G93" s="227"/>
      <c r="H93" s="227"/>
      <c r="I93" s="227"/>
      <c r="J93" s="227"/>
      <c r="K93" s="227"/>
      <c r="L93" s="228"/>
      <c r="M93" s="60"/>
    </row>
    <row r="94" spans="1:13" ht="12.75">
      <c r="A94" s="63"/>
      <c r="B94" s="41"/>
      <c r="C94" s="227" t="s">
        <v>404</v>
      </c>
      <c r="D94" s="227"/>
      <c r="E94" s="227"/>
      <c r="F94" s="227"/>
      <c r="G94" s="227"/>
      <c r="H94" s="227"/>
      <c r="I94" s="227"/>
      <c r="J94" s="227"/>
      <c r="K94" s="227"/>
      <c r="L94" s="228"/>
      <c r="M94" s="60"/>
    </row>
    <row r="95" spans="1:13" ht="12.75">
      <c r="A95" s="63"/>
      <c r="B95" s="41"/>
      <c r="C95" s="227" t="s">
        <v>306</v>
      </c>
      <c r="D95" s="227"/>
      <c r="E95" s="227"/>
      <c r="F95" s="227"/>
      <c r="G95" s="227"/>
      <c r="H95" s="227"/>
      <c r="I95" s="227"/>
      <c r="J95" s="227"/>
      <c r="K95" s="227"/>
      <c r="L95" s="228"/>
      <c r="M95" s="60"/>
    </row>
    <row r="96" spans="1:13" ht="12.75">
      <c r="A96" s="63"/>
      <c r="B96" s="41"/>
      <c r="C96" s="227" t="s">
        <v>307</v>
      </c>
      <c r="D96" s="227"/>
      <c r="E96" s="227"/>
      <c r="F96" s="227"/>
      <c r="G96" s="227"/>
      <c r="H96" s="227"/>
      <c r="I96" s="227"/>
      <c r="J96" s="227"/>
      <c r="K96" s="227"/>
      <c r="L96" s="228"/>
      <c r="M96" s="60"/>
    </row>
    <row r="97" spans="1:13" ht="12.75">
      <c r="A97" s="63"/>
      <c r="B97" s="41"/>
      <c r="C97" s="227" t="s">
        <v>308</v>
      </c>
      <c r="D97" s="227"/>
      <c r="E97" s="227"/>
      <c r="F97" s="227"/>
      <c r="G97" s="227"/>
      <c r="H97" s="227"/>
      <c r="I97" s="227"/>
      <c r="J97" s="227"/>
      <c r="K97" s="227"/>
      <c r="L97" s="228"/>
      <c r="M97" s="60"/>
    </row>
    <row r="98" spans="1:13" ht="12.75">
      <c r="A98" s="63"/>
      <c r="B98" s="41"/>
      <c r="C98" s="227" t="s">
        <v>309</v>
      </c>
      <c r="D98" s="227"/>
      <c r="E98" s="227"/>
      <c r="F98" s="227"/>
      <c r="G98" s="227"/>
      <c r="H98" s="227"/>
      <c r="I98" s="227"/>
      <c r="J98" s="227"/>
      <c r="K98" s="227"/>
      <c r="L98" s="228"/>
      <c r="M98" s="60"/>
    </row>
    <row r="99" spans="1:13" ht="12.75">
      <c r="A99" s="63"/>
      <c r="B99" s="41"/>
      <c r="C99" s="227" t="s">
        <v>310</v>
      </c>
      <c r="D99" s="227"/>
      <c r="E99" s="227"/>
      <c r="F99" s="227"/>
      <c r="G99" s="227"/>
      <c r="H99" s="227"/>
      <c r="I99" s="227"/>
      <c r="J99" s="227"/>
      <c r="K99" s="227"/>
      <c r="L99" s="228"/>
      <c r="M99" s="60"/>
    </row>
    <row r="100" spans="1:13" ht="12.75">
      <c r="A100" s="63"/>
      <c r="B100" s="41"/>
      <c r="C100" s="227" t="s">
        <v>311</v>
      </c>
      <c r="D100" s="227"/>
      <c r="E100" s="227"/>
      <c r="F100" s="227"/>
      <c r="G100" s="227"/>
      <c r="H100" s="227"/>
      <c r="I100" s="227"/>
      <c r="J100" s="227"/>
      <c r="K100" s="227"/>
      <c r="L100" s="228"/>
      <c r="M100" s="60"/>
    </row>
    <row r="101" spans="1:13" ht="12.75">
      <c r="A101" s="63"/>
      <c r="B101" s="41"/>
      <c r="C101" s="227" t="s">
        <v>312</v>
      </c>
      <c r="D101" s="227"/>
      <c r="E101" s="227"/>
      <c r="F101" s="227"/>
      <c r="G101" s="227"/>
      <c r="H101" s="227"/>
      <c r="I101" s="227"/>
      <c r="J101" s="227"/>
      <c r="K101" s="227"/>
      <c r="L101" s="228"/>
      <c r="M101" s="60"/>
    </row>
    <row r="102" spans="1:13" ht="12.75">
      <c r="A102" s="63"/>
      <c r="B102" s="41"/>
      <c r="C102" s="227" t="s">
        <v>313</v>
      </c>
      <c r="D102" s="227"/>
      <c r="E102" s="227"/>
      <c r="F102" s="227"/>
      <c r="G102" s="227"/>
      <c r="H102" s="227"/>
      <c r="I102" s="227"/>
      <c r="J102" s="227"/>
      <c r="K102" s="227"/>
      <c r="L102" s="228"/>
      <c r="M102" s="60"/>
    </row>
    <row r="103" spans="1:13" ht="12.75">
      <c r="A103" s="63"/>
      <c r="B103" s="41"/>
      <c r="C103" s="227" t="s">
        <v>314</v>
      </c>
      <c r="D103" s="227"/>
      <c r="E103" s="227"/>
      <c r="F103" s="227"/>
      <c r="G103" s="227"/>
      <c r="H103" s="227"/>
      <c r="I103" s="227"/>
      <c r="J103" s="227"/>
      <c r="K103" s="227"/>
      <c r="L103" s="228"/>
      <c r="M103" s="60"/>
    </row>
    <row r="104" spans="1:13" ht="12.75">
      <c r="A104" s="63"/>
      <c r="B104" s="41"/>
      <c r="C104" s="227" t="s">
        <v>315</v>
      </c>
      <c r="D104" s="227"/>
      <c r="E104" s="227"/>
      <c r="F104" s="227"/>
      <c r="G104" s="227"/>
      <c r="H104" s="227"/>
      <c r="I104" s="227"/>
      <c r="J104" s="227"/>
      <c r="K104" s="227"/>
      <c r="L104" s="228"/>
      <c r="M104" s="60"/>
    </row>
    <row r="105" spans="1:13" ht="12.75">
      <c r="A105" s="63"/>
      <c r="B105" s="41"/>
      <c r="C105" s="227" t="s">
        <v>316</v>
      </c>
      <c r="D105" s="227"/>
      <c r="E105" s="227"/>
      <c r="F105" s="227"/>
      <c r="G105" s="227"/>
      <c r="H105" s="227"/>
      <c r="I105" s="227"/>
      <c r="J105" s="227"/>
      <c r="K105" s="227"/>
      <c r="L105" s="228"/>
      <c r="M105" s="60"/>
    </row>
    <row r="106" spans="1:13" ht="12.75">
      <c r="A106" s="63"/>
      <c r="B106" s="41"/>
      <c r="C106" s="227" t="s">
        <v>405</v>
      </c>
      <c r="D106" s="227"/>
      <c r="E106" s="227"/>
      <c r="F106" s="227"/>
      <c r="G106" s="227"/>
      <c r="H106" s="227"/>
      <c r="I106" s="227"/>
      <c r="J106" s="227"/>
      <c r="K106" s="227"/>
      <c r="L106" s="228"/>
      <c r="M106" s="60"/>
    </row>
    <row r="107" spans="1:13" ht="12.75">
      <c r="A107" s="63"/>
      <c r="B107" s="41"/>
      <c r="C107" s="227" t="s">
        <v>406</v>
      </c>
      <c r="D107" s="227"/>
      <c r="E107" s="227"/>
      <c r="F107" s="227"/>
      <c r="G107" s="227"/>
      <c r="H107" s="227"/>
      <c r="I107" s="227"/>
      <c r="J107" s="227"/>
      <c r="K107" s="227"/>
      <c r="L107" s="228"/>
      <c r="M107" s="60"/>
    </row>
    <row r="108" spans="1:13" ht="12.75">
      <c r="A108" s="63"/>
      <c r="B108" s="41"/>
      <c r="C108" s="227" t="s">
        <v>70</v>
      </c>
      <c r="D108" s="227"/>
      <c r="E108" s="227"/>
      <c r="F108" s="227"/>
      <c r="G108" s="227"/>
      <c r="H108" s="227"/>
      <c r="I108" s="227"/>
      <c r="J108" s="227"/>
      <c r="K108" s="227"/>
      <c r="L108" s="228"/>
      <c r="M108" s="60"/>
    </row>
    <row r="109" spans="1:13" ht="12.75">
      <c r="A109" s="63"/>
      <c r="B109" s="41"/>
      <c r="C109" s="227" t="s">
        <v>319</v>
      </c>
      <c r="D109" s="227"/>
      <c r="E109" s="227"/>
      <c r="F109" s="227"/>
      <c r="G109" s="227"/>
      <c r="H109" s="227"/>
      <c r="I109" s="227"/>
      <c r="J109" s="227"/>
      <c r="K109" s="227"/>
      <c r="L109" s="228"/>
      <c r="M109" s="60"/>
    </row>
    <row r="110" spans="1:13" ht="12.75">
      <c r="A110" s="63"/>
      <c r="B110" s="41"/>
      <c r="C110" s="227" t="s">
        <v>317</v>
      </c>
      <c r="D110" s="227"/>
      <c r="E110" s="227"/>
      <c r="F110" s="227"/>
      <c r="G110" s="227"/>
      <c r="H110" s="227"/>
      <c r="I110" s="227"/>
      <c r="J110" s="227"/>
      <c r="K110" s="227"/>
      <c r="L110" s="228"/>
      <c r="M110" s="60"/>
    </row>
    <row r="111" spans="1:13" ht="12.75">
      <c r="A111" s="63"/>
      <c r="B111" s="41"/>
      <c r="C111" s="227" t="s">
        <v>318</v>
      </c>
      <c r="D111" s="227"/>
      <c r="E111" s="227"/>
      <c r="F111" s="227"/>
      <c r="G111" s="227"/>
      <c r="H111" s="227"/>
      <c r="I111" s="227"/>
      <c r="J111" s="227"/>
      <c r="K111" s="227"/>
      <c r="L111" s="228"/>
      <c r="M111" s="60"/>
    </row>
    <row r="112" spans="1:13" ht="13.5" thickBot="1">
      <c r="A112" s="21"/>
      <c r="B112" s="4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4"/>
      <c r="M112" s="60"/>
    </row>
    <row r="113" ht="12.75">
      <c r="O113" s="61"/>
    </row>
    <row r="114" ht="12.75">
      <c r="O114" s="61"/>
    </row>
    <row r="115" ht="12.75">
      <c r="O115" s="61"/>
    </row>
    <row r="116" ht="12.75">
      <c r="O116" s="61"/>
    </row>
    <row r="117" ht="12.75">
      <c r="O117" s="61"/>
    </row>
    <row r="118" ht="12.75">
      <c r="O118" s="61"/>
    </row>
  </sheetData>
  <mergeCells count="7">
    <mergeCell ref="A4:N4"/>
    <mergeCell ref="J70:L70"/>
    <mergeCell ref="G70:I70"/>
    <mergeCell ref="D7:H7"/>
    <mergeCell ref="E9:H9"/>
    <mergeCell ref="J8:N8"/>
    <mergeCell ref="A67:L67"/>
  </mergeCells>
  <printOptions/>
  <pageMargins left="0.75" right="0.75" top="1" bottom="1" header="0.5" footer="0.5"/>
  <pageSetup fitToHeight="0" fitToWidth="1" horizontalDpi="600" verticalDpi="600" orientation="landscape" scale="55" r:id="rId1"/>
  <headerFooter alignWithMargins="0">
    <oddHeader>&amp;RUSPS-LR-L-41
Bound Printed Matter Spreadsheets
&amp;A</oddHeader>
    <oddFooter xml:space="preserve">&amp;CPage &amp;P of &amp;N&amp;R&amp;D 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ios</dc:creator>
  <cp:keywords/>
  <dc:description/>
  <cp:lastModifiedBy>yehnx</cp:lastModifiedBy>
  <cp:lastPrinted>2006-06-01T19:23:07Z</cp:lastPrinted>
  <dcterms:created xsi:type="dcterms:W3CDTF">1999-08-26T12:59:30Z</dcterms:created>
  <dcterms:modified xsi:type="dcterms:W3CDTF">2006-06-05T18:36:23Z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2099064875</vt:i4>
  </property>
  <property fmtid="{D5CDD505-2E9C-101B-9397-08002B2CF9AE}" pid="3" name="_EmailSubject">
    <vt:lpwstr>Responses to POIR3 Q18b and 18c</vt:lpwstr>
  </property>
  <property fmtid="{D5CDD505-2E9C-101B-9397-08002B2CF9AE}" pid="4" name="_AuthorEmail">
    <vt:lpwstr>Nina.Yeh@usps.gov</vt:lpwstr>
  </property>
  <property fmtid="{D5CDD505-2E9C-101B-9397-08002B2CF9AE}" pid="5" name="_AuthorEmailDisplayName">
    <vt:lpwstr>Yeh, Nina - Washington, DC</vt:lpwstr>
  </property>
  <property fmtid="{D5CDD505-2E9C-101B-9397-08002B2CF9AE}" pid="6" name="_PreviousAdHocReviewCycleID">
    <vt:i4>-477792598</vt:i4>
  </property>
</Properties>
</file>