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'Sheet1'!$A$1:$K$228</definedName>
  </definedNames>
  <calcPr fullCalcOnLoad="1"/>
</workbook>
</file>

<file path=xl/sharedStrings.xml><?xml version="1.0" encoding="utf-8"?>
<sst xmlns="http://schemas.openxmlformats.org/spreadsheetml/2006/main" count="324" uniqueCount="216">
  <si>
    <t>2003 EQIP APPLICATION SUMMARY SHEET</t>
  </si>
  <si>
    <t>Applicant Name:</t>
  </si>
  <si>
    <t>County:</t>
  </si>
  <si>
    <t>Clark</t>
  </si>
  <si>
    <r>
      <t>FSA County Administrative
Office:   ____</t>
    </r>
    <r>
      <rPr>
        <b/>
        <i/>
        <u val="single"/>
        <sz val="10"/>
        <rFont val="Arial"/>
        <family val="2"/>
      </rPr>
      <t>55019</t>
    </r>
    <r>
      <rPr>
        <b/>
        <i/>
        <sz val="10"/>
        <rFont val="Arial"/>
        <family val="2"/>
      </rPr>
      <t>______                 
Farm #: _______________
Tract #: _______________</t>
    </r>
  </si>
  <si>
    <r>
      <t>EQIP Application Evaluation Worksheet Point Summary</t>
    </r>
    <r>
      <rPr>
        <sz val="10"/>
        <rFont val="Arial"/>
        <family val="0"/>
      </rPr>
      <t xml:space="preserve">:  </t>
    </r>
    <r>
      <rPr>
        <sz val="9"/>
        <rFont val="Arial"/>
        <family val="2"/>
      </rPr>
      <t>(Applicant will score points in all 
resource concerns where an environmental improvements occurs as a result of EQIP.  Points may
only be earned on land which falls within the conservation planning unit covered by the EQIP contract.)</t>
    </r>
  </si>
  <si>
    <t>Subfactor A) Water resource degradation caused by animal was</t>
  </si>
  <si>
    <t>Subfactor B) Soil Erosion/sedimentation - deposition</t>
  </si>
  <si>
    <t>Subfactor C) Groundwater protection</t>
  </si>
  <si>
    <t>Subfactor D) Habitat/ecosystem enhancement/protection</t>
  </si>
  <si>
    <t>Total environmental benefit points ALL subfactors and bonus points</t>
  </si>
  <si>
    <t>Resource Management System (RMS) Bonus:  The RMS bonus is earned when ALL land within
the EQIP offer is planned to a Resource Management System (RMS) level of protection as defined
by Section III of the NRCS field office guide.</t>
  </si>
  <si>
    <t>Total subfactor points</t>
  </si>
  <si>
    <t>RMS Bonus Points, if earned</t>
  </si>
  <si>
    <t>Total points earned all subfactors</t>
  </si>
  <si>
    <t>RMS Bonus Points</t>
  </si>
  <si>
    <t>x 25% =</t>
  </si>
  <si>
    <t>Subfactor A) Water Resource Degradation Caused by Animal Waste</t>
  </si>
  <si>
    <t>pts. (Total A1)</t>
  </si>
  <si>
    <t>pts. (Total A2)</t>
  </si>
  <si>
    <t>A3) Clean Water Management Practices - Install clean water management practices around each
site where animal wastes are concentrated.</t>
  </si>
  <si>
    <t>NRCS Practice Standard</t>
  </si>
  <si>
    <t>Points</t>
  </si>
  <si>
    <t>Diversion - 362 (50 pts.)</t>
  </si>
  <si>
    <t>Roof Runoff Mgt. - 558 (50 pts.)</t>
  </si>
  <si>
    <t>Total A3)</t>
  </si>
  <si>
    <t>pts.</t>
  </si>
  <si>
    <t>Total A4)</t>
  </si>
  <si>
    <t xml:space="preserve">pts. </t>
  </si>
  <si>
    <t>(100 pts. Maximum per site)</t>
  </si>
  <si>
    <t>Barnyard location relative to surface/groundwater</t>
  </si>
  <si>
    <t>Environmental threat caused by barnyard within 300 ft.of, or with direct conveyance to
perennial/intermittent stream/waterbodies identified on USGS quadrangle map (50 pts)</t>
  </si>
  <si>
    <t>Environmental threat caused by barnyard with direct conveyance to groundwater (50 pts)</t>
  </si>
  <si>
    <t>Environmental threat caused by barnyard greater than 300 ft. and with no direct
conveyance to perennial/intermittent stream/waterbodies identified on USGS
quadrangle map (20 pts)</t>
  </si>
  <si>
    <t>Add 25 pts. Per site where groundwater/bedrock is 3 ft. or less below surface of the 
barnyard.</t>
  </si>
  <si>
    <t>*Direct conveyance is defined as a channel or conduit which will not allow filtering/settling of runoff
before reaching perennial/intermittent stream, waterbody, groundwater.</t>
  </si>
  <si>
    <t>Total A5)</t>
  </si>
  <si>
    <t>Closure of Waste Storage Impoundments</t>
  </si>
  <si>
    <t>Add 50 pts. Per site where groundwater/bedrock is 5 ft. of less below the
surface of the storage structure site.</t>
  </si>
  <si>
    <t>pts. (450 pts. Maximum per site)</t>
  </si>
  <si>
    <t>Total A6)</t>
  </si>
  <si>
    <t>Total points for Subfactor A</t>
  </si>
  <si>
    <t>Subfactor B - Soil Erosion/Sedimentation - Deposition</t>
  </si>
  <si>
    <t>B1) Erosion Reduction Factor</t>
  </si>
  <si>
    <t>Primary type of soil erosion</t>
  </si>
  <si>
    <t>Sheet/Rill</t>
  </si>
  <si>
    <t>Total B1)</t>
  </si>
  <si>
    <t>pts</t>
  </si>
  <si>
    <t>Total Points</t>
  </si>
  <si>
    <t>B3) Install conservation practices to address erosion caused by livestock and quality of grazing
land.</t>
  </si>
  <si>
    <t>Trough or Tank-614 (30 pts/ea)</t>
  </si>
  <si>
    <t xml:space="preserve"> =</t>
  </si>
  <si>
    <t>B4) Streambank/shoreland protection and buffers (buffers to be cost-shared by CRP).</t>
  </si>
  <si>
    <t>Access Road-560 (stream crossing (50 pts/ea)</t>
  </si>
  <si>
    <t>Heavy Use Area Protection-561 (cattle watering ramp)(35 pts/ea)</t>
  </si>
  <si>
    <t>Total Practices</t>
  </si>
  <si>
    <t>Total points for Subfactor B</t>
  </si>
  <si>
    <t>Subfactor C - Habitat/Ecosystem Enhancement and Protection</t>
  </si>
  <si>
    <t>C1) Install the following conservation practices to enhance and/or protect ecosystems.</t>
  </si>
  <si>
    <t>Total points for Subfactor C</t>
  </si>
  <si>
    <t>Subfactor D - Groundwater Protection</t>
  </si>
  <si>
    <t>D1) Well Decommissioning-earn points for each well decommissioning according to DNR well code.</t>
  </si>
  <si>
    <t>Number</t>
  </si>
  <si>
    <t>Total points for Subfactor D</t>
  </si>
  <si>
    <t>*Immediately down gradient is defined as being physically located at a lower elevation than the source
of contamiants AND contaminated runoff is coming into physical contact with well, well casing, 
cistern walls, etc.</t>
  </si>
  <si>
    <t>Closure of Waste Storage Impoundments (400 pts)</t>
  </si>
  <si>
    <t>B2) Install conservation practices to address sheet/rill, wind, classic/ephemeral gully erosion.</t>
  </si>
  <si>
    <t>Tie Breaker Points</t>
  </si>
  <si>
    <t>Contour Farming-330 (100 pts)</t>
  </si>
  <si>
    <t>Cover and Green Manure Crop-340 (100 pts)</t>
  </si>
  <si>
    <t>Critical Area Planting-342 (3 pts)</t>
  </si>
  <si>
    <t>Diversion-362 (75 pts)</t>
  </si>
  <si>
    <t>Grade Stabilization. Structure-410 (50 pts)</t>
  </si>
  <si>
    <t>Grassed Waterway-412 (400 pts)</t>
  </si>
  <si>
    <t>Lined Waterway-468 (100 pts)</t>
  </si>
  <si>
    <t>Nutrient Management-590 (non-manure only) (400 pts)</t>
  </si>
  <si>
    <t>Pest Management-595 (300 pts)</t>
  </si>
  <si>
    <t>Residue Management, No Till-329A (200 pts)</t>
  </si>
  <si>
    <t>Residue Management, Mulch Till-329B (200 pts)</t>
  </si>
  <si>
    <t>Residue Management, Ridge Till-329C (200 pts)</t>
  </si>
  <si>
    <t>Contour Stripcropping-585 (100 pts)</t>
  </si>
  <si>
    <t>Crosswind stripcropping-589B (25 pts)</t>
  </si>
  <si>
    <t>Field Stripcropping-586 (25 pts)</t>
  </si>
  <si>
    <t>Terrace-600 (100 pts)</t>
  </si>
  <si>
    <t>Windbreak/Shelterbelt Estab.-380 (25 pts)</t>
  </si>
  <si>
    <t>Windbreak/Shelterbelt Renovation-650 (25 pts)</t>
  </si>
  <si>
    <t>Animal Trails &amp; Walkways-575 (17 pts)</t>
  </si>
  <si>
    <t>Fence-382 (6 pts)</t>
  </si>
  <si>
    <t>Pasture &amp; Hayland Planting-512 (3 pts)</t>
  </si>
  <si>
    <t>Prescribed Grazing-528A Pasture (50 pts)</t>
  </si>
  <si>
    <t>Prescribed Grazing-528A Cropland (75 pts)</t>
  </si>
  <si>
    <t>Spring Development-574 (25 pts)</t>
  </si>
  <si>
    <t>Use Exclusion-472 (50 pts)</t>
  </si>
  <si>
    <t>Streambank and Shoreline Protection-580 (50 pt)</t>
  </si>
  <si>
    <t>Stream Channel Stab-584 (50 pts)</t>
  </si>
  <si>
    <t>Filter Strip-393 (30 ft wide or less)(100)</t>
  </si>
  <si>
    <t>Filter Strip-393 (31 ft wide or more)(100 pts)</t>
  </si>
  <si>
    <t>Riparian Buffer Strip (100 pts)</t>
  </si>
  <si>
    <t>Brush Management-314 (2 pts)</t>
  </si>
  <si>
    <t>Firebreak-394 (2 pts)</t>
  </si>
  <si>
    <t>Fishstream Improvement-395 (10 pts )</t>
  </si>
  <si>
    <t>Forrest Stand Improvement-666 (10 pts)</t>
  </si>
  <si>
    <t>Hedgerow Planting-422 (10 pts)</t>
  </si>
  <si>
    <t>Prescribed Burning-338 (10 pts)</t>
  </si>
  <si>
    <t>Tree/Shrub Establishment-612 (softwoods)(10 pts)</t>
  </si>
  <si>
    <t>Tree/Shrub Establishment-612 (hardwoods/shrubs)(15 pts)</t>
  </si>
  <si>
    <t>Decommission well NOT located immediately down gradient* from cropland, a
source of concentrated animal wastes or agricultural sources of chemicals/
petroleum (300 pts/ea)</t>
  </si>
  <si>
    <t>Decommision well located immediately down gradient* from cropland, a source
of concentrated animal wastes, or agricultural sources of chemicals/petroleum
(400 pts/ea)</t>
  </si>
  <si>
    <r>
      <t>Tie Breaker</t>
    </r>
    <r>
      <rPr>
        <sz val="10"/>
        <rFont val="Arial"/>
        <family val="2"/>
      </rPr>
      <t xml:space="preserve"> - Distance of proposed practice closest to a water body 
(Enter proximity in feet).</t>
    </r>
  </si>
  <si>
    <t># of feet</t>
  </si>
  <si>
    <t>Tie Breaker</t>
  </si>
  <si>
    <t>Tons/acre soil loss reduction x 50 (rounded to whole #) =</t>
  </si>
  <si>
    <t>A1) Nutrient management planning for manure utilization - 400 pts. to implement or upgrade
existing nutrient management plan for manure application to meet current 590 standard.</t>
  </si>
  <si>
    <t xml:space="preserve"> Nutrient Management Plan (400 pts.)</t>
  </si>
  <si>
    <t>Water and Sediment Control Basin-638 (75 pts)</t>
  </si>
  <si>
    <t>Structure for Water Control-587 (75 pts)</t>
  </si>
  <si>
    <t>A2) CNMP Bonus - 10% - Receive a 10% bonus to implement a CNMP.</t>
  </si>
  <si>
    <t xml:space="preserve">pts. A1) x 10% = </t>
  </si>
  <si>
    <t xml:space="preserve"> </t>
  </si>
  <si>
    <r>
      <t xml:space="preserve">List the primary statewide resource concerns addressed by this EQIP application </t>
    </r>
    <r>
      <rPr>
        <b/>
        <i/>
        <sz val="10"/>
        <rFont val="Arial"/>
        <family val="2"/>
      </rPr>
      <t xml:space="preserve">
</t>
    </r>
  </si>
  <si>
    <t>Producer Name:</t>
  </si>
  <si>
    <t xml:space="preserve">       </t>
  </si>
  <si>
    <t>Flat</t>
  </si>
  <si>
    <t>Cost</t>
  </si>
  <si>
    <t>Rate or</t>
  </si>
  <si>
    <t>Treatment</t>
  </si>
  <si>
    <t>Total</t>
  </si>
  <si>
    <t xml:space="preserve">EQIP </t>
  </si>
  <si>
    <t>Practice</t>
  </si>
  <si>
    <t>Reporting</t>
  </si>
  <si>
    <t>Share</t>
  </si>
  <si>
    <t>Max.</t>
  </si>
  <si>
    <t>Units</t>
  </si>
  <si>
    <t>Project</t>
  </si>
  <si>
    <t xml:space="preserve">Cost </t>
  </si>
  <si>
    <t>Code</t>
  </si>
  <si>
    <t>Practice Name</t>
  </si>
  <si>
    <t>Rate</t>
  </si>
  <si>
    <t>Limit</t>
  </si>
  <si>
    <t>Needed</t>
  </si>
  <si>
    <t>Access Road</t>
  </si>
  <si>
    <t>Feet</t>
  </si>
  <si>
    <t>Animal Trails and Walkways</t>
  </si>
  <si>
    <t>Brush Management-Medium I</t>
  </si>
  <si>
    <t>Acre</t>
  </si>
  <si>
    <t xml:space="preserve">      Brush Management-Medium II</t>
  </si>
  <si>
    <t xml:space="preserve">      Brush Management-Heavy</t>
  </si>
  <si>
    <t>Closure of Waste Impoundments</t>
  </si>
  <si>
    <t>No.</t>
  </si>
  <si>
    <t>Conservation Cover</t>
  </si>
  <si>
    <t>Contour Buffer Strip</t>
  </si>
  <si>
    <t>FR</t>
  </si>
  <si>
    <t>Contour Farming</t>
  </si>
  <si>
    <t>Cover Crop</t>
  </si>
  <si>
    <t>Critical Area Planting</t>
  </si>
  <si>
    <t>Diversion</t>
  </si>
  <si>
    <t>Fence-Nonbarnyard</t>
  </si>
  <si>
    <t xml:space="preserve">     Fence-Barnyard</t>
  </si>
  <si>
    <t>Field Border</t>
  </si>
  <si>
    <t>Filter Strip</t>
  </si>
  <si>
    <t>Firebreak</t>
  </si>
  <si>
    <t>Forest Site Preparation</t>
  </si>
  <si>
    <t>Forest Stand Improvement</t>
  </si>
  <si>
    <t>Grade Stabilization Structure</t>
  </si>
  <si>
    <t>Grassed Waterway</t>
  </si>
  <si>
    <t>Heavy Use Area Protection-Nonbarnyard</t>
  </si>
  <si>
    <t xml:space="preserve">     Heavy Use Area Protection-Barnyard</t>
  </si>
  <si>
    <t>Lined Waterway or Outlet</t>
  </si>
  <si>
    <t>Mulching</t>
  </si>
  <si>
    <t>Nutrient Management</t>
  </si>
  <si>
    <t>7-3Yrs.</t>
  </si>
  <si>
    <t>Obstruction Removal</t>
  </si>
  <si>
    <t>Pasture and Hayland Planting</t>
  </si>
  <si>
    <t>Pest Management-Field Crops</t>
  </si>
  <si>
    <t>2-3 Yrs.</t>
  </si>
  <si>
    <t xml:space="preserve">     Pest Management-Specialty Crops</t>
  </si>
  <si>
    <t>4-3 Yrs.</t>
  </si>
  <si>
    <t>Pipeline</t>
  </si>
  <si>
    <t>Prescribed Burning</t>
  </si>
  <si>
    <t>528A</t>
  </si>
  <si>
    <t>Prescribed Grazing-Cropland</t>
  </si>
  <si>
    <t xml:space="preserve">     Prescribed Grazing-Pasture</t>
  </si>
  <si>
    <t>329A</t>
  </si>
  <si>
    <t>Residue Management-No Till</t>
  </si>
  <si>
    <t>15-3 Yrs.</t>
  </si>
  <si>
    <t>329B</t>
  </si>
  <si>
    <t>Residue Management-Mulch Till</t>
  </si>
  <si>
    <t>10-3 Yrs.</t>
  </si>
  <si>
    <t>Roof Runoff Management</t>
  </si>
  <si>
    <t>Sediment Basin-Nonbarnyard</t>
  </si>
  <si>
    <t xml:space="preserve">     Sediment Basin-Barnyard</t>
  </si>
  <si>
    <t>Sinkhole Treatment</t>
  </si>
  <si>
    <t>Spoil Spreading</t>
  </si>
  <si>
    <t>Spring Development</t>
  </si>
  <si>
    <t>Streambank and Shoreline Protection</t>
  </si>
  <si>
    <t>Stream Channel Stabilization</t>
  </si>
  <si>
    <t>Stripcropping</t>
  </si>
  <si>
    <t>Structure for Water Control</t>
  </si>
  <si>
    <t>Subsurface Drain</t>
  </si>
  <si>
    <t>Terrace</t>
  </si>
  <si>
    <t>Tree and Shrub Pruning</t>
  </si>
  <si>
    <t>Tree/Shrub Establishment</t>
  </si>
  <si>
    <t>Underground Outlet</t>
  </si>
  <si>
    <t>Use Exclusion</t>
  </si>
  <si>
    <t>Waste Storage Facility</t>
  </si>
  <si>
    <t>Water and Sediment Control Basin</t>
  </si>
  <si>
    <t>Watering Facility (Trough or Tank)</t>
  </si>
  <si>
    <t>Well</t>
  </si>
  <si>
    <t>Well Decommissioning</t>
  </si>
  <si>
    <t>Windbreak/Shelterbelt Establishment</t>
  </si>
  <si>
    <t>Windbreak/Shelterbelt Restoration</t>
  </si>
  <si>
    <t>TOTAL COST SHARE REQUESTED</t>
  </si>
  <si>
    <t>A4) Buffer/Filter Strips - Install waste treatment strip below each source of concentrated animal
wastes.</t>
  </si>
  <si>
    <t>Gully</t>
  </si>
  <si>
    <r>
      <t xml:space="preserve">A5) Barnyard Runoff System - Install  measures to control runoff from concentrated
sources of animal wastes.    </t>
    </r>
    <r>
      <rPr>
        <b/>
        <sz val="10"/>
        <rFont val="Arial"/>
        <family val="2"/>
      </rPr>
      <t>(Select only one below for each system)</t>
    </r>
  </si>
  <si>
    <t>Filter Strip - 635 (100 pts.)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</si>
</sst>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165" fontId="9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164" fontId="8" fillId="3" borderId="0" xfId="15" applyNumberFormat="1" applyFont="1" applyFill="1" applyAlignment="1">
      <alignment/>
    </xf>
    <xf numFmtId="164" fontId="8" fillId="0" borderId="0" xfId="15" applyNumberFormat="1" applyFont="1" applyFill="1" applyAlignment="1" applyProtection="1">
      <alignment/>
      <protection locked="0"/>
    </xf>
    <xf numFmtId="164" fontId="8" fillId="3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5" fontId="9" fillId="4" borderId="0" xfId="17" applyNumberFormat="1" applyFont="1" applyFill="1" applyAlignment="1">
      <alignment/>
    </xf>
    <xf numFmtId="0" fontId="9" fillId="5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43" fontId="8" fillId="2" borderId="0" xfId="15" applyFont="1" applyFill="1" applyAlignment="1">
      <alignment horizontal="center"/>
    </xf>
    <xf numFmtId="164" fontId="8" fillId="2" borderId="0" xfId="15" applyNumberFormat="1" applyFont="1" applyFill="1" applyAlignment="1">
      <alignment horizontal="center"/>
    </xf>
    <xf numFmtId="43" fontId="8" fillId="2" borderId="0" xfId="15" applyNumberFormat="1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66" fontId="8" fillId="0" borderId="0" xfId="15" applyNumberFormat="1" applyFont="1" applyFill="1" applyAlignment="1" applyProtection="1">
      <alignment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17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5"/>
  <sheetViews>
    <sheetView tabSelected="1" workbookViewId="0" topLeftCell="A44">
      <selection activeCell="A52" sqref="A52:I52"/>
    </sheetView>
  </sheetViews>
  <sheetFormatPr defaultColWidth="9.140625" defaultRowHeight="12.75"/>
  <cols>
    <col min="7" max="7" width="12.7109375" style="0" bestFit="1" customWidth="1"/>
  </cols>
  <sheetData>
    <row r="1" spans="1:9" ht="18.7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37"/>
      <c r="B2" s="37"/>
      <c r="C2" s="37"/>
      <c r="D2" s="37"/>
      <c r="E2" s="37"/>
      <c r="F2" s="37"/>
      <c r="G2" s="37"/>
      <c r="H2" s="37"/>
      <c r="I2" s="37"/>
    </row>
    <row r="3" spans="1:9" ht="12.75">
      <c r="A3" s="53" t="s">
        <v>1</v>
      </c>
      <c r="B3" s="53"/>
      <c r="C3" s="49"/>
      <c r="D3" s="49"/>
      <c r="E3" s="49"/>
      <c r="F3" s="49"/>
      <c r="G3" s="56" t="s">
        <v>4</v>
      </c>
      <c r="H3" s="53"/>
      <c r="I3" s="53"/>
    </row>
    <row r="4" spans="1:9" ht="12.75">
      <c r="A4" s="37"/>
      <c r="B4" s="37"/>
      <c r="C4" s="37"/>
      <c r="D4" s="37"/>
      <c r="E4" s="37"/>
      <c r="F4" s="37"/>
      <c r="G4" s="53"/>
      <c r="H4" s="53"/>
      <c r="I4" s="53"/>
    </row>
    <row r="5" spans="1:9" ht="12.75">
      <c r="A5" s="53" t="s">
        <v>2</v>
      </c>
      <c r="B5" s="53"/>
      <c r="C5" s="53" t="s">
        <v>3</v>
      </c>
      <c r="D5" s="53"/>
      <c r="E5" s="53"/>
      <c r="F5" s="53"/>
      <c r="G5" s="53"/>
      <c r="H5" s="53"/>
      <c r="I5" s="53"/>
    </row>
    <row r="6" spans="1:9" ht="12.75">
      <c r="A6" s="37"/>
      <c r="B6" s="37"/>
      <c r="C6" s="37"/>
      <c r="D6" s="37"/>
      <c r="E6" s="37"/>
      <c r="F6" s="37"/>
      <c r="G6" s="53"/>
      <c r="H6" s="53"/>
      <c r="I6" s="53"/>
    </row>
    <row r="7" spans="1:9" ht="27" customHeight="1">
      <c r="A7" s="54" t="s">
        <v>119</v>
      </c>
      <c r="B7" s="54"/>
      <c r="C7" s="54"/>
      <c r="D7" s="54"/>
      <c r="E7" s="54"/>
      <c r="F7" s="54"/>
      <c r="G7" s="54"/>
      <c r="H7" s="54"/>
      <c r="I7" s="54"/>
    </row>
    <row r="8" spans="1:9" ht="12.75" hidden="1">
      <c r="A8" s="54"/>
      <c r="B8" s="54"/>
      <c r="C8" s="54"/>
      <c r="D8" s="54"/>
      <c r="E8" s="54"/>
      <c r="F8" s="54"/>
      <c r="G8" s="54"/>
      <c r="H8" s="54"/>
      <c r="I8" s="54"/>
    </row>
    <row r="9" spans="1:9" ht="12.75">
      <c r="A9" s="37"/>
      <c r="B9" s="37"/>
      <c r="C9" s="37"/>
      <c r="D9" s="37"/>
      <c r="E9" s="37"/>
      <c r="F9" s="37"/>
      <c r="G9" s="37"/>
      <c r="H9" s="37"/>
      <c r="I9" s="37"/>
    </row>
    <row r="10" spans="1:9" ht="39" customHeight="1">
      <c r="A10" s="48"/>
      <c r="B10" s="48"/>
      <c r="C10" s="48"/>
      <c r="D10" s="48"/>
      <c r="E10" s="48"/>
      <c r="F10" s="48"/>
      <c r="G10" s="48"/>
      <c r="H10" s="48"/>
      <c r="I10" s="48"/>
    </row>
    <row r="11" spans="1:9" ht="12.75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>
      <c r="A12" s="55" t="s">
        <v>5</v>
      </c>
      <c r="B12" s="49"/>
      <c r="C12" s="49"/>
      <c r="D12" s="49"/>
      <c r="E12" s="49"/>
      <c r="F12" s="49"/>
      <c r="G12" s="49"/>
      <c r="H12" s="49"/>
      <c r="I12" s="49"/>
    </row>
    <row r="13" spans="1:9" ht="12.75">
      <c r="A13" s="49"/>
      <c r="B13" s="49"/>
      <c r="C13" s="49"/>
      <c r="D13" s="49"/>
      <c r="E13" s="49"/>
      <c r="F13" s="49"/>
      <c r="G13" s="49"/>
      <c r="H13" s="49"/>
      <c r="I13" s="49"/>
    </row>
    <row r="14" spans="1:9" ht="12.75">
      <c r="A14" s="49"/>
      <c r="B14" s="49"/>
      <c r="C14" s="49"/>
      <c r="D14" s="49"/>
      <c r="E14" s="49"/>
      <c r="F14" s="49"/>
      <c r="G14" s="49"/>
      <c r="H14" s="49"/>
      <c r="I14" s="49"/>
    </row>
    <row r="15" spans="1:9" ht="12.75">
      <c r="A15" s="37"/>
      <c r="B15" s="37"/>
      <c r="C15" s="37"/>
      <c r="D15" s="37"/>
      <c r="E15" s="37"/>
      <c r="F15" s="37"/>
      <c r="G15" s="37"/>
      <c r="H15" s="37"/>
      <c r="I15" s="37"/>
    </row>
    <row r="16" spans="1:9" ht="12.75">
      <c r="A16" s="37">
        <f>G68</f>
        <v>0</v>
      </c>
      <c r="B16" s="37"/>
      <c r="C16" s="49" t="s">
        <v>6</v>
      </c>
      <c r="D16" s="49"/>
      <c r="E16" s="49"/>
      <c r="F16" s="49"/>
      <c r="G16" s="49"/>
      <c r="H16" s="49"/>
      <c r="I16" s="49"/>
    </row>
    <row r="17" spans="1:9" ht="12.75">
      <c r="A17" s="38">
        <f>G127</f>
        <v>0</v>
      </c>
      <c r="B17" s="38"/>
      <c r="C17" s="49" t="s">
        <v>7</v>
      </c>
      <c r="D17" s="49"/>
      <c r="E17" s="49"/>
      <c r="F17" s="49"/>
      <c r="G17" s="49"/>
      <c r="H17" s="49"/>
      <c r="I17" s="49"/>
    </row>
    <row r="18" spans="1:9" ht="12.75">
      <c r="A18" s="38">
        <f>G145</f>
        <v>0</v>
      </c>
      <c r="B18" s="38"/>
      <c r="C18" s="49" t="s">
        <v>8</v>
      </c>
      <c r="D18" s="49"/>
      <c r="E18" s="49"/>
      <c r="F18" s="49"/>
      <c r="G18" s="49"/>
      <c r="H18" s="49"/>
      <c r="I18" s="49"/>
    </row>
    <row r="19" spans="1:9" ht="12.75">
      <c r="A19" s="38">
        <f>G155</f>
        <v>0</v>
      </c>
      <c r="B19" s="38"/>
      <c r="C19" s="49" t="s">
        <v>9</v>
      </c>
      <c r="D19" s="49"/>
      <c r="E19" s="49"/>
      <c r="F19" s="49"/>
      <c r="G19" s="49"/>
      <c r="H19" s="49"/>
      <c r="I19" s="49"/>
    </row>
    <row r="20" spans="1:9" ht="12.75">
      <c r="A20" s="38">
        <f>SUM(A16:A19)</f>
        <v>0</v>
      </c>
      <c r="B20" s="38"/>
      <c r="C20" s="53" t="s">
        <v>12</v>
      </c>
      <c r="D20" s="53"/>
      <c r="E20" s="53"/>
      <c r="F20" s="53"/>
      <c r="G20" s="53"/>
      <c r="H20" s="53"/>
      <c r="I20" s="53"/>
    </row>
    <row r="21" spans="1:9" ht="12.75">
      <c r="A21" s="38">
        <f>G27</f>
        <v>0</v>
      </c>
      <c r="B21" s="38"/>
      <c r="C21" s="49" t="s">
        <v>13</v>
      </c>
      <c r="D21" s="49"/>
      <c r="E21" s="49"/>
      <c r="F21" s="49"/>
      <c r="G21" s="49"/>
      <c r="H21" s="49"/>
      <c r="I21" s="49"/>
    </row>
    <row r="22" spans="1:9" ht="12.75">
      <c r="A22" s="38">
        <f>I160</f>
        <v>0</v>
      </c>
      <c r="B22" s="38"/>
      <c r="C22" s="53" t="s">
        <v>67</v>
      </c>
      <c r="D22" s="53"/>
      <c r="E22" s="53"/>
      <c r="F22" s="53"/>
      <c r="G22" s="53"/>
      <c r="H22" s="53"/>
      <c r="I22" s="53"/>
    </row>
    <row r="23" spans="1:9" ht="12.75">
      <c r="A23" s="38">
        <f>SUM(A20:A22)</f>
        <v>0</v>
      </c>
      <c r="B23" s="38"/>
      <c r="C23" s="53" t="s">
        <v>10</v>
      </c>
      <c r="D23" s="53"/>
      <c r="E23" s="53"/>
      <c r="F23" s="53"/>
      <c r="G23" s="53"/>
      <c r="H23" s="53"/>
      <c r="I23" s="53"/>
    </row>
    <row r="24" spans="1:9" ht="12.75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39" customHeight="1">
      <c r="A25" s="48" t="s">
        <v>11</v>
      </c>
      <c r="B25" s="48"/>
      <c r="C25" s="48"/>
      <c r="D25" s="48"/>
      <c r="E25" s="48"/>
      <c r="F25" s="48"/>
      <c r="G25" s="48"/>
      <c r="H25" s="48"/>
      <c r="I25" s="48"/>
    </row>
    <row r="27" spans="1:8" ht="12.75">
      <c r="A27" s="49" t="s">
        <v>14</v>
      </c>
      <c r="B27" s="49"/>
      <c r="C27" s="49"/>
      <c r="D27" s="49"/>
      <c r="E27" s="34"/>
      <c r="F27" t="s">
        <v>16</v>
      </c>
      <c r="G27" s="1">
        <f>E27*0.25</f>
        <v>0</v>
      </c>
      <c r="H27" t="s">
        <v>15</v>
      </c>
    </row>
    <row r="28" spans="1:9" ht="12.75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12.75">
      <c r="A29" s="37"/>
      <c r="B29" s="37"/>
      <c r="C29" s="37"/>
      <c r="D29" s="37"/>
      <c r="E29" s="37"/>
      <c r="F29" s="37"/>
      <c r="G29" s="37"/>
      <c r="H29" s="37"/>
      <c r="I29" s="37"/>
    </row>
    <row r="30" spans="1:9" ht="12.75">
      <c r="A30" s="40" t="s">
        <v>17</v>
      </c>
      <c r="B30" s="40"/>
      <c r="C30" s="40"/>
      <c r="D30" s="40"/>
      <c r="E30" s="40"/>
      <c r="F30" s="40"/>
      <c r="G30" s="40"/>
      <c r="H30" s="40"/>
      <c r="I30" s="40"/>
    </row>
    <row r="31" spans="1:9" ht="12.75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27" customHeight="1">
      <c r="A32" s="48" t="s">
        <v>112</v>
      </c>
      <c r="B32" s="48"/>
      <c r="C32" s="48"/>
      <c r="D32" s="48"/>
      <c r="E32" s="48"/>
      <c r="F32" s="48"/>
      <c r="G32" s="48"/>
      <c r="H32" s="48"/>
      <c r="I32" s="48"/>
    </row>
    <row r="33" spans="1:9" ht="12.75">
      <c r="A33" s="37"/>
      <c r="B33" s="37"/>
      <c r="C33" s="37"/>
      <c r="D33" s="37"/>
      <c r="E33" s="37"/>
      <c r="F33" s="37"/>
      <c r="G33" s="37"/>
      <c r="H33" s="37"/>
      <c r="I33" s="37"/>
    </row>
    <row r="34" spans="1:8" ht="12.75">
      <c r="A34" s="37" t="s">
        <v>113</v>
      </c>
      <c r="B34" s="37"/>
      <c r="C34" s="37"/>
      <c r="D34" s="37"/>
      <c r="E34" s="37"/>
      <c r="F34" s="34"/>
      <c r="G34" s="2" t="s">
        <v>18</v>
      </c>
      <c r="H34" s="2"/>
    </row>
    <row r="35" spans="1:9" ht="12.7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2.75">
      <c r="A36" s="49" t="s">
        <v>116</v>
      </c>
      <c r="B36" s="49"/>
      <c r="C36" s="49"/>
      <c r="D36" s="49"/>
      <c r="E36" s="49"/>
      <c r="F36" s="49"/>
      <c r="G36" s="49"/>
      <c r="H36" s="49"/>
      <c r="I36" s="49"/>
    </row>
    <row r="37" spans="1:9" ht="12.75">
      <c r="A37" s="37"/>
      <c r="B37" s="37"/>
      <c r="C37" s="37"/>
      <c r="D37" s="37"/>
      <c r="E37" s="37"/>
      <c r="F37" s="37"/>
      <c r="G37" s="37"/>
      <c r="H37" s="37"/>
      <c r="I37" s="37"/>
    </row>
    <row r="38" spans="1:6" ht="12.75">
      <c r="A38" s="34"/>
      <c r="B38" s="49" t="s">
        <v>117</v>
      </c>
      <c r="C38" s="49"/>
      <c r="D38" s="1">
        <f>A38*0.1</f>
        <v>0</v>
      </c>
      <c r="E38" s="49" t="s">
        <v>19</v>
      </c>
      <c r="F38" s="49"/>
    </row>
    <row r="39" spans="1:9" ht="12.75">
      <c r="A39" s="49"/>
      <c r="B39" s="49"/>
      <c r="C39" s="49"/>
      <c r="D39" s="49"/>
      <c r="E39" s="49"/>
      <c r="F39" s="49"/>
      <c r="G39" s="49"/>
      <c r="H39" s="49"/>
      <c r="I39" s="49"/>
    </row>
    <row r="40" spans="1:9" ht="25.5" customHeight="1">
      <c r="A40" s="48" t="s">
        <v>20</v>
      </c>
      <c r="B40" s="48"/>
      <c r="C40" s="48"/>
      <c r="D40" s="48"/>
      <c r="E40" s="48"/>
      <c r="F40" s="48"/>
      <c r="G40" s="48"/>
      <c r="H40" s="48"/>
      <c r="I40" s="48"/>
    </row>
    <row r="41" spans="1:9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2:7" ht="12.75">
      <c r="B42" s="43" t="s">
        <v>21</v>
      </c>
      <c r="C42" s="43"/>
      <c r="D42" s="43"/>
      <c r="E42" s="43"/>
      <c r="F42" s="43" t="s">
        <v>22</v>
      </c>
      <c r="G42" s="43"/>
    </row>
    <row r="43" spans="2:7" ht="12.75">
      <c r="B43" s="49" t="s">
        <v>23</v>
      </c>
      <c r="C43" s="49"/>
      <c r="D43" s="49"/>
      <c r="E43" s="49"/>
      <c r="F43" s="41"/>
      <c r="G43" s="42"/>
    </row>
    <row r="44" spans="2:7" ht="12.75">
      <c r="B44" s="49" t="s">
        <v>24</v>
      </c>
      <c r="C44" s="49"/>
      <c r="D44" s="49"/>
      <c r="E44" s="49"/>
      <c r="F44" s="41"/>
      <c r="G44" s="42"/>
    </row>
    <row r="45" spans="2:8" ht="12.75">
      <c r="B45" s="37" t="s">
        <v>25</v>
      </c>
      <c r="C45" s="37"/>
      <c r="D45" s="37"/>
      <c r="E45" s="37"/>
      <c r="F45" s="37">
        <f>SUM(F43:F44)</f>
        <v>0</v>
      </c>
      <c r="G45" s="37"/>
      <c r="H45" t="s">
        <v>26</v>
      </c>
    </row>
    <row r="46" spans="1:9" ht="12.7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27" customHeight="1">
      <c r="A47" s="48" t="s">
        <v>212</v>
      </c>
      <c r="B47" s="48"/>
      <c r="C47" s="48"/>
      <c r="D47" s="48"/>
      <c r="E47" s="48"/>
      <c r="F47" s="48"/>
      <c r="G47" s="48"/>
      <c r="H47" s="48"/>
      <c r="I47" s="48"/>
    </row>
    <row r="48" spans="2:7" ht="12.75">
      <c r="B48" s="43" t="s">
        <v>21</v>
      </c>
      <c r="C48" s="43"/>
      <c r="D48" s="43"/>
      <c r="E48" s="43"/>
      <c r="F48" s="43" t="s">
        <v>22</v>
      </c>
      <c r="G48" s="43"/>
    </row>
    <row r="49" spans="2:7" ht="12.75">
      <c r="B49" s="49" t="s">
        <v>215</v>
      </c>
      <c r="C49" s="49"/>
      <c r="D49" s="49"/>
      <c r="E49" s="49"/>
      <c r="F49" s="41"/>
      <c r="G49" s="42"/>
    </row>
    <row r="50" spans="2:8" ht="12.75">
      <c r="B50" s="37" t="s">
        <v>27</v>
      </c>
      <c r="C50" s="37"/>
      <c r="D50" s="37"/>
      <c r="E50" s="37"/>
      <c r="F50" s="37">
        <f>F49</f>
        <v>0</v>
      </c>
      <c r="G50" s="37"/>
      <c r="H50" t="s">
        <v>28</v>
      </c>
    </row>
    <row r="51" spans="6:8" ht="12.75">
      <c r="F51" s="37" t="s">
        <v>29</v>
      </c>
      <c r="G51" s="37"/>
      <c r="H51" s="37"/>
    </row>
    <row r="52" spans="1:9" ht="12.7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51.75" customHeight="1">
      <c r="A53" s="48" t="s">
        <v>214</v>
      </c>
      <c r="B53" s="48"/>
      <c r="C53" s="48"/>
      <c r="D53" s="48"/>
      <c r="E53" s="48"/>
      <c r="F53" s="48"/>
      <c r="G53" s="48"/>
      <c r="H53" s="48"/>
      <c r="I53" s="48"/>
    </row>
    <row r="54" spans="1:9" ht="12.7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43" t="s">
        <v>30</v>
      </c>
      <c r="B55" s="43"/>
      <c r="C55" s="43"/>
      <c r="D55" s="43"/>
      <c r="E55" s="43"/>
      <c r="F55" s="43"/>
      <c r="G55" s="43"/>
      <c r="H55" s="43"/>
      <c r="I55" s="3" t="s">
        <v>22</v>
      </c>
    </row>
    <row r="56" spans="1:9" ht="27" customHeight="1">
      <c r="A56" s="48" t="s">
        <v>31</v>
      </c>
      <c r="B56" s="48"/>
      <c r="C56" s="48"/>
      <c r="D56" s="48"/>
      <c r="E56" s="48"/>
      <c r="F56" s="48"/>
      <c r="G56" s="48"/>
      <c r="H56" s="48"/>
      <c r="I56" s="35"/>
    </row>
    <row r="57" spans="1:9" ht="12.75">
      <c r="A57" s="49" t="s">
        <v>32</v>
      </c>
      <c r="B57" s="49"/>
      <c r="C57" s="49"/>
      <c r="D57" s="49"/>
      <c r="E57" s="49"/>
      <c r="F57" s="49"/>
      <c r="G57" s="49"/>
      <c r="H57" s="49"/>
      <c r="I57" s="35"/>
    </row>
    <row r="58" spans="1:9" ht="38.25" customHeight="1">
      <c r="A58" s="48" t="s">
        <v>33</v>
      </c>
      <c r="B58" s="49"/>
      <c r="C58" s="49"/>
      <c r="D58" s="49"/>
      <c r="E58" s="49"/>
      <c r="F58" s="49"/>
      <c r="G58" s="49"/>
      <c r="H58" s="49"/>
      <c r="I58" s="35"/>
    </row>
    <row r="59" spans="1:9" ht="25.5" customHeight="1">
      <c r="A59" s="48" t="s">
        <v>34</v>
      </c>
      <c r="B59" s="49"/>
      <c r="C59" s="49"/>
      <c r="D59" s="49"/>
      <c r="E59" s="49"/>
      <c r="F59" s="49"/>
      <c r="G59" s="49"/>
      <c r="H59" s="49"/>
      <c r="I59" s="35"/>
    </row>
    <row r="60" spans="1:9" ht="24.75" customHeight="1">
      <c r="A60" s="48" t="s">
        <v>35</v>
      </c>
      <c r="B60" s="48"/>
      <c r="C60" s="48"/>
      <c r="D60" s="48"/>
      <c r="E60" s="48"/>
      <c r="F60" s="48"/>
      <c r="G60" s="48"/>
      <c r="H60" s="48"/>
      <c r="I60" s="48"/>
    </row>
    <row r="61" spans="2:9" ht="12.75">
      <c r="B61" s="37" t="s">
        <v>36</v>
      </c>
      <c r="C61" s="37"/>
      <c r="D61" s="37"/>
      <c r="E61" s="37"/>
      <c r="F61" s="37"/>
      <c r="G61" s="37"/>
      <c r="H61">
        <f>SUM(I56:I59)</f>
        <v>0</v>
      </c>
      <c r="I61" t="s">
        <v>26</v>
      </c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43" t="s">
        <v>37</v>
      </c>
      <c r="B63" s="43"/>
      <c r="C63" s="43"/>
      <c r="D63" s="43"/>
      <c r="E63" s="43"/>
      <c r="F63" s="43"/>
      <c r="G63" s="43"/>
      <c r="H63" s="43" t="s">
        <v>22</v>
      </c>
      <c r="I63" s="43"/>
    </row>
    <row r="64" spans="1:9" ht="12.75">
      <c r="A64" s="49" t="s">
        <v>65</v>
      </c>
      <c r="B64" s="49"/>
      <c r="C64" s="49"/>
      <c r="D64" s="49"/>
      <c r="E64" s="49"/>
      <c r="F64" s="49"/>
      <c r="G64" s="49"/>
      <c r="H64" s="41"/>
      <c r="I64" s="42"/>
    </row>
    <row r="65" spans="1:9" ht="26.25" customHeight="1">
      <c r="A65" s="48" t="s">
        <v>38</v>
      </c>
      <c r="B65" s="49"/>
      <c r="C65" s="49"/>
      <c r="D65" s="49"/>
      <c r="E65" s="49"/>
      <c r="F65" s="49"/>
      <c r="G65" s="49"/>
      <c r="H65" s="41"/>
      <c r="I65" s="42"/>
    </row>
    <row r="66" spans="2:9" ht="12.75">
      <c r="B66" s="37" t="s">
        <v>40</v>
      </c>
      <c r="C66" s="37"/>
      <c r="D66" s="37"/>
      <c r="E66" s="37"/>
      <c r="F66">
        <f>SUM(H64:H65)</f>
        <v>0</v>
      </c>
      <c r="G66" s="49" t="s">
        <v>39</v>
      </c>
      <c r="H66" s="49"/>
      <c r="I66" s="49"/>
    </row>
    <row r="67" spans="1:9" ht="12.75">
      <c r="A67" s="37"/>
      <c r="B67" s="37"/>
      <c r="C67" s="37"/>
      <c r="D67" s="37"/>
      <c r="E67" s="37"/>
      <c r="F67" s="37"/>
      <c r="G67" s="37"/>
      <c r="H67" s="37"/>
      <c r="I67" s="37"/>
    </row>
    <row r="68" spans="2:8" ht="12.75">
      <c r="B68" s="43" t="s">
        <v>41</v>
      </c>
      <c r="C68" s="43"/>
      <c r="D68" s="43"/>
      <c r="E68" s="43"/>
      <c r="F68" s="43"/>
      <c r="G68" s="3">
        <f>F34+D38+F45+F50+H61+F66</f>
        <v>0</v>
      </c>
      <c r="H68" s="4" t="s">
        <v>26</v>
      </c>
    </row>
    <row r="69" spans="1:9" ht="12.75">
      <c r="A69" s="40" t="s">
        <v>42</v>
      </c>
      <c r="B69" s="40"/>
      <c r="C69" s="40"/>
      <c r="D69" s="40"/>
      <c r="E69" s="40"/>
      <c r="F69" s="40"/>
      <c r="G69" s="40"/>
      <c r="H69" s="40"/>
      <c r="I69" s="40"/>
    </row>
    <row r="70" spans="1:9" ht="12.75">
      <c r="A70" s="40"/>
      <c r="B70" s="40"/>
      <c r="C70" s="40"/>
      <c r="D70" s="40"/>
      <c r="E70" s="40"/>
      <c r="F70" s="40"/>
      <c r="G70" s="40"/>
      <c r="H70" s="40"/>
      <c r="I70" s="40"/>
    </row>
    <row r="71" spans="1:9" ht="12.75">
      <c r="A71" s="49" t="s">
        <v>43</v>
      </c>
      <c r="B71" s="49"/>
      <c r="C71" s="49"/>
      <c r="D71" s="49"/>
      <c r="E71" s="49"/>
      <c r="F71" s="49"/>
      <c r="G71" s="49"/>
      <c r="H71" s="49"/>
      <c r="I71" s="49"/>
    </row>
    <row r="72" spans="1:9" ht="12.75">
      <c r="A72" s="37"/>
      <c r="B72" s="37"/>
      <c r="C72" s="37"/>
      <c r="D72" s="37"/>
      <c r="E72" s="37"/>
      <c r="F72" s="37"/>
      <c r="G72" s="37"/>
      <c r="H72" s="37"/>
      <c r="I72" s="37"/>
    </row>
    <row r="73" spans="2:9" ht="12.75">
      <c r="B73" s="49" t="s">
        <v>44</v>
      </c>
      <c r="C73" s="49"/>
      <c r="D73" s="49"/>
      <c r="E73" s="49"/>
      <c r="F73" s="49"/>
      <c r="G73" s="49"/>
      <c r="H73" s="49"/>
      <c r="I73" s="49"/>
    </row>
    <row r="74" spans="1:9" ht="12.75">
      <c r="A74" t="s">
        <v>45</v>
      </c>
      <c r="B74" s="34"/>
      <c r="C74" s="49" t="s">
        <v>111</v>
      </c>
      <c r="D74" s="49"/>
      <c r="E74" s="49"/>
      <c r="F74" s="49"/>
      <c r="G74" s="49"/>
      <c r="H74" s="49"/>
      <c r="I74" s="1">
        <f>B74*50</f>
        <v>0</v>
      </c>
    </row>
    <row r="75" spans="1:9" ht="12.75">
      <c r="A75" t="s">
        <v>213</v>
      </c>
      <c r="B75" s="34"/>
      <c r="C75" s="49" t="s">
        <v>111</v>
      </c>
      <c r="D75" s="49"/>
      <c r="E75" s="49"/>
      <c r="F75" s="49"/>
      <c r="G75" s="49"/>
      <c r="H75" s="49"/>
      <c r="I75" s="1">
        <f>B75*30</f>
        <v>0</v>
      </c>
    </row>
    <row r="76" spans="2:9" ht="12.75">
      <c r="B76" s="37" t="s">
        <v>46</v>
      </c>
      <c r="C76" s="37"/>
      <c r="D76" s="37"/>
      <c r="E76" s="37"/>
      <c r="F76" s="37"/>
      <c r="G76" s="37"/>
      <c r="H76">
        <f>SUM(I74:I75)</f>
        <v>0</v>
      </c>
      <c r="I76" t="s">
        <v>47</v>
      </c>
    </row>
    <row r="77" spans="1:9" ht="12.75">
      <c r="A77" s="37"/>
      <c r="B77" s="37"/>
      <c r="C77" s="37"/>
      <c r="D77" s="37"/>
      <c r="E77" s="37"/>
      <c r="F77" s="37"/>
      <c r="G77" s="37"/>
      <c r="H77" s="37"/>
      <c r="I77" s="37"/>
    </row>
    <row r="78" spans="1:9" ht="12.75">
      <c r="A78" s="49" t="s">
        <v>66</v>
      </c>
      <c r="B78" s="49"/>
      <c r="C78" s="49"/>
      <c r="D78" s="49"/>
      <c r="E78" s="49"/>
      <c r="F78" s="49"/>
      <c r="G78" s="49"/>
      <c r="H78" s="49"/>
      <c r="I78" s="49"/>
    </row>
    <row r="79" spans="1:9" ht="12.75">
      <c r="A79" s="37"/>
      <c r="B79" s="37"/>
      <c r="C79" s="37"/>
      <c r="D79" s="37"/>
      <c r="E79" s="37"/>
      <c r="F79" s="37"/>
      <c r="G79" s="37"/>
      <c r="H79" s="37"/>
      <c r="I79" s="37"/>
    </row>
    <row r="80" spans="1:9" ht="26.25" customHeight="1">
      <c r="A80" s="37" t="s">
        <v>21</v>
      </c>
      <c r="B80" s="37"/>
      <c r="C80" s="37"/>
      <c r="D80" s="37"/>
      <c r="E80" s="37"/>
      <c r="F80" s="37"/>
      <c r="G80" s="37"/>
      <c r="H80" s="37" t="s">
        <v>22</v>
      </c>
      <c r="I80" s="37"/>
    </row>
    <row r="81" spans="1:9" ht="12.75">
      <c r="A81" s="49" t="s">
        <v>68</v>
      </c>
      <c r="B81" s="49"/>
      <c r="C81" s="49"/>
      <c r="D81" s="49"/>
      <c r="E81" s="49"/>
      <c r="F81" s="49"/>
      <c r="G81" s="49"/>
      <c r="H81" s="41"/>
      <c r="I81" s="42"/>
    </row>
    <row r="82" spans="1:9" ht="12.75">
      <c r="A82" s="49" t="s">
        <v>69</v>
      </c>
      <c r="B82" s="49"/>
      <c r="C82" s="49"/>
      <c r="D82" s="49"/>
      <c r="E82" s="49"/>
      <c r="F82" s="49"/>
      <c r="G82" s="49"/>
      <c r="H82" s="41"/>
      <c r="I82" s="42"/>
    </row>
    <row r="83" spans="1:9" ht="12.75">
      <c r="A83" s="49" t="s">
        <v>70</v>
      </c>
      <c r="B83" s="49"/>
      <c r="C83" s="49"/>
      <c r="D83" s="49"/>
      <c r="E83" s="49"/>
      <c r="F83" s="49"/>
      <c r="G83" s="49"/>
      <c r="H83" s="41"/>
      <c r="I83" s="42"/>
    </row>
    <row r="84" spans="1:19" ht="12.75">
      <c r="A84" s="49" t="s">
        <v>71</v>
      </c>
      <c r="B84" s="49"/>
      <c r="C84" s="49"/>
      <c r="D84" s="49"/>
      <c r="E84" s="49"/>
      <c r="F84" s="49"/>
      <c r="G84" s="49"/>
      <c r="H84" s="41"/>
      <c r="I84" s="42"/>
      <c r="L84" s="26"/>
      <c r="M84" s="26"/>
      <c r="N84" s="26"/>
      <c r="O84" s="26"/>
      <c r="P84" s="26"/>
      <c r="Q84" s="26"/>
      <c r="R84" s="26"/>
      <c r="S84" s="26"/>
    </row>
    <row r="85" spans="1:19" ht="12.75">
      <c r="A85" s="49" t="s">
        <v>72</v>
      </c>
      <c r="B85" s="49"/>
      <c r="C85" s="49"/>
      <c r="D85" s="49"/>
      <c r="E85" s="49"/>
      <c r="F85" s="49"/>
      <c r="G85" s="49"/>
      <c r="H85" s="41"/>
      <c r="I85" s="42"/>
      <c r="L85" s="26"/>
      <c r="M85" s="26"/>
      <c r="N85" s="26"/>
      <c r="O85" s="26"/>
      <c r="P85" s="26"/>
      <c r="Q85" s="26"/>
      <c r="R85" s="26"/>
      <c r="S85" s="26"/>
    </row>
    <row r="86" spans="1:19" ht="12.75">
      <c r="A86" s="49" t="s">
        <v>73</v>
      </c>
      <c r="B86" s="49"/>
      <c r="C86" s="49"/>
      <c r="D86" s="49"/>
      <c r="E86" s="49"/>
      <c r="F86" s="49"/>
      <c r="G86" s="49"/>
      <c r="H86" s="41"/>
      <c r="I86" s="42"/>
      <c r="L86" s="26"/>
      <c r="M86" s="26"/>
      <c r="N86" s="26"/>
      <c r="O86" s="26"/>
      <c r="P86" s="26"/>
      <c r="Q86" s="26"/>
      <c r="R86" s="26"/>
      <c r="S86" s="26"/>
    </row>
    <row r="87" spans="1:19" ht="12.75">
      <c r="A87" s="49" t="s">
        <v>74</v>
      </c>
      <c r="B87" s="49"/>
      <c r="C87" s="49"/>
      <c r="D87" s="49"/>
      <c r="E87" s="49"/>
      <c r="F87" s="49"/>
      <c r="G87" s="49"/>
      <c r="H87" s="41"/>
      <c r="I87" s="42"/>
      <c r="L87" s="26"/>
      <c r="M87" s="26"/>
      <c r="N87" s="26"/>
      <c r="O87" s="26"/>
      <c r="P87" s="26"/>
      <c r="Q87" s="26"/>
      <c r="R87" s="26"/>
      <c r="S87" s="26"/>
    </row>
    <row r="88" spans="1:19" ht="12.75">
      <c r="A88" s="49" t="s">
        <v>75</v>
      </c>
      <c r="B88" s="49"/>
      <c r="C88" s="49"/>
      <c r="D88" s="49"/>
      <c r="E88" s="49"/>
      <c r="F88" s="49"/>
      <c r="G88" s="49"/>
      <c r="H88" s="41"/>
      <c r="I88" s="42"/>
      <c r="L88" s="26"/>
      <c r="M88" s="26"/>
      <c r="N88" s="26"/>
      <c r="O88" s="26"/>
      <c r="P88" s="26"/>
      <c r="Q88" s="26"/>
      <c r="R88" s="26"/>
      <c r="S88" s="26"/>
    </row>
    <row r="89" spans="1:19" ht="12.75">
      <c r="A89" s="49" t="s">
        <v>76</v>
      </c>
      <c r="B89" s="49"/>
      <c r="C89" s="49"/>
      <c r="D89" s="49"/>
      <c r="E89" s="49"/>
      <c r="F89" s="49"/>
      <c r="G89" s="49"/>
      <c r="H89" s="41"/>
      <c r="I89" s="42"/>
      <c r="L89" s="26"/>
      <c r="M89" s="26"/>
      <c r="N89" s="26"/>
      <c r="O89" s="26"/>
      <c r="P89" s="26"/>
      <c r="Q89" s="26"/>
      <c r="R89" s="26"/>
      <c r="S89" s="26"/>
    </row>
    <row r="90" spans="1:19" ht="12.75">
      <c r="A90" s="49" t="s">
        <v>77</v>
      </c>
      <c r="B90" s="49"/>
      <c r="C90" s="49"/>
      <c r="D90" s="49"/>
      <c r="E90" s="49"/>
      <c r="F90" s="49"/>
      <c r="G90" s="49"/>
      <c r="H90" s="41"/>
      <c r="I90" s="42"/>
      <c r="L90" s="26"/>
      <c r="M90" s="26"/>
      <c r="N90" s="26"/>
      <c r="O90" s="26"/>
      <c r="P90" s="26"/>
      <c r="Q90" s="26"/>
      <c r="R90" s="26"/>
      <c r="S90" s="26"/>
    </row>
    <row r="91" spans="1:19" ht="12.75">
      <c r="A91" s="49" t="s">
        <v>78</v>
      </c>
      <c r="B91" s="49"/>
      <c r="C91" s="49"/>
      <c r="D91" s="49"/>
      <c r="E91" s="49"/>
      <c r="F91" s="49"/>
      <c r="G91" s="49"/>
      <c r="H91" s="41"/>
      <c r="I91" s="42"/>
      <c r="L91" s="26"/>
      <c r="M91" s="26"/>
      <c r="N91" s="26"/>
      <c r="O91" s="26"/>
      <c r="P91" s="26"/>
      <c r="Q91" s="26"/>
      <c r="R91" s="26"/>
      <c r="S91" s="26"/>
    </row>
    <row r="92" spans="1:19" ht="12.75">
      <c r="A92" s="49" t="s">
        <v>79</v>
      </c>
      <c r="B92" s="49"/>
      <c r="C92" s="49"/>
      <c r="D92" s="49"/>
      <c r="E92" s="49"/>
      <c r="F92" s="49"/>
      <c r="G92" s="49"/>
      <c r="H92" s="41"/>
      <c r="I92" s="42"/>
      <c r="L92" s="26"/>
      <c r="M92" s="26"/>
      <c r="N92" s="26"/>
      <c r="O92" s="26"/>
      <c r="P92" s="26"/>
      <c r="Q92" s="26"/>
      <c r="R92" s="26"/>
      <c r="S92" s="26"/>
    </row>
    <row r="93" spans="1:19" ht="12.75">
      <c r="A93" s="49" t="s">
        <v>80</v>
      </c>
      <c r="B93" s="49"/>
      <c r="C93" s="49"/>
      <c r="D93" s="49"/>
      <c r="E93" s="49"/>
      <c r="F93" s="49"/>
      <c r="G93" s="49"/>
      <c r="H93" s="41"/>
      <c r="I93" s="42"/>
      <c r="L93" s="26"/>
      <c r="M93" s="26"/>
      <c r="N93" s="26"/>
      <c r="O93" s="26"/>
      <c r="P93" s="26"/>
      <c r="Q93" s="26"/>
      <c r="R93" s="26"/>
      <c r="S93" s="26"/>
    </row>
    <row r="94" spans="1:19" ht="12.75">
      <c r="A94" s="49" t="s">
        <v>81</v>
      </c>
      <c r="B94" s="49"/>
      <c r="C94" s="49"/>
      <c r="D94" s="49"/>
      <c r="E94" s="49"/>
      <c r="F94" s="49"/>
      <c r="G94" s="49"/>
      <c r="H94" s="41"/>
      <c r="I94" s="42"/>
      <c r="L94" s="26"/>
      <c r="M94" s="26"/>
      <c r="N94" s="26"/>
      <c r="O94" s="26"/>
      <c r="P94" s="26"/>
      <c r="Q94" s="26"/>
      <c r="R94" s="26"/>
      <c r="S94" s="26"/>
    </row>
    <row r="95" spans="1:19" ht="12.75">
      <c r="A95" s="49" t="s">
        <v>82</v>
      </c>
      <c r="B95" s="49"/>
      <c r="C95" s="49"/>
      <c r="D95" s="49"/>
      <c r="E95" s="49"/>
      <c r="F95" s="49"/>
      <c r="G95" s="49"/>
      <c r="H95" s="41"/>
      <c r="I95" s="42"/>
      <c r="L95" s="26"/>
      <c r="M95" s="26"/>
      <c r="N95" s="26"/>
      <c r="O95" s="26"/>
      <c r="P95" s="26"/>
      <c r="Q95" s="26"/>
      <c r="R95" s="26"/>
      <c r="S95" s="26"/>
    </row>
    <row r="96" spans="1:19" ht="12.75">
      <c r="A96" s="49" t="s">
        <v>115</v>
      </c>
      <c r="B96" s="49"/>
      <c r="C96" s="49"/>
      <c r="D96" s="49"/>
      <c r="E96" s="49"/>
      <c r="F96" s="49"/>
      <c r="G96" s="49"/>
      <c r="H96" s="41"/>
      <c r="I96" s="42"/>
      <c r="L96" s="26"/>
      <c r="M96" s="26"/>
      <c r="N96" s="26"/>
      <c r="O96" s="26"/>
      <c r="P96" s="26"/>
      <c r="Q96" s="26"/>
      <c r="R96" s="26"/>
      <c r="S96" s="26"/>
    </row>
    <row r="97" spans="1:19" ht="12.75">
      <c r="A97" s="49" t="s">
        <v>83</v>
      </c>
      <c r="B97" s="49"/>
      <c r="C97" s="49"/>
      <c r="D97" s="49"/>
      <c r="E97" s="49"/>
      <c r="F97" s="49"/>
      <c r="G97" s="49"/>
      <c r="H97" s="41"/>
      <c r="I97" s="42"/>
      <c r="L97" s="26"/>
      <c r="M97" s="26"/>
      <c r="N97" s="26"/>
      <c r="O97" s="26"/>
      <c r="P97" s="26"/>
      <c r="Q97" s="26"/>
      <c r="R97" s="26"/>
      <c r="S97" s="26"/>
    </row>
    <row r="98" spans="1:19" ht="12.75">
      <c r="A98" s="49" t="s">
        <v>114</v>
      </c>
      <c r="B98" s="49"/>
      <c r="C98" s="49"/>
      <c r="D98" s="49"/>
      <c r="E98" s="49"/>
      <c r="F98" s="49"/>
      <c r="G98" s="49"/>
      <c r="H98" s="41"/>
      <c r="I98" s="42"/>
      <c r="L98" s="26"/>
      <c r="M98" s="26"/>
      <c r="N98" s="26"/>
      <c r="O98" s="26"/>
      <c r="P98" s="26"/>
      <c r="Q98" s="26"/>
      <c r="R98" s="26"/>
      <c r="S98" s="26"/>
    </row>
    <row r="99" spans="1:19" ht="12.75">
      <c r="A99" s="49" t="s">
        <v>84</v>
      </c>
      <c r="B99" s="49"/>
      <c r="C99" s="49"/>
      <c r="D99" s="49"/>
      <c r="E99" s="49"/>
      <c r="F99" s="49"/>
      <c r="G99" s="49"/>
      <c r="H99" s="41"/>
      <c r="I99" s="42"/>
      <c r="L99" s="26"/>
      <c r="M99" s="26"/>
      <c r="N99" s="26"/>
      <c r="O99" s="26"/>
      <c r="P99" s="26"/>
      <c r="Q99" s="26"/>
      <c r="R99" s="26"/>
      <c r="S99" s="26"/>
    </row>
    <row r="100" spans="1:19" ht="12.75">
      <c r="A100" s="49" t="s">
        <v>85</v>
      </c>
      <c r="B100" s="49"/>
      <c r="C100" s="49"/>
      <c r="D100" s="49"/>
      <c r="E100" s="49"/>
      <c r="F100" s="49"/>
      <c r="G100" s="49"/>
      <c r="H100" s="41"/>
      <c r="I100" s="42"/>
      <c r="L100" s="26"/>
      <c r="M100" s="26"/>
      <c r="N100" s="26"/>
      <c r="O100" s="26"/>
      <c r="P100" s="26"/>
      <c r="Q100" s="26"/>
      <c r="R100" s="26"/>
      <c r="S100" s="26"/>
    </row>
    <row r="101" spans="1:19" ht="12.75">
      <c r="A101" s="37" t="s">
        <v>48</v>
      </c>
      <c r="B101" s="37"/>
      <c r="C101" s="37"/>
      <c r="D101" s="37"/>
      <c r="E101" s="37"/>
      <c r="F101" s="37"/>
      <c r="G101" s="37"/>
      <c r="H101" s="37">
        <f>SUM(H81:H100)</f>
        <v>0</v>
      </c>
      <c r="I101" s="37"/>
      <c r="L101" s="26"/>
      <c r="M101" s="26"/>
      <c r="N101" s="26"/>
      <c r="O101" s="26"/>
      <c r="P101" s="26"/>
      <c r="Q101" s="26"/>
      <c r="R101" s="26"/>
      <c r="S101" s="26"/>
    </row>
    <row r="102" spans="1:19" ht="12.75">
      <c r="A102" s="37"/>
      <c r="B102" s="37"/>
      <c r="C102" s="37"/>
      <c r="D102" s="37"/>
      <c r="E102" s="37"/>
      <c r="F102" s="37"/>
      <c r="G102" s="37"/>
      <c r="H102" s="37"/>
      <c r="I102" s="37"/>
      <c r="L102" s="26"/>
      <c r="M102" s="26"/>
      <c r="N102" s="26"/>
      <c r="O102" s="26"/>
      <c r="P102" s="26"/>
      <c r="Q102" s="26"/>
      <c r="R102" s="26"/>
      <c r="S102" s="26"/>
    </row>
    <row r="103" spans="1:19" ht="25.5" customHeight="1">
      <c r="A103" s="48" t="s">
        <v>49</v>
      </c>
      <c r="B103" s="48"/>
      <c r="C103" s="48"/>
      <c r="D103" s="48"/>
      <c r="E103" s="48"/>
      <c r="F103" s="48"/>
      <c r="G103" s="48"/>
      <c r="H103" s="48"/>
      <c r="I103" s="48"/>
      <c r="L103" s="26"/>
      <c r="M103" s="26"/>
      <c r="N103" s="26"/>
      <c r="O103" s="26"/>
      <c r="P103" s="26"/>
      <c r="Q103" s="26"/>
      <c r="R103" s="26"/>
      <c r="S103" s="26"/>
    </row>
    <row r="104" spans="1:19" ht="14.25" customHeight="1">
      <c r="A104" s="52"/>
      <c r="B104" s="52"/>
      <c r="C104" s="52"/>
      <c r="D104" s="52"/>
      <c r="E104" s="52"/>
      <c r="F104" s="52"/>
      <c r="G104" s="52"/>
      <c r="H104" s="52"/>
      <c r="I104" s="52"/>
      <c r="L104" s="26"/>
      <c r="M104" s="26"/>
      <c r="N104" s="26"/>
      <c r="O104" s="26"/>
      <c r="P104" s="26"/>
      <c r="Q104" s="26"/>
      <c r="R104" s="26"/>
      <c r="S104" s="26"/>
    </row>
    <row r="105" spans="1:19" ht="25.5" customHeight="1">
      <c r="A105" s="37" t="s">
        <v>21</v>
      </c>
      <c r="B105" s="37"/>
      <c r="C105" s="37"/>
      <c r="D105" s="37"/>
      <c r="E105" s="37"/>
      <c r="F105" s="37"/>
      <c r="G105" s="37"/>
      <c r="H105" s="37" t="s">
        <v>22</v>
      </c>
      <c r="I105" s="37"/>
      <c r="L105" s="26"/>
      <c r="M105" s="26"/>
      <c r="N105" s="26"/>
      <c r="O105" s="26"/>
      <c r="P105" s="26"/>
      <c r="Q105" s="26"/>
      <c r="R105" s="26"/>
      <c r="S105" s="26"/>
    </row>
    <row r="106" spans="1:19" ht="12.75">
      <c r="A106" s="49" t="s">
        <v>86</v>
      </c>
      <c r="B106" s="49"/>
      <c r="C106" s="49"/>
      <c r="D106" s="49"/>
      <c r="E106" s="49"/>
      <c r="F106" s="49"/>
      <c r="G106" s="49"/>
      <c r="H106" s="41"/>
      <c r="I106" s="42"/>
      <c r="L106" s="26"/>
      <c r="M106" s="26"/>
      <c r="N106" s="26"/>
      <c r="O106" s="26"/>
      <c r="P106" s="26"/>
      <c r="Q106" s="26"/>
      <c r="R106" s="26"/>
      <c r="S106" s="26"/>
    </row>
    <row r="107" spans="1:19" ht="12.75">
      <c r="A107" s="49" t="s">
        <v>87</v>
      </c>
      <c r="B107" s="49"/>
      <c r="C107" s="49"/>
      <c r="D107" s="49"/>
      <c r="E107" s="49"/>
      <c r="F107" s="49"/>
      <c r="G107" s="49"/>
      <c r="H107" s="41"/>
      <c r="I107" s="42"/>
      <c r="L107" s="26"/>
      <c r="M107" s="26"/>
      <c r="N107" s="26"/>
      <c r="O107" s="26"/>
      <c r="P107" s="26"/>
      <c r="Q107" s="26"/>
      <c r="R107" s="26"/>
      <c r="S107" s="26"/>
    </row>
    <row r="108" spans="1:19" ht="12.75">
      <c r="A108" s="49" t="s">
        <v>88</v>
      </c>
      <c r="B108" s="49"/>
      <c r="C108" s="49"/>
      <c r="D108" s="49"/>
      <c r="E108" s="49"/>
      <c r="F108" s="49"/>
      <c r="G108" s="49"/>
      <c r="H108" s="44"/>
      <c r="I108" s="45"/>
      <c r="L108" s="26"/>
      <c r="M108" s="26"/>
      <c r="N108" s="26"/>
      <c r="O108" s="26"/>
      <c r="P108" s="26"/>
      <c r="Q108" s="26"/>
      <c r="R108" s="26"/>
      <c r="S108" s="26"/>
    </row>
    <row r="109" spans="1:19" ht="12.75">
      <c r="A109" s="49" t="s">
        <v>89</v>
      </c>
      <c r="B109" s="49"/>
      <c r="C109" s="49"/>
      <c r="D109" s="49"/>
      <c r="E109" s="49"/>
      <c r="F109" s="49"/>
      <c r="G109" s="49"/>
      <c r="H109" s="41"/>
      <c r="I109" s="42"/>
      <c r="L109" s="26"/>
      <c r="M109" s="26"/>
      <c r="N109" s="26"/>
      <c r="O109" s="26"/>
      <c r="P109" s="26"/>
      <c r="Q109" s="26"/>
      <c r="R109" s="26"/>
      <c r="S109" s="26"/>
    </row>
    <row r="110" spans="1:19" ht="12.75">
      <c r="A110" s="49" t="s">
        <v>90</v>
      </c>
      <c r="B110" s="49"/>
      <c r="C110" s="49"/>
      <c r="D110" s="49"/>
      <c r="E110" s="49"/>
      <c r="F110" s="49"/>
      <c r="G110" s="49"/>
      <c r="H110" s="46"/>
      <c r="I110" s="47"/>
      <c r="L110" s="26"/>
      <c r="M110" s="26"/>
      <c r="N110" s="26"/>
      <c r="O110" s="26"/>
      <c r="P110" s="26"/>
      <c r="Q110" s="26"/>
      <c r="R110" s="26"/>
      <c r="S110" s="26"/>
    </row>
    <row r="111" spans="1:19" ht="12.75">
      <c r="A111" s="49" t="s">
        <v>91</v>
      </c>
      <c r="B111" s="49"/>
      <c r="C111" s="49"/>
      <c r="D111" s="49"/>
      <c r="E111" s="49"/>
      <c r="F111" s="49"/>
      <c r="G111" s="49"/>
      <c r="H111" s="41"/>
      <c r="I111" s="42"/>
      <c r="L111" s="26"/>
      <c r="M111" s="26"/>
      <c r="N111" s="26"/>
      <c r="O111" s="26"/>
      <c r="P111" s="26"/>
      <c r="Q111" s="26"/>
      <c r="R111" s="26"/>
      <c r="S111" s="26"/>
    </row>
    <row r="112" spans="1:19" ht="12.75">
      <c r="A112" s="49" t="s">
        <v>50</v>
      </c>
      <c r="B112" s="49"/>
      <c r="C112" s="49"/>
      <c r="D112" s="49"/>
      <c r="E112" s="49"/>
      <c r="F112" s="49"/>
      <c r="G112" s="49"/>
      <c r="H112" s="41"/>
      <c r="I112" s="42"/>
      <c r="L112" s="26"/>
      <c r="M112" s="26"/>
      <c r="N112" s="26"/>
      <c r="O112" s="26"/>
      <c r="P112" s="26"/>
      <c r="Q112" s="26"/>
      <c r="R112" s="26"/>
      <c r="S112" s="26"/>
    </row>
    <row r="113" spans="1:19" ht="12.75">
      <c r="A113" s="49" t="s">
        <v>92</v>
      </c>
      <c r="B113" s="49"/>
      <c r="C113" s="49"/>
      <c r="D113" s="49"/>
      <c r="E113" s="49"/>
      <c r="F113" s="49"/>
      <c r="G113" s="49"/>
      <c r="H113" s="50"/>
      <c r="I113" s="51"/>
      <c r="L113" s="26"/>
      <c r="M113" s="26"/>
      <c r="N113" s="26"/>
      <c r="O113" s="26"/>
      <c r="P113" s="26"/>
      <c r="Q113" s="26"/>
      <c r="R113" s="26"/>
      <c r="S113" s="26"/>
    </row>
    <row r="114" spans="1:19" ht="12.75">
      <c r="A114" s="37" t="s">
        <v>48</v>
      </c>
      <c r="B114" s="37"/>
      <c r="C114" s="37"/>
      <c r="D114" s="37"/>
      <c r="E114" s="37"/>
      <c r="F114" s="37"/>
      <c r="G114" s="37"/>
      <c r="H114" s="37">
        <f>SUM(H106:I113)</f>
        <v>0</v>
      </c>
      <c r="I114" s="37"/>
      <c r="L114" s="26"/>
      <c r="M114" s="26"/>
      <c r="N114" s="26"/>
      <c r="O114" s="26"/>
      <c r="P114" s="26"/>
      <c r="Q114" s="26"/>
      <c r="R114" s="26"/>
      <c r="S114" s="26"/>
    </row>
    <row r="115" spans="1:19" ht="12.75">
      <c r="A115" s="37"/>
      <c r="B115" s="37"/>
      <c r="C115" s="37"/>
      <c r="D115" s="37"/>
      <c r="E115" s="37"/>
      <c r="F115" s="37"/>
      <c r="G115" s="37"/>
      <c r="H115" s="37"/>
      <c r="I115" s="37"/>
      <c r="L115" s="26"/>
      <c r="M115" s="26"/>
      <c r="N115" s="26"/>
      <c r="O115" s="26"/>
      <c r="P115" s="26"/>
      <c r="Q115" s="26"/>
      <c r="R115" s="26"/>
      <c r="S115" s="26"/>
    </row>
    <row r="116" spans="1:19" ht="12.75">
      <c r="A116" s="37"/>
      <c r="B116" s="37"/>
      <c r="C116" s="37"/>
      <c r="D116" s="37"/>
      <c r="E116" s="37"/>
      <c r="F116" s="37"/>
      <c r="G116" s="37"/>
      <c r="H116" s="37"/>
      <c r="I116" s="37"/>
      <c r="L116" s="26"/>
      <c r="M116" s="26"/>
      <c r="N116" s="26"/>
      <c r="O116" s="26"/>
      <c r="P116" s="26"/>
      <c r="Q116" s="26"/>
      <c r="R116" s="26"/>
      <c r="S116" s="26"/>
    </row>
    <row r="117" spans="1:19" ht="13.5" customHeight="1">
      <c r="A117" s="48" t="s">
        <v>52</v>
      </c>
      <c r="B117" s="48"/>
      <c r="C117" s="48"/>
      <c r="D117" s="48"/>
      <c r="E117" s="48"/>
      <c r="F117" s="48"/>
      <c r="G117" s="48"/>
      <c r="H117" s="48"/>
      <c r="I117" s="48"/>
      <c r="L117" s="26"/>
      <c r="M117" s="26"/>
      <c r="N117" s="26"/>
      <c r="O117" s="26"/>
      <c r="P117" s="26"/>
      <c r="Q117" s="26"/>
      <c r="R117" s="26"/>
      <c r="S117" s="26"/>
    </row>
    <row r="118" spans="1:19" ht="12.75">
      <c r="A118" s="37" t="s">
        <v>21</v>
      </c>
      <c r="B118" s="37"/>
      <c r="C118" s="37"/>
      <c r="D118" s="37"/>
      <c r="E118" s="37"/>
      <c r="F118" s="37"/>
      <c r="G118" s="37"/>
      <c r="H118" s="37" t="s">
        <v>22</v>
      </c>
      <c r="I118" s="37"/>
      <c r="L118" s="26"/>
      <c r="M118" s="26"/>
      <c r="N118" s="26"/>
      <c r="O118" s="26"/>
      <c r="P118" s="26"/>
      <c r="Q118" s="26"/>
      <c r="R118" s="26"/>
      <c r="S118" s="26"/>
    </row>
    <row r="119" spans="1:19" ht="12.75">
      <c r="A119" s="49" t="s">
        <v>53</v>
      </c>
      <c r="B119" s="49"/>
      <c r="C119" s="49"/>
      <c r="D119" s="49"/>
      <c r="E119" s="49"/>
      <c r="F119" s="49"/>
      <c r="G119" s="49"/>
      <c r="H119" s="41"/>
      <c r="I119" s="42"/>
      <c r="L119" s="26"/>
      <c r="M119" s="26"/>
      <c r="N119" s="26"/>
      <c r="O119" s="26"/>
      <c r="P119" s="26"/>
      <c r="Q119" s="26"/>
      <c r="R119" s="26"/>
      <c r="S119" s="26"/>
    </row>
    <row r="120" spans="1:19" ht="12.75">
      <c r="A120" s="49" t="s">
        <v>54</v>
      </c>
      <c r="B120" s="49"/>
      <c r="C120" s="49"/>
      <c r="D120" s="49"/>
      <c r="E120" s="49"/>
      <c r="F120" s="49"/>
      <c r="G120" s="49"/>
      <c r="H120" s="41"/>
      <c r="I120" s="42"/>
      <c r="L120" s="26"/>
      <c r="M120" s="26"/>
      <c r="N120" s="26"/>
      <c r="O120" s="26"/>
      <c r="P120" s="26"/>
      <c r="Q120" s="26"/>
      <c r="R120" s="26"/>
      <c r="S120" s="26"/>
    </row>
    <row r="121" spans="1:19" ht="12.75">
      <c r="A121" s="49" t="s">
        <v>93</v>
      </c>
      <c r="B121" s="49"/>
      <c r="C121" s="49"/>
      <c r="D121" s="49"/>
      <c r="E121" s="49"/>
      <c r="F121" s="49"/>
      <c r="G121" s="49"/>
      <c r="H121" s="41"/>
      <c r="I121" s="42"/>
      <c r="L121" s="26"/>
      <c r="M121" s="26"/>
      <c r="N121" s="26"/>
      <c r="O121" s="26"/>
      <c r="P121" s="26"/>
      <c r="Q121" s="26"/>
      <c r="R121" s="26"/>
      <c r="S121" s="26"/>
    </row>
    <row r="122" spans="1:19" ht="12.75">
      <c r="A122" s="49" t="s">
        <v>94</v>
      </c>
      <c r="B122" s="49"/>
      <c r="C122" s="49"/>
      <c r="D122" s="49"/>
      <c r="E122" s="49"/>
      <c r="F122" s="49"/>
      <c r="G122" s="49"/>
      <c r="H122" s="41"/>
      <c r="I122" s="42"/>
      <c r="L122" s="26"/>
      <c r="M122" s="26"/>
      <c r="N122" s="26"/>
      <c r="O122" s="26"/>
      <c r="P122" s="26"/>
      <c r="Q122" s="26"/>
      <c r="R122" s="26"/>
      <c r="S122" s="26"/>
    </row>
    <row r="123" spans="1:19" ht="12.75">
      <c r="A123" s="49" t="s">
        <v>95</v>
      </c>
      <c r="B123" s="49"/>
      <c r="C123" s="49"/>
      <c r="D123" s="49"/>
      <c r="E123" s="49"/>
      <c r="F123" s="49"/>
      <c r="G123" s="49"/>
      <c r="H123" s="41"/>
      <c r="I123" s="42"/>
      <c r="L123" s="26"/>
      <c r="M123" s="26"/>
      <c r="N123" s="26"/>
      <c r="O123" s="26"/>
      <c r="P123" s="26"/>
      <c r="Q123" s="26"/>
      <c r="R123" s="26"/>
      <c r="S123" s="26"/>
    </row>
    <row r="124" spans="1:19" ht="12.75">
      <c r="A124" s="49" t="s">
        <v>96</v>
      </c>
      <c r="B124" s="49"/>
      <c r="C124" s="49"/>
      <c r="D124" s="49"/>
      <c r="E124" s="49"/>
      <c r="F124" s="49"/>
      <c r="G124" s="49"/>
      <c r="H124" s="41"/>
      <c r="I124" s="42"/>
      <c r="L124" s="26"/>
      <c r="M124" s="26"/>
      <c r="N124" s="26"/>
      <c r="O124" s="26"/>
      <c r="P124" s="26"/>
      <c r="Q124" s="26"/>
      <c r="R124" s="26"/>
      <c r="S124" s="26"/>
    </row>
    <row r="125" spans="1:19" ht="12.75">
      <c r="A125" s="49" t="s">
        <v>97</v>
      </c>
      <c r="B125" s="49"/>
      <c r="C125" s="49"/>
      <c r="D125" s="49"/>
      <c r="E125" s="49"/>
      <c r="F125" s="49"/>
      <c r="G125" s="49"/>
      <c r="H125" s="41"/>
      <c r="I125" s="42"/>
      <c r="L125" s="26"/>
      <c r="M125" s="26"/>
      <c r="N125" s="26"/>
      <c r="O125" s="26"/>
      <c r="P125" s="26"/>
      <c r="Q125" s="26"/>
      <c r="R125" s="26"/>
      <c r="S125" s="26"/>
    </row>
    <row r="126" spans="1:19" ht="12.75">
      <c r="A126" s="37" t="s">
        <v>55</v>
      </c>
      <c r="B126" s="37"/>
      <c r="C126" s="37"/>
      <c r="D126" s="37"/>
      <c r="E126" s="37"/>
      <c r="F126" s="37"/>
      <c r="G126" s="37"/>
      <c r="H126" s="37">
        <f>SUM(H119:H125)</f>
        <v>0</v>
      </c>
      <c r="I126" s="37"/>
      <c r="L126" s="26"/>
      <c r="M126" s="26"/>
      <c r="N126" s="26"/>
      <c r="O126" s="26"/>
      <c r="P126" s="26"/>
      <c r="Q126" s="26"/>
      <c r="R126" s="26"/>
      <c r="S126" s="26"/>
    </row>
    <row r="127" spans="2:19" ht="12.75">
      <c r="B127" s="43" t="s">
        <v>56</v>
      </c>
      <c r="C127" s="43"/>
      <c r="D127" s="43"/>
      <c r="E127" s="43"/>
      <c r="F127" s="43"/>
      <c r="G127" s="4">
        <f>H76+H101+H114+H126</f>
        <v>0</v>
      </c>
      <c r="H127" s="4" t="s">
        <v>26</v>
      </c>
      <c r="L127" s="26"/>
      <c r="M127" s="26"/>
      <c r="N127" s="26"/>
      <c r="O127" s="26"/>
      <c r="P127" s="26"/>
      <c r="Q127" s="26"/>
      <c r="R127" s="26"/>
      <c r="S127" s="26"/>
    </row>
    <row r="128" spans="1:19" ht="12.75">
      <c r="A128" s="37"/>
      <c r="B128" s="37"/>
      <c r="C128" s="37"/>
      <c r="D128" s="37"/>
      <c r="E128" s="37"/>
      <c r="F128" s="37"/>
      <c r="G128" s="37"/>
      <c r="H128" s="37"/>
      <c r="I128" s="37"/>
      <c r="L128" s="26"/>
      <c r="M128" s="26"/>
      <c r="N128" s="26"/>
      <c r="O128" s="26"/>
      <c r="P128" s="26"/>
      <c r="Q128" s="26"/>
      <c r="R128" s="26"/>
      <c r="S128" s="26"/>
    </row>
    <row r="129" spans="1:19" ht="12.75">
      <c r="A129" s="40" t="s">
        <v>57</v>
      </c>
      <c r="B129" s="40"/>
      <c r="C129" s="40"/>
      <c r="D129" s="40"/>
      <c r="E129" s="40"/>
      <c r="F129" s="40"/>
      <c r="G129" s="40"/>
      <c r="H129" s="40"/>
      <c r="I129" s="40"/>
      <c r="L129" s="26"/>
      <c r="M129" s="26"/>
      <c r="N129" s="26"/>
      <c r="O129" s="26"/>
      <c r="P129" s="26"/>
      <c r="Q129" s="26"/>
      <c r="R129" s="26"/>
      <c r="S129" s="26"/>
    </row>
    <row r="130" spans="1:19" ht="12.75">
      <c r="A130" s="37"/>
      <c r="B130" s="37"/>
      <c r="C130" s="37"/>
      <c r="D130" s="37"/>
      <c r="E130" s="37"/>
      <c r="F130" s="37"/>
      <c r="G130" s="37"/>
      <c r="H130" s="37"/>
      <c r="I130" s="37"/>
      <c r="L130" s="26"/>
      <c r="M130" s="26"/>
      <c r="N130" s="26"/>
      <c r="O130" s="26"/>
      <c r="P130" s="26"/>
      <c r="Q130" s="26"/>
      <c r="R130" s="26"/>
      <c r="S130" s="26"/>
    </row>
    <row r="131" spans="1:19" ht="12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L131" s="26"/>
      <c r="M131" s="26"/>
      <c r="N131" s="26"/>
      <c r="O131" s="26"/>
      <c r="P131" s="26"/>
      <c r="Q131" s="26"/>
      <c r="R131" s="26"/>
      <c r="S131" s="26"/>
    </row>
    <row r="132" spans="1:19" ht="12.75">
      <c r="A132" s="37" t="s">
        <v>21</v>
      </c>
      <c r="B132" s="37"/>
      <c r="C132" s="37"/>
      <c r="D132" s="37"/>
      <c r="E132" s="37"/>
      <c r="F132" s="37"/>
      <c r="G132" s="37"/>
      <c r="H132" s="37" t="s">
        <v>22</v>
      </c>
      <c r="I132" s="37"/>
      <c r="L132" s="26"/>
      <c r="M132" s="26"/>
      <c r="N132" s="26"/>
      <c r="O132" s="26"/>
      <c r="P132" s="26"/>
      <c r="Q132" s="26"/>
      <c r="R132" s="26"/>
      <c r="S132" s="26"/>
    </row>
    <row r="133" spans="1:19" ht="12.75">
      <c r="A133" s="49" t="s">
        <v>98</v>
      </c>
      <c r="B133" s="49"/>
      <c r="C133" s="49"/>
      <c r="D133" s="49"/>
      <c r="E133" s="49"/>
      <c r="F133" s="49"/>
      <c r="G133" s="49"/>
      <c r="H133" s="41"/>
      <c r="I133" s="42"/>
      <c r="L133" s="26"/>
      <c r="M133" s="26"/>
      <c r="N133" s="26"/>
      <c r="O133" s="26"/>
      <c r="P133" s="26"/>
      <c r="Q133" s="26"/>
      <c r="R133" s="26"/>
      <c r="S133" s="26"/>
    </row>
    <row r="134" spans="1:19" ht="12.75">
      <c r="A134" s="49" t="s">
        <v>99</v>
      </c>
      <c r="B134" s="49"/>
      <c r="C134" s="49"/>
      <c r="D134" s="49"/>
      <c r="E134" s="49"/>
      <c r="F134" s="49"/>
      <c r="G134" s="49"/>
      <c r="H134" s="41"/>
      <c r="I134" s="42"/>
      <c r="L134" s="26"/>
      <c r="M134" s="26"/>
      <c r="N134" s="26"/>
      <c r="O134" s="26"/>
      <c r="P134" s="26"/>
      <c r="Q134" s="26"/>
      <c r="R134" s="26"/>
      <c r="S134" s="26"/>
    </row>
    <row r="135" spans="1:19" ht="12.75">
      <c r="A135" s="49" t="s">
        <v>100</v>
      </c>
      <c r="B135" s="49"/>
      <c r="C135" s="49"/>
      <c r="D135" s="49"/>
      <c r="E135" s="49"/>
      <c r="F135" s="49"/>
      <c r="G135" s="49"/>
      <c r="H135" s="41"/>
      <c r="I135" s="42"/>
      <c r="L135" s="26"/>
      <c r="M135" s="26"/>
      <c r="N135" s="26"/>
      <c r="O135" s="26"/>
      <c r="P135" s="26"/>
      <c r="Q135" s="26"/>
      <c r="R135" s="26"/>
      <c r="S135" s="26"/>
    </row>
    <row r="136" spans="1:19" ht="12.75">
      <c r="A136" s="49" t="s">
        <v>101</v>
      </c>
      <c r="B136" s="49"/>
      <c r="C136" s="49"/>
      <c r="D136" s="49"/>
      <c r="E136" s="49"/>
      <c r="F136" s="49"/>
      <c r="G136" s="49"/>
      <c r="H136" s="41"/>
      <c r="I136" s="42"/>
      <c r="L136" s="26"/>
      <c r="M136" s="26"/>
      <c r="N136" s="26"/>
      <c r="O136" s="26"/>
      <c r="P136" s="26"/>
      <c r="Q136" s="26"/>
      <c r="R136" s="26"/>
      <c r="S136" s="26"/>
    </row>
    <row r="137" spans="1:19" ht="12.75">
      <c r="A137" s="49" t="s">
        <v>102</v>
      </c>
      <c r="B137" s="49"/>
      <c r="C137" s="49"/>
      <c r="D137" s="49"/>
      <c r="E137" s="49"/>
      <c r="F137" s="49"/>
      <c r="G137" s="49"/>
      <c r="H137" s="41"/>
      <c r="I137" s="42"/>
      <c r="L137" s="26"/>
      <c r="M137" s="26"/>
      <c r="N137" s="26"/>
      <c r="O137" s="26"/>
      <c r="P137" s="26"/>
      <c r="Q137" s="26"/>
      <c r="R137" s="26"/>
      <c r="S137" s="26"/>
    </row>
    <row r="138" spans="1:19" ht="12.75">
      <c r="A138" s="49" t="s">
        <v>103</v>
      </c>
      <c r="B138" s="49"/>
      <c r="C138" s="49"/>
      <c r="D138" s="49"/>
      <c r="E138" s="49"/>
      <c r="F138" s="49"/>
      <c r="G138" s="49"/>
      <c r="H138" s="41"/>
      <c r="I138" s="42"/>
      <c r="L138" s="26"/>
      <c r="M138" s="26"/>
      <c r="N138" s="26"/>
      <c r="O138" s="26"/>
      <c r="P138" s="26"/>
      <c r="Q138" s="26"/>
      <c r="R138" s="26"/>
      <c r="S138" s="26"/>
    </row>
    <row r="139" spans="1:19" ht="12.75">
      <c r="A139" s="49" t="s">
        <v>104</v>
      </c>
      <c r="B139" s="49"/>
      <c r="C139" s="49"/>
      <c r="D139" s="49"/>
      <c r="E139" s="49"/>
      <c r="F139" s="49"/>
      <c r="G139" s="49"/>
      <c r="H139" s="41"/>
      <c r="I139" s="42"/>
      <c r="L139" s="26"/>
      <c r="M139" s="26"/>
      <c r="N139" s="26"/>
      <c r="O139" s="26"/>
      <c r="P139" s="26"/>
      <c r="Q139" s="26"/>
      <c r="R139" s="26"/>
      <c r="S139" s="26"/>
    </row>
    <row r="140" spans="1:19" ht="12.75">
      <c r="A140" s="49" t="s">
        <v>105</v>
      </c>
      <c r="B140" s="49"/>
      <c r="C140" s="49"/>
      <c r="D140" s="49"/>
      <c r="E140" s="49"/>
      <c r="F140" s="49"/>
      <c r="G140" s="49"/>
      <c r="H140" s="41"/>
      <c r="I140" s="42"/>
      <c r="L140" s="26"/>
      <c r="M140" s="26"/>
      <c r="N140" s="26"/>
      <c r="O140" s="26"/>
      <c r="P140" s="26"/>
      <c r="Q140" s="26"/>
      <c r="R140" s="26"/>
      <c r="S140" s="26"/>
    </row>
    <row r="141" spans="1:19" ht="12.75">
      <c r="A141" s="49"/>
      <c r="B141" s="49"/>
      <c r="C141" s="49"/>
      <c r="D141" s="49"/>
      <c r="E141" s="49"/>
      <c r="F141" s="49"/>
      <c r="G141" s="49"/>
      <c r="H141" s="37"/>
      <c r="I141" s="37"/>
      <c r="L141" s="26"/>
      <c r="M141" s="26"/>
      <c r="N141" s="26"/>
      <c r="O141" s="26"/>
      <c r="P141" s="26"/>
      <c r="Q141" s="26"/>
      <c r="R141" s="26"/>
      <c r="S141" s="26"/>
    </row>
    <row r="142" spans="1:19" ht="12.75">
      <c r="A142" s="49"/>
      <c r="B142" s="49"/>
      <c r="C142" s="49"/>
      <c r="D142" s="49"/>
      <c r="E142" s="49"/>
      <c r="F142" s="49"/>
      <c r="G142" s="49"/>
      <c r="H142" s="37"/>
      <c r="I142" s="37"/>
      <c r="L142" s="26"/>
      <c r="M142" s="26"/>
      <c r="N142" s="26"/>
      <c r="O142" s="26"/>
      <c r="P142" s="26"/>
      <c r="Q142" s="26"/>
      <c r="R142" s="26"/>
      <c r="S142" s="26"/>
    </row>
    <row r="143" spans="1:19" ht="12.75">
      <c r="A143" s="49"/>
      <c r="B143" s="49"/>
      <c r="C143" s="49"/>
      <c r="D143" s="49"/>
      <c r="E143" s="49"/>
      <c r="F143" s="49"/>
      <c r="G143" s="49"/>
      <c r="H143" s="37"/>
      <c r="I143" s="37"/>
      <c r="L143" s="26"/>
      <c r="M143" s="26"/>
      <c r="N143" s="26"/>
      <c r="O143" s="26"/>
      <c r="P143" s="26"/>
      <c r="Q143" s="26"/>
      <c r="R143" s="26"/>
      <c r="S143" s="26"/>
    </row>
    <row r="144" spans="1:19" ht="12.75">
      <c r="A144" s="37" t="s">
        <v>48</v>
      </c>
      <c r="B144" s="37"/>
      <c r="C144" s="37"/>
      <c r="D144" s="37"/>
      <c r="E144" s="37"/>
      <c r="F144" s="37"/>
      <c r="G144" s="37"/>
      <c r="H144" s="37">
        <f>SUM(H133:H143)</f>
        <v>0</v>
      </c>
      <c r="I144" s="37"/>
      <c r="L144" s="26"/>
      <c r="M144" s="26"/>
      <c r="N144" s="26"/>
      <c r="O144" s="26"/>
      <c r="P144" s="26"/>
      <c r="Q144" s="26"/>
      <c r="R144" s="26"/>
      <c r="S144" s="26"/>
    </row>
    <row r="145" spans="2:19" ht="12.75">
      <c r="B145" s="43" t="s">
        <v>59</v>
      </c>
      <c r="C145" s="43"/>
      <c r="D145" s="43"/>
      <c r="E145" s="43"/>
      <c r="F145" s="43"/>
      <c r="G145" s="4">
        <f>H144</f>
        <v>0</v>
      </c>
      <c r="H145" s="4" t="s">
        <v>26</v>
      </c>
      <c r="L145" s="26"/>
      <c r="M145" s="26"/>
      <c r="N145" s="26"/>
      <c r="O145" s="26"/>
      <c r="P145" s="26"/>
      <c r="Q145" s="26"/>
      <c r="R145" s="26"/>
      <c r="S145" s="26"/>
    </row>
    <row r="146" spans="1:19" ht="12.75">
      <c r="A146" s="37"/>
      <c r="B146" s="37"/>
      <c r="C146" s="37"/>
      <c r="D146" s="37"/>
      <c r="E146" s="37"/>
      <c r="F146" s="37"/>
      <c r="G146" s="37"/>
      <c r="H146" s="37"/>
      <c r="I146" s="37"/>
      <c r="L146" s="26"/>
      <c r="M146" s="26"/>
      <c r="N146" s="26"/>
      <c r="O146" s="26"/>
      <c r="P146" s="26"/>
      <c r="Q146" s="26"/>
      <c r="R146" s="26"/>
      <c r="S146" s="26"/>
    </row>
    <row r="147" spans="1:19" ht="12.75">
      <c r="A147" s="40" t="s">
        <v>60</v>
      </c>
      <c r="B147" s="40"/>
      <c r="C147" s="40"/>
      <c r="D147" s="40"/>
      <c r="E147" s="40"/>
      <c r="F147" s="40"/>
      <c r="G147" s="40"/>
      <c r="H147" s="40"/>
      <c r="I147" s="40"/>
      <c r="L147" s="26"/>
      <c r="M147" s="26"/>
      <c r="N147" s="26"/>
      <c r="O147" s="26"/>
      <c r="P147" s="26"/>
      <c r="Q147" s="26"/>
      <c r="R147" s="26"/>
      <c r="S147" s="26"/>
    </row>
    <row r="148" spans="1:19" ht="12.75">
      <c r="A148" s="37"/>
      <c r="B148" s="37"/>
      <c r="C148" s="37"/>
      <c r="D148" s="37"/>
      <c r="E148" s="37"/>
      <c r="F148" s="37"/>
      <c r="G148" s="37"/>
      <c r="H148" s="37"/>
      <c r="I148" s="37"/>
      <c r="L148" s="26"/>
      <c r="M148" s="26"/>
      <c r="N148" s="26"/>
      <c r="O148" s="26"/>
      <c r="P148" s="26"/>
      <c r="Q148" s="26"/>
      <c r="R148" s="26"/>
      <c r="S148" s="26"/>
    </row>
    <row r="149" spans="1:19" ht="12.75">
      <c r="A149" s="2" t="s">
        <v>61</v>
      </c>
      <c r="B149" s="2"/>
      <c r="C149" s="2"/>
      <c r="D149" s="2"/>
      <c r="E149" s="2"/>
      <c r="F149" s="2"/>
      <c r="G149" s="2"/>
      <c r="H149" s="2"/>
      <c r="I149" s="2"/>
      <c r="L149" s="26"/>
      <c r="M149" s="26"/>
      <c r="N149" s="26"/>
      <c r="O149" s="26"/>
      <c r="P149" s="26"/>
      <c r="Q149" s="26"/>
      <c r="R149" s="26"/>
      <c r="S149" s="26"/>
    </row>
    <row r="150" spans="1:19" ht="12.75">
      <c r="A150" s="37"/>
      <c r="B150" s="37"/>
      <c r="C150" s="37"/>
      <c r="D150" s="37"/>
      <c r="E150" s="37"/>
      <c r="F150" s="37"/>
      <c r="G150" s="37"/>
      <c r="H150" s="1" t="s">
        <v>62</v>
      </c>
      <c r="I150" s="1" t="s">
        <v>22</v>
      </c>
      <c r="L150" s="26"/>
      <c r="M150" s="26"/>
      <c r="N150" s="26"/>
      <c r="O150" s="26"/>
      <c r="P150" s="26"/>
      <c r="Q150" s="26"/>
      <c r="R150" s="26"/>
      <c r="S150" s="26"/>
    </row>
    <row r="151" spans="1:19" ht="37.5" customHeight="1">
      <c r="A151" s="48" t="s">
        <v>106</v>
      </c>
      <c r="B151" s="49"/>
      <c r="C151" s="49"/>
      <c r="D151" s="49"/>
      <c r="E151" s="49"/>
      <c r="F151" s="49"/>
      <c r="G151" s="49"/>
      <c r="H151" s="35"/>
      <c r="I151">
        <f>H151*300</f>
        <v>0</v>
      </c>
      <c r="L151" s="26"/>
      <c r="M151" s="26"/>
      <c r="N151" s="26"/>
      <c r="O151" s="26"/>
      <c r="P151" s="26"/>
      <c r="Q151" s="26"/>
      <c r="R151" s="26"/>
      <c r="S151" s="26"/>
    </row>
    <row r="152" spans="1:19" ht="39" customHeight="1">
      <c r="A152" s="48" t="s">
        <v>107</v>
      </c>
      <c r="B152" s="49"/>
      <c r="C152" s="49"/>
      <c r="D152" s="49"/>
      <c r="E152" s="49"/>
      <c r="F152" s="49"/>
      <c r="G152" s="49"/>
      <c r="H152" s="35"/>
      <c r="I152">
        <f>H152*400</f>
        <v>0</v>
      </c>
      <c r="L152" s="26"/>
      <c r="M152" s="26"/>
      <c r="N152" s="26"/>
      <c r="O152" s="26"/>
      <c r="P152" s="26"/>
      <c r="Q152" s="26"/>
      <c r="R152" s="26"/>
      <c r="S152" s="26"/>
    </row>
    <row r="153" spans="1:19" ht="12.75">
      <c r="A153" s="37" t="s">
        <v>48</v>
      </c>
      <c r="B153" s="37"/>
      <c r="C153" s="37"/>
      <c r="D153" s="37"/>
      <c r="E153" s="37"/>
      <c r="F153" s="37"/>
      <c r="G153" s="37"/>
      <c r="H153" s="1" t="s">
        <v>51</v>
      </c>
      <c r="I153">
        <f>SUM(I151:I152)</f>
        <v>0</v>
      </c>
      <c r="L153" s="26"/>
      <c r="M153" s="26"/>
      <c r="N153" s="26"/>
      <c r="O153" s="26"/>
      <c r="P153" s="26"/>
      <c r="Q153" s="26"/>
      <c r="R153" s="26"/>
      <c r="S153" s="26"/>
    </row>
    <row r="154" spans="1:19" ht="12.75">
      <c r="A154" s="37"/>
      <c r="B154" s="37"/>
      <c r="C154" s="37"/>
      <c r="D154" s="37"/>
      <c r="E154" s="37"/>
      <c r="F154" s="37"/>
      <c r="G154" s="37"/>
      <c r="H154" s="37"/>
      <c r="I154" s="37"/>
      <c r="L154" s="26"/>
      <c r="M154" s="26"/>
      <c r="N154" s="26"/>
      <c r="O154" s="26"/>
      <c r="P154" s="26"/>
      <c r="Q154" s="26"/>
      <c r="R154" s="26"/>
      <c r="S154" s="26"/>
    </row>
    <row r="155" spans="2:19" ht="12.75">
      <c r="B155" s="43" t="s">
        <v>63</v>
      </c>
      <c r="C155" s="43"/>
      <c r="D155" s="43"/>
      <c r="E155" s="43"/>
      <c r="F155" s="43"/>
      <c r="G155" s="4">
        <f>I153</f>
        <v>0</v>
      </c>
      <c r="H155" s="4" t="s">
        <v>26</v>
      </c>
      <c r="L155" s="26"/>
      <c r="M155" s="26"/>
      <c r="N155" s="26"/>
      <c r="O155" s="26"/>
      <c r="P155" s="26"/>
      <c r="Q155" s="26"/>
      <c r="R155" s="26"/>
      <c r="S155" s="26"/>
    </row>
    <row r="156" spans="1:19" ht="12.75">
      <c r="A156" s="37"/>
      <c r="B156" s="37"/>
      <c r="C156" s="37"/>
      <c r="D156" s="37"/>
      <c r="E156" s="37"/>
      <c r="F156" s="37"/>
      <c r="G156" s="37"/>
      <c r="H156" s="37"/>
      <c r="I156" s="37"/>
      <c r="L156" s="26"/>
      <c r="M156" s="26"/>
      <c r="N156" s="26"/>
      <c r="O156" s="26"/>
      <c r="P156" s="26"/>
      <c r="Q156" s="26"/>
      <c r="R156" s="26"/>
      <c r="S156" s="26"/>
    </row>
    <row r="157" spans="1:19" ht="38.25" customHeight="1">
      <c r="A157" s="48" t="s">
        <v>64</v>
      </c>
      <c r="B157" s="49"/>
      <c r="C157" s="49"/>
      <c r="D157" s="49"/>
      <c r="E157" s="49"/>
      <c r="F157" s="49"/>
      <c r="G157" s="49"/>
      <c r="H157" s="49"/>
      <c r="I157" s="49"/>
      <c r="L157" s="26"/>
      <c r="M157" s="26"/>
      <c r="N157" s="26"/>
      <c r="O157" s="26"/>
      <c r="P157" s="26"/>
      <c r="Q157" s="26"/>
      <c r="R157" s="26"/>
      <c r="S157" s="26"/>
    </row>
    <row r="158" spans="1:19" ht="12.75">
      <c r="A158" s="37"/>
      <c r="B158" s="37"/>
      <c r="C158" s="37"/>
      <c r="D158" s="37"/>
      <c r="E158" s="37"/>
      <c r="F158" s="37"/>
      <c r="G158" s="37"/>
      <c r="H158" s="37"/>
      <c r="I158" s="37"/>
      <c r="L158" s="26"/>
      <c r="M158" s="26"/>
      <c r="N158" s="26"/>
      <c r="O158" s="26"/>
      <c r="P158" s="26"/>
      <c r="Q158" s="26"/>
      <c r="R158" s="26"/>
      <c r="S158" s="26"/>
    </row>
    <row r="159" spans="1:19" ht="12.75">
      <c r="A159" s="39" t="s">
        <v>110</v>
      </c>
      <c r="B159" s="40"/>
      <c r="C159" s="40"/>
      <c r="D159" s="40"/>
      <c r="E159" s="40"/>
      <c r="F159" s="40"/>
      <c r="G159" s="40"/>
      <c r="H159" s="1" t="s">
        <v>109</v>
      </c>
      <c r="I159" s="1" t="s">
        <v>22</v>
      </c>
      <c r="L159" s="26"/>
      <c r="M159" s="26"/>
      <c r="N159" s="26"/>
      <c r="O159" s="26"/>
      <c r="P159" s="26"/>
      <c r="Q159" s="26"/>
      <c r="R159" s="26"/>
      <c r="S159" s="26"/>
    </row>
    <row r="160" spans="1:19" ht="27" customHeight="1">
      <c r="A160" s="39" t="s">
        <v>108</v>
      </c>
      <c r="B160" s="39"/>
      <c r="C160" s="39"/>
      <c r="D160" s="39"/>
      <c r="E160" s="39"/>
      <c r="F160" s="39"/>
      <c r="G160" s="39"/>
      <c r="H160" s="35"/>
      <c r="I160">
        <f>IF(H160&gt;0,100/H160,0)</f>
        <v>0</v>
      </c>
      <c r="L160" s="26"/>
      <c r="M160" s="26"/>
      <c r="N160" s="26"/>
      <c r="O160" s="26"/>
      <c r="P160" s="26"/>
      <c r="Q160" s="26"/>
      <c r="R160" s="26"/>
      <c r="S160" s="26"/>
    </row>
    <row r="161" spans="12:19" ht="12.75">
      <c r="L161" s="26"/>
      <c r="M161" s="26"/>
      <c r="N161" s="26"/>
      <c r="O161" s="26"/>
      <c r="P161" s="26"/>
      <c r="Q161" s="26"/>
      <c r="R161" s="26"/>
      <c r="S161" s="26"/>
    </row>
    <row r="162" spans="1:19" ht="25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27"/>
      <c r="M162" s="26"/>
      <c r="N162" s="26"/>
      <c r="O162" s="26"/>
      <c r="P162" s="28" t="s">
        <v>118</v>
      </c>
      <c r="Q162" s="26"/>
      <c r="R162" s="26"/>
      <c r="S162" s="26"/>
    </row>
    <row r="163" spans="1:19" ht="15">
      <c r="A163" s="6"/>
      <c r="B163" s="7" t="s">
        <v>120</v>
      </c>
      <c r="C163" s="6"/>
      <c r="D163" s="8" t="str">
        <f>IF(+C3=0," ",C3)</f>
        <v> </v>
      </c>
      <c r="E163" s="7"/>
      <c r="F163" s="6"/>
      <c r="G163" s="6"/>
      <c r="H163" s="7" t="s">
        <v>118</v>
      </c>
      <c r="I163" s="6"/>
      <c r="J163" s="6" t="s">
        <v>118</v>
      </c>
      <c r="K163" s="9" t="s">
        <v>118</v>
      </c>
      <c r="L163" s="29"/>
      <c r="M163" s="26"/>
      <c r="N163" s="26"/>
      <c r="O163" s="26"/>
      <c r="P163" s="26"/>
      <c r="Q163" s="26" t="s">
        <v>121</v>
      </c>
      <c r="R163" s="26"/>
      <c r="S163" s="26"/>
    </row>
    <row r="164" spans="1:19" ht="15">
      <c r="A164" s="6"/>
      <c r="B164" s="7" t="s">
        <v>118</v>
      </c>
      <c r="C164" s="6"/>
      <c r="D164" s="8" t="s">
        <v>118</v>
      </c>
      <c r="E164" s="6"/>
      <c r="F164" s="6"/>
      <c r="G164" s="6"/>
      <c r="H164" s="11" t="s">
        <v>122</v>
      </c>
      <c r="I164" s="6"/>
      <c r="J164" s="6"/>
      <c r="K164" s="11"/>
      <c r="L164" s="30" t="s">
        <v>118</v>
      </c>
      <c r="M164" s="30"/>
      <c r="N164" s="30"/>
      <c r="O164" s="30"/>
      <c r="P164" s="26"/>
      <c r="Q164" s="26"/>
      <c r="R164" s="26"/>
      <c r="S164" s="26"/>
    </row>
    <row r="165" spans="1:19" ht="15">
      <c r="A165" s="5"/>
      <c r="B165" s="7"/>
      <c r="C165" s="7"/>
      <c r="D165" s="5"/>
      <c r="E165" s="5"/>
      <c r="F165" s="5"/>
      <c r="G165" s="11" t="s">
        <v>123</v>
      </c>
      <c r="H165" s="11" t="s">
        <v>124</v>
      </c>
      <c r="I165" s="11" t="s">
        <v>125</v>
      </c>
      <c r="J165" s="11" t="s">
        <v>126</v>
      </c>
      <c r="K165" s="11" t="s">
        <v>127</v>
      </c>
      <c r="L165" s="26"/>
      <c r="M165" s="30"/>
      <c r="N165" s="26"/>
      <c r="O165" s="30"/>
      <c r="P165" s="26"/>
      <c r="Q165" s="31"/>
      <c r="R165" s="26"/>
      <c r="S165" s="26"/>
    </row>
    <row r="166" spans="1:19" ht="15">
      <c r="A166" s="11" t="s">
        <v>128</v>
      </c>
      <c r="B166" s="5"/>
      <c r="C166" s="6"/>
      <c r="D166" s="6"/>
      <c r="E166" s="5"/>
      <c r="F166" s="11" t="s">
        <v>129</v>
      </c>
      <c r="G166" s="11" t="s">
        <v>130</v>
      </c>
      <c r="H166" s="11" t="s">
        <v>131</v>
      </c>
      <c r="I166" s="11" t="s">
        <v>132</v>
      </c>
      <c r="J166" s="11" t="s">
        <v>133</v>
      </c>
      <c r="K166" s="11" t="s">
        <v>134</v>
      </c>
      <c r="L166" s="26"/>
      <c r="M166" s="30"/>
      <c r="N166" s="26"/>
      <c r="O166" s="30"/>
      <c r="P166" s="26"/>
      <c r="Q166" s="31"/>
      <c r="R166" s="26"/>
      <c r="S166" s="26"/>
    </row>
    <row r="167" spans="1:19" ht="14.25">
      <c r="A167" s="11" t="s">
        <v>135</v>
      </c>
      <c r="B167" s="12" t="s">
        <v>136</v>
      </c>
      <c r="C167" s="6"/>
      <c r="D167" s="12"/>
      <c r="E167" s="11"/>
      <c r="F167" s="11" t="s">
        <v>132</v>
      </c>
      <c r="G167" s="11" t="s">
        <v>137</v>
      </c>
      <c r="H167" s="11" t="s">
        <v>138</v>
      </c>
      <c r="I167" s="11" t="s">
        <v>139</v>
      </c>
      <c r="J167" s="11" t="s">
        <v>123</v>
      </c>
      <c r="K167" s="11" t="s">
        <v>130</v>
      </c>
      <c r="L167" s="26"/>
      <c r="M167" s="30"/>
      <c r="N167" s="26"/>
      <c r="O167" s="30"/>
      <c r="P167" s="26"/>
      <c r="Q167" s="29" t="s">
        <v>118</v>
      </c>
      <c r="R167" s="26"/>
      <c r="S167" s="26"/>
    </row>
    <row r="168" spans="1:19" ht="15">
      <c r="A168" s="20">
        <v>560</v>
      </c>
      <c r="B168" s="5" t="s">
        <v>140</v>
      </c>
      <c r="C168" s="6"/>
      <c r="D168" s="5"/>
      <c r="E168" s="5"/>
      <c r="F168" s="20" t="s">
        <v>141</v>
      </c>
      <c r="G168" s="20">
        <v>75</v>
      </c>
      <c r="H168" s="23">
        <v>18</v>
      </c>
      <c r="I168" s="15"/>
      <c r="J168" s="13"/>
      <c r="K168" s="14">
        <f>IF(+J168/(IF(I168&gt;0,I168,0.0000001))*0.75&gt;18,+I168*18,+J168*G168/100)</f>
        <v>0</v>
      </c>
      <c r="L168" s="26"/>
      <c r="M168" s="28"/>
      <c r="N168" s="26"/>
      <c r="O168" s="28"/>
      <c r="P168" s="26"/>
      <c r="Q168" s="31"/>
      <c r="R168" s="26"/>
      <c r="S168" s="26"/>
    </row>
    <row r="169" spans="1:19" ht="15">
      <c r="A169" s="20">
        <v>575</v>
      </c>
      <c r="B169" s="5" t="s">
        <v>142</v>
      </c>
      <c r="C169" s="6"/>
      <c r="D169" s="5"/>
      <c r="E169" s="5"/>
      <c r="F169" s="20" t="s">
        <v>141</v>
      </c>
      <c r="G169" s="20">
        <v>75</v>
      </c>
      <c r="H169" s="23">
        <v>3.75</v>
      </c>
      <c r="I169" s="15"/>
      <c r="J169" s="13"/>
      <c r="K169" s="14">
        <f>IF(+J169/(IF(I169&gt;0,I169,0.0000001))*0.75&gt;3.75,+I169*3.75,+J169*G169/100)</f>
        <v>0</v>
      </c>
      <c r="L169" s="26"/>
      <c r="M169" s="28"/>
      <c r="N169" s="26"/>
      <c r="O169" s="28"/>
      <c r="P169" s="26"/>
      <c r="Q169" s="31"/>
      <c r="R169" s="26"/>
      <c r="S169" s="26"/>
    </row>
    <row r="170" spans="1:19" ht="15">
      <c r="A170" s="20">
        <v>314</v>
      </c>
      <c r="B170" s="5" t="s">
        <v>143</v>
      </c>
      <c r="C170" s="6"/>
      <c r="D170" s="5"/>
      <c r="E170" s="5"/>
      <c r="F170" s="20" t="s">
        <v>144</v>
      </c>
      <c r="G170" s="20">
        <v>75</v>
      </c>
      <c r="H170" s="24">
        <v>50</v>
      </c>
      <c r="I170" s="33"/>
      <c r="J170" s="13"/>
      <c r="K170" s="14">
        <f>IF(+J170/(IF(I170&gt;0,I170,0.0000001))*0.75&gt;50,+I170*50,+J170*G170/100)</f>
        <v>0</v>
      </c>
      <c r="L170" s="26"/>
      <c r="M170" s="28"/>
      <c r="N170" s="26"/>
      <c r="O170" s="28"/>
      <c r="P170" s="26"/>
      <c r="Q170" s="31"/>
      <c r="R170" s="26"/>
      <c r="S170" s="26"/>
    </row>
    <row r="171" spans="1:19" ht="15">
      <c r="A171" s="20" t="s">
        <v>118</v>
      </c>
      <c r="B171" s="5" t="s">
        <v>145</v>
      </c>
      <c r="C171" s="6"/>
      <c r="D171" s="5"/>
      <c r="E171" s="5"/>
      <c r="F171" s="20" t="s">
        <v>144</v>
      </c>
      <c r="G171" s="20">
        <v>75</v>
      </c>
      <c r="H171" s="24">
        <v>165</v>
      </c>
      <c r="I171" s="33"/>
      <c r="J171" s="13"/>
      <c r="K171" s="14">
        <f>IF(+J171/(IF(I171&gt;0,I171,0.0000001))*0.75&gt;165,+I171*165,+J171*G171/100)</f>
        <v>0</v>
      </c>
      <c r="L171" s="26"/>
      <c r="M171" s="28"/>
      <c r="N171" s="26"/>
      <c r="O171" s="28"/>
      <c r="P171" s="26"/>
      <c r="Q171" s="31"/>
      <c r="R171" s="26"/>
      <c r="S171" s="26"/>
    </row>
    <row r="172" spans="1:19" ht="15">
      <c r="A172" s="20" t="s">
        <v>118</v>
      </c>
      <c r="B172" s="5" t="s">
        <v>146</v>
      </c>
      <c r="C172" s="6"/>
      <c r="D172" s="5"/>
      <c r="E172" s="5"/>
      <c r="F172" s="20" t="s">
        <v>144</v>
      </c>
      <c r="G172" s="20">
        <v>75</v>
      </c>
      <c r="H172" s="24">
        <v>235</v>
      </c>
      <c r="I172" s="33"/>
      <c r="J172" s="13"/>
      <c r="K172" s="14">
        <f>IF(+J172/(IF(I172&gt;0,I172,0.0000001))*0.75&gt;235,+I172*235,+J172*G172/100)</f>
        <v>0</v>
      </c>
      <c r="L172" s="26"/>
      <c r="M172" s="28"/>
      <c r="N172" s="26"/>
      <c r="O172" s="28"/>
      <c r="P172" s="26"/>
      <c r="Q172" s="31"/>
      <c r="R172" s="26"/>
      <c r="S172" s="26"/>
    </row>
    <row r="173" spans="1:19" ht="15">
      <c r="A173" s="20">
        <v>360</v>
      </c>
      <c r="B173" s="5" t="s">
        <v>147</v>
      </c>
      <c r="C173" s="6"/>
      <c r="D173" s="5"/>
      <c r="E173" s="5"/>
      <c r="F173" s="20" t="s">
        <v>148</v>
      </c>
      <c r="G173" s="20">
        <v>70</v>
      </c>
      <c r="H173" s="24">
        <v>25000</v>
      </c>
      <c r="I173" s="15"/>
      <c r="J173" s="15"/>
      <c r="K173" s="14">
        <f>IF(+J173/(IF(I173&gt;0,I173,0.0000001))*0.7&gt;25000,+I173*25000,+J173*G173/100)</f>
        <v>0</v>
      </c>
      <c r="L173" s="26"/>
      <c r="M173" s="28"/>
      <c r="N173" s="26"/>
      <c r="O173" s="28"/>
      <c r="P173" s="26"/>
      <c r="Q173" s="31"/>
      <c r="R173" s="26"/>
      <c r="S173" s="26"/>
    </row>
    <row r="174" spans="1:19" ht="15">
      <c r="A174" s="20">
        <v>327</v>
      </c>
      <c r="B174" s="5" t="s">
        <v>149</v>
      </c>
      <c r="C174" s="6"/>
      <c r="D174" s="5"/>
      <c r="E174" s="5"/>
      <c r="F174" s="20" t="s">
        <v>144</v>
      </c>
      <c r="G174" s="20">
        <v>75</v>
      </c>
      <c r="H174" s="24">
        <v>120</v>
      </c>
      <c r="I174" s="33"/>
      <c r="J174" s="13"/>
      <c r="K174" s="14">
        <f>IF(+J174/(IF(I174&gt;0,I174,0.0000001))*0.75&gt;120,+I174*120,+J174*G174/100)</f>
        <v>0</v>
      </c>
      <c r="L174" s="26"/>
      <c r="M174" s="28"/>
      <c r="N174" s="26"/>
      <c r="O174" s="28"/>
      <c r="P174" s="26"/>
      <c r="Q174" s="31"/>
      <c r="R174" s="26"/>
      <c r="S174" s="26"/>
    </row>
    <row r="175" spans="1:19" ht="15">
      <c r="A175" s="20">
        <v>332</v>
      </c>
      <c r="B175" s="5" t="s">
        <v>150</v>
      </c>
      <c r="C175" s="6"/>
      <c r="D175" s="5"/>
      <c r="E175" s="5"/>
      <c r="F175" s="20" t="s">
        <v>144</v>
      </c>
      <c r="G175" s="20" t="s">
        <v>151</v>
      </c>
      <c r="H175" s="24">
        <v>10</v>
      </c>
      <c r="I175" s="33"/>
      <c r="J175" s="5"/>
      <c r="K175" s="16">
        <f>+I175*H175</f>
        <v>0</v>
      </c>
      <c r="L175" s="26"/>
      <c r="M175" s="28"/>
      <c r="N175" s="26"/>
      <c r="O175" s="28"/>
      <c r="P175" s="26"/>
      <c r="Q175" s="31"/>
      <c r="R175" s="26"/>
      <c r="S175" s="26"/>
    </row>
    <row r="176" spans="1:19" ht="15">
      <c r="A176" s="20">
        <v>330</v>
      </c>
      <c r="B176" s="5" t="s">
        <v>152</v>
      </c>
      <c r="C176" s="6"/>
      <c r="D176" s="5"/>
      <c r="E176" s="5"/>
      <c r="F176" s="20" t="s">
        <v>144</v>
      </c>
      <c r="G176" s="20" t="s">
        <v>151</v>
      </c>
      <c r="H176" s="24">
        <v>9</v>
      </c>
      <c r="I176" s="33"/>
      <c r="J176" s="5"/>
      <c r="K176" s="16">
        <f>+IF(+I176=0,,I176*H176)</f>
        <v>0</v>
      </c>
      <c r="L176" s="26"/>
      <c r="M176" s="28"/>
      <c r="N176" s="26"/>
      <c r="O176" s="28"/>
      <c r="P176" s="26"/>
      <c r="Q176" s="31"/>
      <c r="R176" s="26"/>
      <c r="S176" s="26"/>
    </row>
    <row r="177" spans="1:19" ht="15">
      <c r="A177" s="20">
        <v>340</v>
      </c>
      <c r="B177" s="5" t="s">
        <v>153</v>
      </c>
      <c r="C177" s="6"/>
      <c r="D177" s="5"/>
      <c r="E177" s="5"/>
      <c r="F177" s="20" t="s">
        <v>144</v>
      </c>
      <c r="G177" s="20">
        <v>75</v>
      </c>
      <c r="H177" s="24">
        <v>35</v>
      </c>
      <c r="I177" s="33"/>
      <c r="J177" s="13"/>
      <c r="K177" s="14">
        <f>IF(+J177/(IF(I177&gt;0,I177,0.0000001))*0.75&gt;35,+I177*35,+J177*G177/100)</f>
        <v>0</v>
      </c>
      <c r="L177" s="26"/>
      <c r="M177" s="28"/>
      <c r="N177" s="26"/>
      <c r="O177" s="28"/>
      <c r="P177" s="26"/>
      <c r="Q177" s="31"/>
      <c r="R177" s="26"/>
      <c r="S177" s="26"/>
    </row>
    <row r="178" spans="1:19" ht="15">
      <c r="A178" s="20">
        <v>342</v>
      </c>
      <c r="B178" s="5" t="s">
        <v>154</v>
      </c>
      <c r="C178" s="6"/>
      <c r="D178" s="5"/>
      <c r="E178" s="5"/>
      <c r="F178" s="20" t="s">
        <v>144</v>
      </c>
      <c r="G178" s="20">
        <v>75</v>
      </c>
      <c r="H178" s="24">
        <v>425</v>
      </c>
      <c r="I178" s="33"/>
      <c r="J178" s="13"/>
      <c r="K178" s="14">
        <f>IF(+J178/(IF(I178&gt;0,I178,0.0000001))*0.75&gt;425,+I178*425,+J178*G178/100)</f>
        <v>0</v>
      </c>
      <c r="L178" s="26"/>
      <c r="M178" s="28"/>
      <c r="N178" s="26"/>
      <c r="O178" s="28"/>
      <c r="P178" s="26"/>
      <c r="Q178" s="31"/>
      <c r="R178" s="26"/>
      <c r="S178" s="26"/>
    </row>
    <row r="179" spans="1:19" ht="15">
      <c r="A179" s="20">
        <v>362</v>
      </c>
      <c r="B179" s="5" t="s">
        <v>155</v>
      </c>
      <c r="C179" s="6"/>
      <c r="D179" s="5"/>
      <c r="E179" s="5"/>
      <c r="F179" s="20" t="s">
        <v>141</v>
      </c>
      <c r="G179" s="20">
        <v>75</v>
      </c>
      <c r="H179" s="23">
        <v>3.75</v>
      </c>
      <c r="I179" s="15"/>
      <c r="J179" s="13"/>
      <c r="K179" s="14">
        <f>IF(+J179/(IF(I179&gt;0,I179,0.0000001))*0.75&gt;3.75,+I179*3.75,+J179*G179/100)</f>
        <v>0</v>
      </c>
      <c r="L179" s="26"/>
      <c r="M179" s="28"/>
      <c r="N179" s="26"/>
      <c r="O179" s="28"/>
      <c r="P179" s="26"/>
      <c r="Q179" s="31"/>
      <c r="R179" s="26"/>
      <c r="S179" s="26"/>
    </row>
    <row r="180" spans="1:19" ht="15">
      <c r="A180" s="20">
        <v>382</v>
      </c>
      <c r="B180" s="5" t="s">
        <v>156</v>
      </c>
      <c r="C180" s="6"/>
      <c r="D180" s="5"/>
      <c r="E180" s="5"/>
      <c r="F180" s="20" t="s">
        <v>141</v>
      </c>
      <c r="G180" s="20">
        <v>75</v>
      </c>
      <c r="H180" s="25">
        <v>1.85</v>
      </c>
      <c r="I180" s="15"/>
      <c r="J180" s="13"/>
      <c r="K180" s="14">
        <f>IF(+J180/(IF(I180&gt;0,I180,0.0000001))*0.75&gt;1.85,+I180*1.85,+J180*G180/100)</f>
        <v>0</v>
      </c>
      <c r="L180" s="26"/>
      <c r="M180" s="28"/>
      <c r="N180" s="26"/>
      <c r="O180" s="28"/>
      <c r="P180" s="26"/>
      <c r="Q180" s="31"/>
      <c r="R180" s="26"/>
      <c r="S180" s="26"/>
    </row>
    <row r="181" spans="1:19" ht="15">
      <c r="A181" s="20" t="s">
        <v>118</v>
      </c>
      <c r="B181" s="5" t="s">
        <v>157</v>
      </c>
      <c r="C181" s="6"/>
      <c r="D181" s="5"/>
      <c r="E181" s="5"/>
      <c r="F181" s="20" t="s">
        <v>141</v>
      </c>
      <c r="G181" s="20">
        <v>75</v>
      </c>
      <c r="H181" s="24">
        <v>5</v>
      </c>
      <c r="I181" s="15"/>
      <c r="J181" s="13"/>
      <c r="K181" s="14">
        <f>IF(+J181/(IF(I181&gt;0,I181,0.0000001))*0.75&gt;5,+I181*5,+J181*G181/100)</f>
        <v>0</v>
      </c>
      <c r="L181" s="26"/>
      <c r="M181" s="28"/>
      <c r="N181" s="26"/>
      <c r="O181" s="28"/>
      <c r="P181" s="26"/>
      <c r="Q181" s="31"/>
      <c r="R181" s="26"/>
      <c r="S181" s="26"/>
    </row>
    <row r="182" spans="1:19" ht="15">
      <c r="A182" s="20">
        <v>386</v>
      </c>
      <c r="B182" s="5" t="s">
        <v>158</v>
      </c>
      <c r="C182" s="6"/>
      <c r="D182" s="5"/>
      <c r="E182" s="5"/>
      <c r="F182" s="20" t="s">
        <v>144</v>
      </c>
      <c r="G182" s="20">
        <v>75</v>
      </c>
      <c r="H182" s="24">
        <v>185</v>
      </c>
      <c r="I182" s="33"/>
      <c r="J182" s="13"/>
      <c r="K182" s="14">
        <f>IF(+J182/(IF(I182&gt;0,I182,0.0000001))*0.75&gt;185,+I182*185,+J182*G182/100)</f>
        <v>0</v>
      </c>
      <c r="L182" s="26"/>
      <c r="M182" s="28"/>
      <c r="N182" s="26"/>
      <c r="O182" s="28"/>
      <c r="P182" s="26"/>
      <c r="Q182" s="31"/>
      <c r="R182" s="26"/>
      <c r="S182" s="26"/>
    </row>
    <row r="183" spans="1:19" ht="15">
      <c r="A183" s="20">
        <v>393</v>
      </c>
      <c r="B183" s="5" t="s">
        <v>159</v>
      </c>
      <c r="C183" s="6"/>
      <c r="D183" s="5"/>
      <c r="E183" s="5"/>
      <c r="F183" s="20" t="s">
        <v>144</v>
      </c>
      <c r="G183" s="20">
        <v>75</v>
      </c>
      <c r="H183" s="24">
        <v>120</v>
      </c>
      <c r="I183" s="33"/>
      <c r="J183" s="13"/>
      <c r="K183" s="14">
        <f>IF(+J183/(IF(I183&gt;0,I183,0.0000001))*0.75&gt;120,+I183*120,+J183*G183/100)</f>
        <v>0</v>
      </c>
      <c r="L183" s="26"/>
      <c r="M183" s="28"/>
      <c r="N183" s="26"/>
      <c r="O183" s="28"/>
      <c r="P183" s="26"/>
      <c r="Q183" s="31"/>
      <c r="R183" s="26"/>
      <c r="S183" s="26"/>
    </row>
    <row r="184" spans="1:19" ht="15">
      <c r="A184" s="20">
        <v>394</v>
      </c>
      <c r="B184" s="5" t="s">
        <v>160</v>
      </c>
      <c r="C184" s="6"/>
      <c r="D184" s="5"/>
      <c r="E184" s="5"/>
      <c r="F184" s="20" t="s">
        <v>144</v>
      </c>
      <c r="G184" s="20" t="s">
        <v>151</v>
      </c>
      <c r="H184" s="24">
        <v>36</v>
      </c>
      <c r="I184" s="33"/>
      <c r="J184" s="5"/>
      <c r="K184" s="14">
        <f>+I184*H184</f>
        <v>0</v>
      </c>
      <c r="L184" s="26"/>
      <c r="M184" s="28"/>
      <c r="N184" s="26"/>
      <c r="O184" s="28"/>
      <c r="P184" s="26"/>
      <c r="Q184" s="31"/>
      <c r="R184" s="26"/>
      <c r="S184" s="26"/>
    </row>
    <row r="185" spans="1:19" ht="15">
      <c r="A185" s="20">
        <v>490</v>
      </c>
      <c r="B185" s="5" t="s">
        <v>161</v>
      </c>
      <c r="C185" s="6"/>
      <c r="D185" s="5"/>
      <c r="E185" s="5"/>
      <c r="F185" s="20" t="s">
        <v>144</v>
      </c>
      <c r="G185" s="20">
        <v>75</v>
      </c>
      <c r="H185" s="24">
        <v>195</v>
      </c>
      <c r="I185" s="33"/>
      <c r="J185" s="15"/>
      <c r="K185" s="14">
        <f>IF(+J185/(IF(I185&gt;0,I185,0.0000001))*0.75&gt;195,+I185*195,+J185*G185/100)</f>
        <v>0</v>
      </c>
      <c r="L185" s="26"/>
      <c r="M185" s="28"/>
      <c r="N185" s="26"/>
      <c r="O185" s="28"/>
      <c r="P185" s="26"/>
      <c r="Q185" s="31"/>
      <c r="R185" s="26"/>
      <c r="S185" s="26"/>
    </row>
    <row r="186" spans="1:19" ht="15">
      <c r="A186" s="20">
        <v>666</v>
      </c>
      <c r="B186" s="5" t="s">
        <v>162</v>
      </c>
      <c r="C186" s="6"/>
      <c r="D186" s="5"/>
      <c r="E186" s="5"/>
      <c r="F186" s="20" t="s">
        <v>144</v>
      </c>
      <c r="G186" s="20">
        <v>65</v>
      </c>
      <c r="H186" s="24">
        <v>110</v>
      </c>
      <c r="I186" s="33"/>
      <c r="J186" s="15"/>
      <c r="K186" s="14">
        <f>IF(+J186/(IF(I186&gt;0,I186,0.0000001))*0.65&gt;110,+I186*110,+J186*G186/100)</f>
        <v>0</v>
      </c>
      <c r="L186" s="26"/>
      <c r="M186" s="28"/>
      <c r="N186" s="26"/>
      <c r="O186" s="28"/>
      <c r="P186" s="26"/>
      <c r="Q186" s="31"/>
      <c r="R186" s="26"/>
      <c r="S186" s="26"/>
    </row>
    <row r="187" spans="1:19" ht="15">
      <c r="A187" s="20">
        <v>410</v>
      </c>
      <c r="B187" s="5" t="s">
        <v>163</v>
      </c>
      <c r="C187" s="6"/>
      <c r="D187" s="5"/>
      <c r="E187" s="5"/>
      <c r="F187" s="20" t="s">
        <v>62</v>
      </c>
      <c r="G187" s="20">
        <v>75</v>
      </c>
      <c r="H187" s="24">
        <v>40000</v>
      </c>
      <c r="I187" s="15"/>
      <c r="J187" s="15"/>
      <c r="K187" s="14">
        <f>IF(+J187/(IF(I187&gt;0,I187,0.0000001))*0.75&gt;40000,+I187*40000,+J187*G187/100)</f>
        <v>0</v>
      </c>
      <c r="L187" s="26"/>
      <c r="M187" s="28"/>
      <c r="N187" s="26"/>
      <c r="O187" s="28"/>
      <c r="P187" s="26"/>
      <c r="Q187" s="31"/>
      <c r="R187" s="26"/>
      <c r="S187" s="26"/>
    </row>
    <row r="188" spans="1:19" ht="15">
      <c r="A188" s="20">
        <v>412</v>
      </c>
      <c r="B188" s="5" t="s">
        <v>164</v>
      </c>
      <c r="C188" s="6"/>
      <c r="D188" s="5"/>
      <c r="E188" s="5"/>
      <c r="F188" s="20" t="s">
        <v>144</v>
      </c>
      <c r="G188" s="20">
        <v>75</v>
      </c>
      <c r="H188" s="24">
        <v>7500</v>
      </c>
      <c r="I188" s="33"/>
      <c r="J188" s="15"/>
      <c r="K188" s="14">
        <f>IF(+J188/(IF(I188&gt;0,I188,0.0000001))*0.75&gt;7500,+I188*7500,+J188*G188/100)</f>
        <v>0</v>
      </c>
      <c r="L188" s="26"/>
      <c r="M188" s="28"/>
      <c r="N188" s="26"/>
      <c r="O188" s="28"/>
      <c r="P188" s="26"/>
      <c r="Q188" s="31"/>
      <c r="R188" s="26"/>
      <c r="S188" s="26"/>
    </row>
    <row r="189" spans="1:19" ht="15">
      <c r="A189" s="20">
        <v>561</v>
      </c>
      <c r="B189" s="5" t="s">
        <v>165</v>
      </c>
      <c r="C189" s="6"/>
      <c r="D189" s="5"/>
      <c r="E189" s="5"/>
      <c r="F189" s="20" t="s">
        <v>144</v>
      </c>
      <c r="G189" s="20">
        <v>75</v>
      </c>
      <c r="H189" s="24">
        <v>40000</v>
      </c>
      <c r="I189" s="33"/>
      <c r="J189" s="15"/>
      <c r="K189" s="14">
        <f>IF(+J189/(IF(I189&gt;0,I189,0.0000001))*0.75&gt;40000,+I189*40000,+J189*G189/100)</f>
        <v>0</v>
      </c>
      <c r="L189" s="26"/>
      <c r="M189" s="28"/>
      <c r="N189" s="26"/>
      <c r="O189" s="28"/>
      <c r="P189" s="26"/>
      <c r="Q189" s="31"/>
      <c r="R189" s="26"/>
      <c r="S189" s="26"/>
    </row>
    <row r="190" spans="1:19" ht="15">
      <c r="A190" s="20" t="s">
        <v>118</v>
      </c>
      <c r="B190" s="5" t="s">
        <v>166</v>
      </c>
      <c r="C190" s="6"/>
      <c r="D190" s="5"/>
      <c r="E190" s="5"/>
      <c r="F190" s="20" t="s">
        <v>144</v>
      </c>
      <c r="G190" s="20">
        <v>50</v>
      </c>
      <c r="H190" s="24">
        <v>10000</v>
      </c>
      <c r="I190" s="33"/>
      <c r="J190" s="15"/>
      <c r="K190" s="14">
        <f>IF(+J190/(IF(I190&gt;0,I190,0.0000001))*0.5&gt;10000,+I190*10000,+J190*G190/100)</f>
        <v>0</v>
      </c>
      <c r="L190" s="26"/>
      <c r="M190" s="28"/>
      <c r="N190" s="26"/>
      <c r="O190" s="28"/>
      <c r="P190" s="26"/>
      <c r="Q190" s="31"/>
      <c r="R190" s="26"/>
      <c r="S190" s="26"/>
    </row>
    <row r="191" spans="1:19" ht="15">
      <c r="A191" s="20">
        <v>468</v>
      </c>
      <c r="B191" s="5" t="s">
        <v>167</v>
      </c>
      <c r="C191" s="6"/>
      <c r="D191" s="5"/>
      <c r="E191" s="5"/>
      <c r="F191" s="20" t="s">
        <v>141</v>
      </c>
      <c r="G191" s="20">
        <v>75</v>
      </c>
      <c r="H191" s="24">
        <v>15</v>
      </c>
      <c r="I191" s="15"/>
      <c r="J191" s="15"/>
      <c r="K191" s="14">
        <f>IF(+J191/(IF(I191&gt;0,I191,0.0000001))*0.75&gt;15,+I191*15,+J191*G191/100)</f>
        <v>0</v>
      </c>
      <c r="L191" s="26"/>
      <c r="M191" s="28"/>
      <c r="N191" s="26"/>
      <c r="O191" s="28"/>
      <c r="P191" s="26"/>
      <c r="Q191" s="31"/>
      <c r="R191" s="26"/>
      <c r="S191" s="26"/>
    </row>
    <row r="192" spans="1:19" ht="15">
      <c r="A192" s="20">
        <v>484</v>
      </c>
      <c r="B192" s="5" t="s">
        <v>168</v>
      </c>
      <c r="C192" s="6"/>
      <c r="D192" s="5"/>
      <c r="E192" s="5"/>
      <c r="F192" s="20" t="s">
        <v>144</v>
      </c>
      <c r="G192" s="20">
        <v>75</v>
      </c>
      <c r="H192" s="24">
        <v>1500</v>
      </c>
      <c r="I192" s="33"/>
      <c r="J192" s="15"/>
      <c r="K192" s="14">
        <f>IF(+J192/(IF(I192&gt;0,I192,0.0000001))*0.75&gt;1500,+I192*1500,+J192*G192/100)</f>
        <v>0</v>
      </c>
      <c r="L192" s="26"/>
      <c r="M192" s="28"/>
      <c r="N192" s="26"/>
      <c r="O192" s="28"/>
      <c r="P192" s="26"/>
      <c r="Q192" s="31"/>
      <c r="R192" s="26"/>
      <c r="S192" s="26"/>
    </row>
    <row r="193" spans="1:19" ht="15">
      <c r="A193" s="20">
        <v>590</v>
      </c>
      <c r="B193" s="5" t="s">
        <v>169</v>
      </c>
      <c r="C193" s="6"/>
      <c r="D193" s="5"/>
      <c r="E193" s="5"/>
      <c r="F193" s="20" t="s">
        <v>144</v>
      </c>
      <c r="G193" s="20" t="s">
        <v>151</v>
      </c>
      <c r="H193" s="20" t="s">
        <v>170</v>
      </c>
      <c r="I193" s="33"/>
      <c r="J193" s="5"/>
      <c r="K193" s="16">
        <f>+I193*21</f>
        <v>0</v>
      </c>
      <c r="L193" s="26"/>
      <c r="M193" s="28"/>
      <c r="N193" s="26"/>
      <c r="O193" s="28"/>
      <c r="P193" s="26"/>
      <c r="Q193" s="31"/>
      <c r="R193" s="26"/>
      <c r="S193" s="26"/>
    </row>
    <row r="194" spans="1:19" ht="15">
      <c r="A194" s="20">
        <v>500</v>
      </c>
      <c r="B194" s="5" t="s">
        <v>171</v>
      </c>
      <c r="C194" s="6"/>
      <c r="D194" s="5"/>
      <c r="E194" s="5"/>
      <c r="F194" s="20" t="s">
        <v>144</v>
      </c>
      <c r="G194" s="20">
        <v>75</v>
      </c>
      <c r="H194" s="24">
        <v>7500</v>
      </c>
      <c r="I194" s="33"/>
      <c r="J194" s="13"/>
      <c r="K194" s="14">
        <f>IF(+J194/(IF(I194&gt;0,I194,0.0000001))*0.75&gt;7500,+I194*7500,+J194*G194/100)</f>
        <v>0</v>
      </c>
      <c r="L194" s="26"/>
      <c r="M194" s="28"/>
      <c r="N194" s="26"/>
      <c r="O194" s="28"/>
      <c r="P194" s="26"/>
      <c r="Q194" s="31"/>
      <c r="R194" s="26"/>
      <c r="S194" s="26"/>
    </row>
    <row r="195" spans="1:19" ht="15">
      <c r="A195" s="20">
        <v>512</v>
      </c>
      <c r="B195" s="5" t="s">
        <v>172</v>
      </c>
      <c r="C195" s="6"/>
      <c r="D195" s="5"/>
      <c r="E195" s="5"/>
      <c r="F195" s="20" t="s">
        <v>144</v>
      </c>
      <c r="G195" s="20">
        <v>75</v>
      </c>
      <c r="H195" s="24">
        <v>45</v>
      </c>
      <c r="I195" s="33"/>
      <c r="J195" s="13"/>
      <c r="K195" s="14">
        <f>IF(+J195/(IF(I195&gt;0,I195,0.0000001))*0.75&gt;45,+I195*45,+J195*G195/100)</f>
        <v>0</v>
      </c>
      <c r="L195" s="26"/>
      <c r="M195" s="28"/>
      <c r="N195" s="26"/>
      <c r="O195" s="28"/>
      <c r="P195" s="26"/>
      <c r="Q195" s="31"/>
      <c r="R195" s="26"/>
      <c r="S195" s="26"/>
    </row>
    <row r="196" spans="1:19" ht="15">
      <c r="A196" s="20">
        <v>595</v>
      </c>
      <c r="B196" s="5" t="s">
        <v>173</v>
      </c>
      <c r="C196" s="6"/>
      <c r="D196" s="5"/>
      <c r="E196" s="5"/>
      <c r="F196" s="20" t="s">
        <v>144</v>
      </c>
      <c r="G196" s="20" t="s">
        <v>151</v>
      </c>
      <c r="H196" s="24" t="s">
        <v>174</v>
      </c>
      <c r="I196" s="33"/>
      <c r="J196" s="5"/>
      <c r="K196" s="16">
        <f>+I196*2*3</f>
        <v>0</v>
      </c>
      <c r="L196" s="26"/>
      <c r="M196" s="28"/>
      <c r="N196" s="26"/>
      <c r="O196" s="28"/>
      <c r="P196" s="26"/>
      <c r="Q196" s="31"/>
      <c r="R196" s="26"/>
      <c r="S196" s="26"/>
    </row>
    <row r="197" spans="1:19" ht="15">
      <c r="A197" s="20" t="s">
        <v>118</v>
      </c>
      <c r="B197" s="5" t="s">
        <v>175</v>
      </c>
      <c r="C197" s="6"/>
      <c r="D197" s="5"/>
      <c r="E197" s="5"/>
      <c r="F197" s="20" t="s">
        <v>144</v>
      </c>
      <c r="G197" s="20" t="s">
        <v>151</v>
      </c>
      <c r="H197" s="24" t="s">
        <v>176</v>
      </c>
      <c r="I197" s="33"/>
      <c r="J197" s="5"/>
      <c r="K197" s="16">
        <f>+I197*4*3</f>
        <v>0</v>
      </c>
      <c r="L197" s="26"/>
      <c r="M197" s="28"/>
      <c r="N197" s="26"/>
      <c r="O197" s="28"/>
      <c r="P197" s="26"/>
      <c r="Q197" s="31"/>
      <c r="R197" s="26"/>
      <c r="S197" s="26"/>
    </row>
    <row r="198" spans="1:19" ht="15">
      <c r="A198" s="20">
        <v>516</v>
      </c>
      <c r="B198" s="5" t="s">
        <v>177</v>
      </c>
      <c r="C198" s="6"/>
      <c r="D198" s="5"/>
      <c r="E198" s="5"/>
      <c r="F198" s="20" t="s">
        <v>141</v>
      </c>
      <c r="G198" s="20">
        <v>75</v>
      </c>
      <c r="H198" s="25">
        <v>0.25</v>
      </c>
      <c r="I198" s="15"/>
      <c r="J198" s="15"/>
      <c r="K198" s="14">
        <f>IF(+J198/(IF(I198&gt;0,I198,0.0000001))*0.75&gt;0.25,+I198*0.25,+J198*G198/100)</f>
        <v>0</v>
      </c>
      <c r="L198" s="26"/>
      <c r="M198" s="28"/>
      <c r="N198" s="26"/>
      <c r="O198" s="28"/>
      <c r="P198" s="26"/>
      <c r="Q198" s="31"/>
      <c r="R198" s="26"/>
      <c r="S198" s="26"/>
    </row>
    <row r="199" spans="1:19" ht="15">
      <c r="A199" s="20">
        <v>338</v>
      </c>
      <c r="B199" s="5" t="s">
        <v>178</v>
      </c>
      <c r="C199" s="6"/>
      <c r="D199" s="5"/>
      <c r="E199" s="5"/>
      <c r="F199" s="20" t="s">
        <v>144</v>
      </c>
      <c r="G199" s="20" t="s">
        <v>151</v>
      </c>
      <c r="H199" s="24">
        <v>45</v>
      </c>
      <c r="I199" s="33"/>
      <c r="J199" s="5"/>
      <c r="K199" s="16">
        <f>+I199*H199</f>
        <v>0</v>
      </c>
      <c r="L199" s="26"/>
      <c r="M199" s="28"/>
      <c r="N199" s="26"/>
      <c r="O199" s="28"/>
      <c r="P199" s="26"/>
      <c r="Q199" s="31"/>
      <c r="R199" s="26"/>
      <c r="S199" s="26"/>
    </row>
    <row r="200" spans="1:19" ht="15">
      <c r="A200" s="20" t="s">
        <v>179</v>
      </c>
      <c r="B200" s="5" t="s">
        <v>180</v>
      </c>
      <c r="C200" s="6"/>
      <c r="D200" s="5"/>
      <c r="E200" s="5"/>
      <c r="F200" s="20" t="s">
        <v>144</v>
      </c>
      <c r="G200" s="20" t="s">
        <v>151</v>
      </c>
      <c r="H200" s="24">
        <v>105</v>
      </c>
      <c r="I200" s="33"/>
      <c r="J200" s="5"/>
      <c r="K200" s="16">
        <f>+I200*H200</f>
        <v>0</v>
      </c>
      <c r="L200" s="26"/>
      <c r="M200" s="28"/>
      <c r="N200" s="26"/>
      <c r="O200" s="28"/>
      <c r="P200" s="26"/>
      <c r="Q200" s="31"/>
      <c r="R200" s="26"/>
      <c r="S200" s="26"/>
    </row>
    <row r="201" spans="1:19" ht="15">
      <c r="A201" s="20" t="s">
        <v>118</v>
      </c>
      <c r="B201" s="5" t="s">
        <v>181</v>
      </c>
      <c r="C201" s="6"/>
      <c r="D201" s="5"/>
      <c r="E201" s="5"/>
      <c r="F201" s="20" t="s">
        <v>144</v>
      </c>
      <c r="G201" s="20" t="s">
        <v>151</v>
      </c>
      <c r="H201" s="24">
        <v>60</v>
      </c>
      <c r="I201" s="33"/>
      <c r="J201" s="5"/>
      <c r="K201" s="16">
        <f>+I201*H201</f>
        <v>0</v>
      </c>
      <c r="L201" s="26"/>
      <c r="M201" s="28"/>
      <c r="N201" s="26"/>
      <c r="O201" s="28"/>
      <c r="P201" s="26"/>
      <c r="Q201" s="31"/>
      <c r="R201" s="26"/>
      <c r="S201" s="26"/>
    </row>
    <row r="202" spans="1:19" ht="15">
      <c r="A202" s="20" t="s">
        <v>182</v>
      </c>
      <c r="B202" s="5" t="s">
        <v>183</v>
      </c>
      <c r="C202" s="6"/>
      <c r="D202" s="5"/>
      <c r="E202" s="5"/>
      <c r="F202" s="20" t="s">
        <v>144</v>
      </c>
      <c r="G202" s="20" t="s">
        <v>151</v>
      </c>
      <c r="H202" s="24" t="s">
        <v>184</v>
      </c>
      <c r="I202" s="33"/>
      <c r="J202" s="5"/>
      <c r="K202" s="16">
        <f>+I202*15*3</f>
        <v>0</v>
      </c>
      <c r="L202" s="26"/>
      <c r="M202" s="28"/>
      <c r="N202" s="26"/>
      <c r="O202" s="28"/>
      <c r="P202" s="26"/>
      <c r="Q202" s="31"/>
      <c r="R202" s="26"/>
      <c r="S202" s="26"/>
    </row>
    <row r="203" spans="1:19" ht="15">
      <c r="A203" s="20" t="s">
        <v>185</v>
      </c>
      <c r="B203" s="5" t="s">
        <v>186</v>
      </c>
      <c r="C203" s="6"/>
      <c r="D203" s="5"/>
      <c r="E203" s="5"/>
      <c r="F203" s="20" t="s">
        <v>144</v>
      </c>
      <c r="G203" s="20" t="s">
        <v>151</v>
      </c>
      <c r="H203" s="24" t="s">
        <v>187</v>
      </c>
      <c r="I203" s="33"/>
      <c r="J203" s="5"/>
      <c r="K203" s="16">
        <f>+I203*10*3</f>
        <v>0</v>
      </c>
      <c r="L203" s="26"/>
      <c r="M203" s="28"/>
      <c r="N203" s="26"/>
      <c r="O203" s="28"/>
      <c r="P203" s="26"/>
      <c r="Q203" s="31"/>
      <c r="R203" s="26"/>
      <c r="S203" s="26"/>
    </row>
    <row r="204" spans="1:19" ht="15">
      <c r="A204" s="20">
        <v>558</v>
      </c>
      <c r="B204" s="5" t="s">
        <v>188</v>
      </c>
      <c r="C204" s="6"/>
      <c r="D204" s="5"/>
      <c r="E204" s="5"/>
      <c r="F204" s="20" t="s">
        <v>148</v>
      </c>
      <c r="G204" s="20">
        <v>75</v>
      </c>
      <c r="H204" s="24">
        <v>4000</v>
      </c>
      <c r="I204" s="15"/>
      <c r="J204" s="15"/>
      <c r="K204" s="14">
        <f>IF(+J204/(IF(I204&gt;0,I204,0.0000001))*0.75&gt;4000,+I204*4000,+J204*G204/100)</f>
        <v>0</v>
      </c>
      <c r="L204" s="26"/>
      <c r="M204" s="28"/>
      <c r="N204" s="26"/>
      <c r="O204" s="28"/>
      <c r="P204" s="26"/>
      <c r="Q204" s="31"/>
      <c r="R204" s="26"/>
      <c r="S204" s="26"/>
    </row>
    <row r="205" spans="1:19" ht="15">
      <c r="A205" s="20">
        <v>350</v>
      </c>
      <c r="B205" s="5" t="s">
        <v>189</v>
      </c>
      <c r="C205" s="6"/>
      <c r="D205" s="5"/>
      <c r="E205" s="5"/>
      <c r="F205" s="20" t="s">
        <v>148</v>
      </c>
      <c r="G205" s="20">
        <v>75</v>
      </c>
      <c r="H205" s="24">
        <v>6000</v>
      </c>
      <c r="I205" s="15"/>
      <c r="J205" s="15"/>
      <c r="K205" s="14">
        <f>IF(+J205/(IF(I205&gt;0,I205,0.0000001))*0.75&gt;6000,+I205*6000,+J205*G205/100)</f>
        <v>0</v>
      </c>
      <c r="L205" s="26"/>
      <c r="M205" s="28"/>
      <c r="N205" s="26"/>
      <c r="O205" s="28"/>
      <c r="P205" s="26"/>
      <c r="Q205" s="31"/>
      <c r="R205" s="26"/>
      <c r="S205" s="26"/>
    </row>
    <row r="206" spans="1:19" ht="15">
      <c r="A206" s="20" t="s">
        <v>118</v>
      </c>
      <c r="B206" s="5" t="s">
        <v>190</v>
      </c>
      <c r="C206" s="6"/>
      <c r="D206" s="5"/>
      <c r="E206" s="5"/>
      <c r="F206" s="20" t="s">
        <v>148</v>
      </c>
      <c r="G206" s="20">
        <v>50</v>
      </c>
      <c r="H206" s="24">
        <v>10000</v>
      </c>
      <c r="I206" s="15"/>
      <c r="J206" s="15"/>
      <c r="K206" s="14">
        <f>IF(+J206/(IF(I206&gt;0,I206,0.0000001))*0.5&gt;10000,+I206*10000,+J206*G206/100)</f>
        <v>0</v>
      </c>
      <c r="L206" s="26"/>
      <c r="M206" s="28"/>
      <c r="N206" s="26"/>
      <c r="O206" s="28"/>
      <c r="P206" s="26"/>
      <c r="Q206" s="31"/>
      <c r="R206" s="26"/>
      <c r="S206" s="26"/>
    </row>
    <row r="207" spans="1:19" ht="15">
      <c r="A207" s="20">
        <v>725</v>
      </c>
      <c r="B207" s="5" t="s">
        <v>191</v>
      </c>
      <c r="C207" s="6"/>
      <c r="D207" s="5"/>
      <c r="E207" s="5"/>
      <c r="F207" s="20" t="s">
        <v>148</v>
      </c>
      <c r="G207" s="20">
        <v>75</v>
      </c>
      <c r="H207" s="24">
        <v>3000</v>
      </c>
      <c r="I207" s="15"/>
      <c r="J207" s="15"/>
      <c r="K207" s="14">
        <f>IF(+J207/(IF(I207&gt;0,I207,0.0000001))*0.75&gt;3000,+I207*3000,+J207*G207/100)</f>
        <v>0</v>
      </c>
      <c r="L207" s="26"/>
      <c r="M207" s="28"/>
      <c r="N207" s="26"/>
      <c r="O207" s="28"/>
      <c r="P207" s="26"/>
      <c r="Q207" s="31"/>
      <c r="R207" s="26"/>
      <c r="S207" s="26"/>
    </row>
    <row r="208" spans="1:19" ht="15">
      <c r="A208" s="20">
        <v>572</v>
      </c>
      <c r="B208" s="5" t="s">
        <v>192</v>
      </c>
      <c r="C208" s="6"/>
      <c r="D208" s="5"/>
      <c r="E208" s="5"/>
      <c r="F208" s="20" t="s">
        <v>144</v>
      </c>
      <c r="G208" s="20">
        <v>75</v>
      </c>
      <c r="H208" s="24">
        <v>2700</v>
      </c>
      <c r="I208" s="33"/>
      <c r="J208" s="15"/>
      <c r="K208" s="14">
        <f>IF(+J208/(IF(I208&gt;0,I208,0.0000001))*0.75&gt;2700,+I208*2700,+J208*G208/100)</f>
        <v>0</v>
      </c>
      <c r="L208" s="26"/>
      <c r="M208" s="28"/>
      <c r="N208" s="26"/>
      <c r="O208" s="28"/>
      <c r="P208" s="26"/>
      <c r="Q208" s="31"/>
      <c r="R208" s="26"/>
      <c r="S208" s="26"/>
    </row>
    <row r="209" spans="1:19" ht="15">
      <c r="A209" s="20">
        <v>574</v>
      </c>
      <c r="B209" s="5" t="s">
        <v>193</v>
      </c>
      <c r="C209" s="6"/>
      <c r="D209" s="5"/>
      <c r="E209" s="5"/>
      <c r="F209" s="20" t="s">
        <v>148</v>
      </c>
      <c r="G209" s="20">
        <v>75</v>
      </c>
      <c r="H209" s="24">
        <v>2000</v>
      </c>
      <c r="I209" s="15"/>
      <c r="J209" s="15"/>
      <c r="K209" s="14">
        <f>IF(+J209/(IF(I209&gt;0,I209,0.0000001))*0.75&gt;2000,+I209*2000,+J209*G209/100)</f>
        <v>0</v>
      </c>
      <c r="L209" s="26"/>
      <c r="M209" s="28"/>
      <c r="N209" s="26"/>
      <c r="O209" s="28"/>
      <c r="P209" s="26"/>
      <c r="Q209" s="31"/>
      <c r="R209" s="26"/>
      <c r="S209" s="26"/>
    </row>
    <row r="210" spans="1:19" ht="15">
      <c r="A210" s="20">
        <v>580</v>
      </c>
      <c r="B210" s="5" t="s">
        <v>194</v>
      </c>
      <c r="C210" s="6"/>
      <c r="D210" s="5"/>
      <c r="E210" s="5"/>
      <c r="F210" s="20" t="s">
        <v>141</v>
      </c>
      <c r="G210" s="20">
        <v>75</v>
      </c>
      <c r="H210" s="24">
        <v>50</v>
      </c>
      <c r="I210" s="15"/>
      <c r="J210" s="15"/>
      <c r="K210" s="14">
        <f>IF(+J210/(IF(I210&gt;0,I210,0.0000001))*0.75&gt;50,+I210*50,+J210*G210/100)</f>
        <v>0</v>
      </c>
      <c r="L210" s="26"/>
      <c r="M210" s="28"/>
      <c r="N210" s="26"/>
      <c r="O210" s="28"/>
      <c r="P210" s="26"/>
      <c r="Q210" s="31"/>
      <c r="R210" s="26"/>
      <c r="S210" s="26"/>
    </row>
    <row r="211" spans="1:19" ht="15">
      <c r="A211" s="20">
        <v>584</v>
      </c>
      <c r="B211" s="5" t="s">
        <v>195</v>
      </c>
      <c r="C211" s="6"/>
      <c r="D211" s="5"/>
      <c r="E211" s="5"/>
      <c r="F211" s="20" t="s">
        <v>141</v>
      </c>
      <c r="G211" s="20">
        <v>75</v>
      </c>
      <c r="H211" s="24">
        <v>25</v>
      </c>
      <c r="I211" s="15"/>
      <c r="J211" s="15"/>
      <c r="K211" s="14">
        <f>IF(+J211/(IF(I211&gt;0,I211,0.0000001))*0.75&gt;25,+I211*25,+J211*G211/100)</f>
        <v>0</v>
      </c>
      <c r="L211" s="26"/>
      <c r="M211" s="28"/>
      <c r="N211" s="26"/>
      <c r="O211" s="28"/>
      <c r="P211" s="26"/>
      <c r="Q211" s="31"/>
      <c r="R211" s="26"/>
      <c r="S211" s="26"/>
    </row>
    <row r="212" spans="1:19" ht="15">
      <c r="A212" s="20">
        <v>585</v>
      </c>
      <c r="B212" s="5" t="s">
        <v>196</v>
      </c>
      <c r="C212" s="6"/>
      <c r="D212" s="5"/>
      <c r="E212" s="5"/>
      <c r="F212" s="20" t="s">
        <v>144</v>
      </c>
      <c r="G212" s="20" t="s">
        <v>151</v>
      </c>
      <c r="H212" s="25">
        <v>13.5</v>
      </c>
      <c r="I212" s="33"/>
      <c r="J212" s="17"/>
      <c r="K212" s="16">
        <f>+I212*H212</f>
        <v>0</v>
      </c>
      <c r="L212" s="26"/>
      <c r="M212" s="32"/>
      <c r="N212" s="26"/>
      <c r="O212" s="32"/>
      <c r="P212" s="26"/>
      <c r="Q212" s="31"/>
      <c r="R212" s="26"/>
      <c r="S212" s="26"/>
    </row>
    <row r="213" spans="1:19" ht="15">
      <c r="A213" s="20">
        <v>587</v>
      </c>
      <c r="B213" s="5" t="s">
        <v>197</v>
      </c>
      <c r="C213" s="6"/>
      <c r="D213" s="5"/>
      <c r="E213" s="5"/>
      <c r="F213" s="20" t="s">
        <v>148</v>
      </c>
      <c r="G213" s="20">
        <v>75</v>
      </c>
      <c r="H213" s="24">
        <v>20000</v>
      </c>
      <c r="I213" s="15"/>
      <c r="J213" s="15"/>
      <c r="K213" s="14">
        <f>IF(+J213/(IF(I213&gt;0,I213,0.0000001))*0.75&gt;20000,+I213*20000,+J213*G213/100)</f>
        <v>0</v>
      </c>
      <c r="L213" s="26"/>
      <c r="M213" s="28"/>
      <c r="N213" s="26"/>
      <c r="O213" s="28"/>
      <c r="P213" s="26"/>
      <c r="Q213" s="31"/>
      <c r="R213" s="26"/>
      <c r="S213" s="26"/>
    </row>
    <row r="214" spans="1:19" ht="15">
      <c r="A214" s="20">
        <v>606</v>
      </c>
      <c r="B214" s="5" t="s">
        <v>198</v>
      </c>
      <c r="C214" s="6"/>
      <c r="D214" s="5"/>
      <c r="E214" s="5"/>
      <c r="F214" s="20" t="s">
        <v>141</v>
      </c>
      <c r="G214" s="20">
        <v>75</v>
      </c>
      <c r="H214" s="24">
        <v>3</v>
      </c>
      <c r="I214" s="15"/>
      <c r="J214" s="15"/>
      <c r="K214" s="14">
        <f>IF(+J214/(IF(I214&gt;0,I214,0.0000001))*0.75&gt;3,+I214*3,+J214*G214/100)</f>
        <v>0</v>
      </c>
      <c r="L214" s="26"/>
      <c r="M214" s="28"/>
      <c r="N214" s="26"/>
      <c r="O214" s="28"/>
      <c r="P214" s="26"/>
      <c r="Q214" s="31"/>
      <c r="R214" s="26"/>
      <c r="S214" s="26"/>
    </row>
    <row r="215" spans="1:19" ht="15">
      <c r="A215" s="20">
        <v>600</v>
      </c>
      <c r="B215" s="5" t="s">
        <v>199</v>
      </c>
      <c r="C215" s="6"/>
      <c r="D215" s="5"/>
      <c r="E215" s="5"/>
      <c r="F215" s="20" t="s">
        <v>141</v>
      </c>
      <c r="G215" s="20">
        <v>75</v>
      </c>
      <c r="H215" s="24">
        <v>3</v>
      </c>
      <c r="I215" s="15"/>
      <c r="J215" s="15"/>
      <c r="K215" s="14">
        <f>IF(+J215/(IF(I215&gt;0,I215,0.0000001))*0.75&gt;3,+I215*3,+J215*G215/100)</f>
        <v>0</v>
      </c>
      <c r="L215" s="26"/>
      <c r="M215" s="28"/>
      <c r="N215" s="26"/>
      <c r="O215" s="28"/>
      <c r="P215" s="26"/>
      <c r="Q215" s="31"/>
      <c r="R215" s="26"/>
      <c r="S215" s="26"/>
    </row>
    <row r="216" spans="1:19" ht="15">
      <c r="A216" s="20">
        <v>660</v>
      </c>
      <c r="B216" s="5" t="s">
        <v>200</v>
      </c>
      <c r="C216" s="6"/>
      <c r="D216" s="5"/>
      <c r="E216" s="5"/>
      <c r="F216" s="20" t="s">
        <v>144</v>
      </c>
      <c r="G216" s="20">
        <v>65</v>
      </c>
      <c r="H216" s="24">
        <v>130</v>
      </c>
      <c r="I216" s="33"/>
      <c r="J216" s="15"/>
      <c r="K216" s="14">
        <f>IF(+J216/(IF(I216&gt;0,I216,0.0000001))*0.65&gt;130,+I216*130,+J216*G216/100)</f>
        <v>0</v>
      </c>
      <c r="L216" s="26"/>
      <c r="M216" s="28"/>
      <c r="N216" s="26"/>
      <c r="O216" s="28"/>
      <c r="P216" s="26"/>
      <c r="Q216" s="31"/>
      <c r="R216" s="26"/>
      <c r="S216" s="26"/>
    </row>
    <row r="217" spans="1:19" ht="15">
      <c r="A217" s="20">
        <v>612</v>
      </c>
      <c r="B217" s="5" t="s">
        <v>201</v>
      </c>
      <c r="C217" s="6"/>
      <c r="D217" s="5"/>
      <c r="E217" s="5"/>
      <c r="F217" s="20" t="s">
        <v>144</v>
      </c>
      <c r="G217" s="20">
        <v>65</v>
      </c>
      <c r="H217" s="24">
        <v>350</v>
      </c>
      <c r="I217" s="33"/>
      <c r="J217" s="15"/>
      <c r="K217" s="14">
        <f>IF(+J217/(IF(I217&gt;0,I217,0.0000001))*0.65&gt;350,+I217*350,+J217*G217/100)</f>
        <v>0</v>
      </c>
      <c r="L217" s="26"/>
      <c r="M217" s="28"/>
      <c r="N217" s="26"/>
      <c r="O217" s="28"/>
      <c r="P217" s="26"/>
      <c r="Q217" s="31"/>
      <c r="R217" s="26"/>
      <c r="S217" s="26"/>
    </row>
    <row r="218" spans="1:19" ht="15">
      <c r="A218" s="20">
        <v>620</v>
      </c>
      <c r="B218" s="5" t="s">
        <v>202</v>
      </c>
      <c r="C218" s="6"/>
      <c r="D218" s="5"/>
      <c r="E218" s="5"/>
      <c r="F218" s="20" t="s">
        <v>141</v>
      </c>
      <c r="G218" s="20">
        <v>75</v>
      </c>
      <c r="H218" s="24">
        <v>6</v>
      </c>
      <c r="I218" s="15"/>
      <c r="J218" s="15"/>
      <c r="K218" s="14">
        <f>IF(+J218/(IF(I218&gt;0,I218,0.0000001))*0.75&gt;6,+I218*6,+J218*G218/100)</f>
        <v>0</v>
      </c>
      <c r="L218" s="26"/>
      <c r="M218" s="28"/>
      <c r="N218" s="26"/>
      <c r="O218" s="28"/>
      <c r="P218" s="26"/>
      <c r="Q218" s="31"/>
      <c r="R218" s="26"/>
      <c r="S218" s="26"/>
    </row>
    <row r="219" spans="1:19" ht="15">
      <c r="A219" s="20">
        <v>472</v>
      </c>
      <c r="B219" s="5" t="s">
        <v>203</v>
      </c>
      <c r="C219" s="6"/>
      <c r="D219" s="5"/>
      <c r="E219" s="5"/>
      <c r="F219" s="20" t="s">
        <v>144</v>
      </c>
      <c r="G219" s="20" t="s">
        <v>151</v>
      </c>
      <c r="H219" s="24">
        <v>10</v>
      </c>
      <c r="I219" s="33"/>
      <c r="J219" s="5"/>
      <c r="K219" s="16">
        <f>IF(+I219*H219&gt;2000,2000,+I219*H219)</f>
        <v>0</v>
      </c>
      <c r="L219" s="26"/>
      <c r="M219" s="28"/>
      <c r="N219" s="26"/>
      <c r="O219" s="28"/>
      <c r="P219" s="26"/>
      <c r="Q219" s="31"/>
      <c r="R219" s="26"/>
      <c r="S219" s="26"/>
    </row>
    <row r="220" spans="1:19" ht="15">
      <c r="A220" s="20">
        <v>313</v>
      </c>
      <c r="B220" s="5" t="s">
        <v>204</v>
      </c>
      <c r="C220" s="6"/>
      <c r="D220" s="5"/>
      <c r="E220" s="5"/>
      <c r="F220" s="20" t="s">
        <v>148</v>
      </c>
      <c r="G220" s="20">
        <v>70</v>
      </c>
      <c r="H220" s="24">
        <v>75000</v>
      </c>
      <c r="I220" s="15"/>
      <c r="J220" s="15"/>
      <c r="K220" s="14">
        <f>IF(+J220*G220/100&lt;75000.01,+J220*G220/100,75000)</f>
        <v>0</v>
      </c>
      <c r="L220" s="26"/>
      <c r="M220" s="28"/>
      <c r="N220" s="26"/>
      <c r="O220" s="28"/>
      <c r="P220" s="26"/>
      <c r="Q220" s="31"/>
      <c r="R220" s="26"/>
      <c r="S220" s="26"/>
    </row>
    <row r="221" spans="1:19" ht="15">
      <c r="A221" s="20">
        <v>638</v>
      </c>
      <c r="B221" s="5" t="s">
        <v>205</v>
      </c>
      <c r="C221" s="6"/>
      <c r="D221" s="5"/>
      <c r="E221" s="5"/>
      <c r="F221" s="20" t="s">
        <v>148</v>
      </c>
      <c r="G221" s="20">
        <v>75</v>
      </c>
      <c r="H221" s="24">
        <v>5000</v>
      </c>
      <c r="I221" s="15"/>
      <c r="J221" s="15"/>
      <c r="K221" s="14">
        <f>IF(+J221/(IF(I221&gt;0,I221,0.0000001))*0.75&gt;5000,+I221*5000,+J221*G221/100)</f>
        <v>0</v>
      </c>
      <c r="L221" s="26"/>
      <c r="M221" s="28"/>
      <c r="N221" s="26"/>
      <c r="O221" s="28"/>
      <c r="P221" s="26"/>
      <c r="Q221" s="31"/>
      <c r="R221" s="26"/>
      <c r="S221" s="26"/>
    </row>
    <row r="222" spans="1:19" ht="15">
      <c r="A222" s="20">
        <v>614</v>
      </c>
      <c r="B222" s="5" t="s">
        <v>206</v>
      </c>
      <c r="C222" s="6"/>
      <c r="D222" s="5"/>
      <c r="E222" s="5"/>
      <c r="F222" s="20" t="s">
        <v>148</v>
      </c>
      <c r="G222" s="20">
        <v>75</v>
      </c>
      <c r="H222" s="24">
        <v>150</v>
      </c>
      <c r="I222" s="15"/>
      <c r="J222" s="15"/>
      <c r="K222" s="14">
        <f>IF(+J222/(IF(I222&gt;0,I222,0.0000001))*0.75&gt;150,+I222*150,+J222*G222/100)</f>
        <v>0</v>
      </c>
      <c r="L222" s="26"/>
      <c r="M222" s="28"/>
      <c r="N222" s="26"/>
      <c r="O222" s="28"/>
      <c r="P222" s="26"/>
      <c r="Q222" s="31"/>
      <c r="R222" s="26"/>
      <c r="S222" s="26"/>
    </row>
    <row r="223" spans="1:19" ht="15">
      <c r="A223" s="20">
        <v>642</v>
      </c>
      <c r="B223" s="5" t="s">
        <v>207</v>
      </c>
      <c r="C223" s="6"/>
      <c r="D223" s="5"/>
      <c r="E223" s="5"/>
      <c r="F223" s="20" t="s">
        <v>148</v>
      </c>
      <c r="G223" s="20">
        <v>75</v>
      </c>
      <c r="H223" s="24">
        <v>2000</v>
      </c>
      <c r="I223" s="15"/>
      <c r="J223" s="15"/>
      <c r="K223" s="14">
        <f>IF(+J223/(IF(I223&gt;0,I223,0.0000001))*0.75&gt;2000,+I223*2000,+J223*G223/100)</f>
        <v>0</v>
      </c>
      <c r="L223" s="26"/>
      <c r="M223" s="28"/>
      <c r="N223" s="26"/>
      <c r="O223" s="28"/>
      <c r="P223" s="26"/>
      <c r="Q223" s="31"/>
      <c r="R223" s="26"/>
      <c r="S223" s="26"/>
    </row>
    <row r="224" spans="1:19" ht="15">
      <c r="A224" s="20">
        <v>351</v>
      </c>
      <c r="B224" s="5" t="s">
        <v>208</v>
      </c>
      <c r="C224" s="6"/>
      <c r="D224" s="5"/>
      <c r="E224" s="5"/>
      <c r="F224" s="20" t="s">
        <v>148</v>
      </c>
      <c r="G224" s="20">
        <v>75</v>
      </c>
      <c r="H224" s="24">
        <v>2000</v>
      </c>
      <c r="I224" s="15"/>
      <c r="J224" s="15"/>
      <c r="K224" s="14">
        <f>IF(+J224/(IF(I224&gt;0,I224,0.0000001))*0.75&gt;2000,+I224*2000,+J224*G224/100)</f>
        <v>0</v>
      </c>
      <c r="L224" s="26"/>
      <c r="M224" s="28"/>
      <c r="N224" s="26"/>
      <c r="O224" s="28"/>
      <c r="P224" s="26"/>
      <c r="Q224" s="31"/>
      <c r="R224" s="26"/>
      <c r="S224" s="26"/>
    </row>
    <row r="225" spans="1:19" ht="15">
      <c r="A225" s="20">
        <v>380</v>
      </c>
      <c r="B225" s="5" t="s">
        <v>209</v>
      </c>
      <c r="C225" s="6"/>
      <c r="D225" s="5"/>
      <c r="E225" s="5"/>
      <c r="F225" s="20" t="s">
        <v>141</v>
      </c>
      <c r="G225" s="20">
        <v>75</v>
      </c>
      <c r="H225" s="24">
        <v>1</v>
      </c>
      <c r="I225" s="15"/>
      <c r="J225" s="15"/>
      <c r="K225" s="14">
        <f>IF(+J225/(IF(I225&gt;0,I225,0.0000001))*0.75&gt;1,+I225*1,+J225*G225/100)</f>
        <v>0</v>
      </c>
      <c r="L225" s="26"/>
      <c r="M225" s="28"/>
      <c r="N225" s="26"/>
      <c r="O225" s="28"/>
      <c r="P225" s="26"/>
      <c r="Q225" s="31"/>
      <c r="R225" s="26"/>
      <c r="S225" s="26"/>
    </row>
    <row r="226" spans="1:19" ht="15">
      <c r="A226" s="20">
        <v>650</v>
      </c>
      <c r="B226" s="5" t="s">
        <v>210</v>
      </c>
      <c r="C226" s="6"/>
      <c r="D226" s="5"/>
      <c r="E226" s="5"/>
      <c r="F226" s="20" t="s">
        <v>144</v>
      </c>
      <c r="G226" s="20">
        <v>75</v>
      </c>
      <c r="H226" s="24">
        <v>200</v>
      </c>
      <c r="I226" s="33"/>
      <c r="J226" s="15"/>
      <c r="K226" s="14">
        <f>IF(+J226/(IF(I226&gt;0,I226,0.0000001))*0.75&gt;200,+I226*200,+J226*G226/100)</f>
        <v>0</v>
      </c>
      <c r="L226" s="26"/>
      <c r="M226" s="28"/>
      <c r="N226" s="26"/>
      <c r="O226" s="28"/>
      <c r="P226" s="26"/>
      <c r="Q226" s="31"/>
      <c r="R226" s="26"/>
      <c r="S226" s="26"/>
    </row>
    <row r="227" spans="1:19" ht="15">
      <c r="A227" s="21"/>
      <c r="B227" s="7"/>
      <c r="C227" s="7"/>
      <c r="D227" s="7"/>
      <c r="E227" s="10" t="s">
        <v>211</v>
      </c>
      <c r="F227" s="7"/>
      <c r="G227" s="7"/>
      <c r="H227" s="7"/>
      <c r="I227" s="7"/>
      <c r="J227" s="7"/>
      <c r="K227" s="18">
        <f>SUM(K168:K226)</f>
        <v>0</v>
      </c>
      <c r="L227" s="26"/>
      <c r="M227" s="31"/>
      <c r="N227" s="26"/>
      <c r="O227" s="31"/>
      <c r="P227" s="26"/>
      <c r="Q227" s="31"/>
      <c r="R227" s="26"/>
      <c r="S227" s="26"/>
    </row>
    <row r="228" spans="1:19" ht="15">
      <c r="A228" s="22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31"/>
      <c r="M228" s="31"/>
      <c r="N228" s="31"/>
      <c r="O228" s="31"/>
      <c r="P228" s="31"/>
      <c r="Q228" s="31"/>
      <c r="R228" s="26"/>
      <c r="S228" s="26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</sheetData>
  <mergeCells count="230">
    <mergeCell ref="A158:I158"/>
    <mergeCell ref="A157:I157"/>
    <mergeCell ref="A28:I29"/>
    <mergeCell ref="A39:I39"/>
    <mergeCell ref="A115:I116"/>
    <mergeCell ref="A101:G101"/>
    <mergeCell ref="A97:G97"/>
    <mergeCell ref="A98:G98"/>
    <mergeCell ref="A99:G99"/>
    <mergeCell ref="A100:G100"/>
    <mergeCell ref="A93:G93"/>
    <mergeCell ref="A94:G94"/>
    <mergeCell ref="A95:G95"/>
    <mergeCell ref="A96:G96"/>
    <mergeCell ref="A89:G89"/>
    <mergeCell ref="A90:G90"/>
    <mergeCell ref="A91:G91"/>
    <mergeCell ref="A92:G92"/>
    <mergeCell ref="A85:G85"/>
    <mergeCell ref="A86:G86"/>
    <mergeCell ref="A87:G87"/>
    <mergeCell ref="A88:G88"/>
    <mergeCell ref="A81:G81"/>
    <mergeCell ref="A82:G82"/>
    <mergeCell ref="A83:G83"/>
    <mergeCell ref="A84:G84"/>
    <mergeCell ref="B76:G76"/>
    <mergeCell ref="A77:I77"/>
    <mergeCell ref="A78:I78"/>
    <mergeCell ref="A80:G80"/>
    <mergeCell ref="A79:I79"/>
    <mergeCell ref="H80:I80"/>
    <mergeCell ref="A71:I71"/>
    <mergeCell ref="B73:I73"/>
    <mergeCell ref="C74:H74"/>
    <mergeCell ref="C75:H75"/>
    <mergeCell ref="A72:I72"/>
    <mergeCell ref="A67:I67"/>
    <mergeCell ref="B68:F68"/>
    <mergeCell ref="A69:I69"/>
    <mergeCell ref="A64:G64"/>
    <mergeCell ref="A65:G65"/>
    <mergeCell ref="G66:I66"/>
    <mergeCell ref="B66:E66"/>
    <mergeCell ref="H64:I64"/>
    <mergeCell ref="H65:I65"/>
    <mergeCell ref="A62:I62"/>
    <mergeCell ref="A63:G63"/>
    <mergeCell ref="A58:H58"/>
    <mergeCell ref="A59:H59"/>
    <mergeCell ref="A60:I60"/>
    <mergeCell ref="H63:I63"/>
    <mergeCell ref="A32:I32"/>
    <mergeCell ref="A31:I31"/>
    <mergeCell ref="A33:I33"/>
    <mergeCell ref="B61:G61"/>
    <mergeCell ref="A35:I35"/>
    <mergeCell ref="A37:I37"/>
    <mergeCell ref="A40:I40"/>
    <mergeCell ref="A41:I41"/>
    <mergeCell ref="B42:E42"/>
    <mergeCell ref="A36:I36"/>
    <mergeCell ref="A24:I24"/>
    <mergeCell ref="C21:I21"/>
    <mergeCell ref="A27:D27"/>
    <mergeCell ref="A30:I30"/>
    <mergeCell ref="C22:I22"/>
    <mergeCell ref="A25:I25"/>
    <mergeCell ref="A23:B23"/>
    <mergeCell ref="A3:B3"/>
    <mergeCell ref="G3:I6"/>
    <mergeCell ref="A1:I1"/>
    <mergeCell ref="A5:B5"/>
    <mergeCell ref="A2:I2"/>
    <mergeCell ref="C5:F5"/>
    <mergeCell ref="C3:F3"/>
    <mergeCell ref="A4:F4"/>
    <mergeCell ref="A6:F6"/>
    <mergeCell ref="A7:I8"/>
    <mergeCell ref="A9:I9"/>
    <mergeCell ref="A16:B16"/>
    <mergeCell ref="A10:I10"/>
    <mergeCell ref="A12:I14"/>
    <mergeCell ref="A11:I11"/>
    <mergeCell ref="C17:I17"/>
    <mergeCell ref="A17:B17"/>
    <mergeCell ref="A15:I15"/>
    <mergeCell ref="C16:I16"/>
    <mergeCell ref="C18:I18"/>
    <mergeCell ref="C19:I19"/>
    <mergeCell ref="C23:I23"/>
    <mergeCell ref="A21:B21"/>
    <mergeCell ref="A20:B20"/>
    <mergeCell ref="C20:I20"/>
    <mergeCell ref="A18:B18"/>
    <mergeCell ref="A19:B19"/>
    <mergeCell ref="B38:C38"/>
    <mergeCell ref="E38:F38"/>
    <mergeCell ref="B43:E43"/>
    <mergeCell ref="B44:E44"/>
    <mergeCell ref="B45:E45"/>
    <mergeCell ref="A46:I46"/>
    <mergeCell ref="F51:H51"/>
    <mergeCell ref="A52:I52"/>
    <mergeCell ref="A53:I53"/>
    <mergeCell ref="A47:I47"/>
    <mergeCell ref="B48:E48"/>
    <mergeCell ref="B49:E49"/>
    <mergeCell ref="B50:E50"/>
    <mergeCell ref="F50:G50"/>
    <mergeCell ref="F49:G49"/>
    <mergeCell ref="A55:H55"/>
    <mergeCell ref="A54:I54"/>
    <mergeCell ref="A56:H56"/>
    <mergeCell ref="A57:H57"/>
    <mergeCell ref="A103:I103"/>
    <mergeCell ref="A102:I102"/>
    <mergeCell ref="A105:G105"/>
    <mergeCell ref="A106:G106"/>
    <mergeCell ref="A104:I104"/>
    <mergeCell ref="A107:G107"/>
    <mergeCell ref="A108:G108"/>
    <mergeCell ref="A109:G109"/>
    <mergeCell ref="A111:G111"/>
    <mergeCell ref="A110:G110"/>
    <mergeCell ref="A112:G112"/>
    <mergeCell ref="A113:G113"/>
    <mergeCell ref="A114:G114"/>
    <mergeCell ref="A117:I117"/>
    <mergeCell ref="H112:I112"/>
    <mergeCell ref="H113:I113"/>
    <mergeCell ref="H114:I114"/>
    <mergeCell ref="A124:G124"/>
    <mergeCell ref="A125:G125"/>
    <mergeCell ref="A118:G118"/>
    <mergeCell ref="A119:G119"/>
    <mergeCell ref="A120:G120"/>
    <mergeCell ref="A121:G121"/>
    <mergeCell ref="A70:I70"/>
    <mergeCell ref="A131:I131"/>
    <mergeCell ref="A132:G132"/>
    <mergeCell ref="A126:G126"/>
    <mergeCell ref="B127:F127"/>
    <mergeCell ref="A129:I129"/>
    <mergeCell ref="A122:G122"/>
    <mergeCell ref="A123:G123"/>
    <mergeCell ref="H118:I118"/>
    <mergeCell ref="H119:I119"/>
    <mergeCell ref="A139:G139"/>
    <mergeCell ref="A140:G140"/>
    <mergeCell ref="A133:G133"/>
    <mergeCell ref="A134:G134"/>
    <mergeCell ref="A135:G135"/>
    <mergeCell ref="A136:G136"/>
    <mergeCell ref="B145:F145"/>
    <mergeCell ref="A130:I130"/>
    <mergeCell ref="A128:I128"/>
    <mergeCell ref="A141:G141"/>
    <mergeCell ref="A142:G142"/>
    <mergeCell ref="A143:G143"/>
    <mergeCell ref="A144:G144"/>
    <mergeCell ref="A137:G137"/>
    <mergeCell ref="A138:G138"/>
    <mergeCell ref="H132:I132"/>
    <mergeCell ref="A146:I146"/>
    <mergeCell ref="A147:I147"/>
    <mergeCell ref="A148:I148"/>
    <mergeCell ref="A150:G150"/>
    <mergeCell ref="A156:I156"/>
    <mergeCell ref="A154:I154"/>
    <mergeCell ref="B155:F155"/>
    <mergeCell ref="A151:G151"/>
    <mergeCell ref="A152:G152"/>
    <mergeCell ref="A153:G153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20:I120"/>
    <mergeCell ref="H121:I121"/>
    <mergeCell ref="H122:I122"/>
    <mergeCell ref="H123:I123"/>
    <mergeCell ref="H124:I124"/>
    <mergeCell ref="H125:I125"/>
    <mergeCell ref="H126:I126"/>
    <mergeCell ref="H105:I105"/>
    <mergeCell ref="H106:I106"/>
    <mergeCell ref="H107:I107"/>
    <mergeCell ref="H108:I108"/>
    <mergeCell ref="H109:I109"/>
    <mergeCell ref="H110:I110"/>
    <mergeCell ref="H111:I111"/>
    <mergeCell ref="H87:I87"/>
    <mergeCell ref="H88:I88"/>
    <mergeCell ref="H81:I81"/>
    <mergeCell ref="H82:I82"/>
    <mergeCell ref="H83:I83"/>
    <mergeCell ref="H84:I84"/>
    <mergeCell ref="H85:I85"/>
    <mergeCell ref="H86:I86"/>
    <mergeCell ref="H100:I100"/>
    <mergeCell ref="H93:I93"/>
    <mergeCell ref="H95:I95"/>
    <mergeCell ref="H94:I94"/>
    <mergeCell ref="H96:I96"/>
    <mergeCell ref="H97:I97"/>
    <mergeCell ref="H98:I98"/>
    <mergeCell ref="H99:I99"/>
    <mergeCell ref="H89:I89"/>
    <mergeCell ref="H91:I91"/>
    <mergeCell ref="H90:I90"/>
    <mergeCell ref="H92:I92"/>
    <mergeCell ref="A34:E34"/>
    <mergeCell ref="H101:I101"/>
    <mergeCell ref="A22:B22"/>
    <mergeCell ref="A160:G160"/>
    <mergeCell ref="A159:G159"/>
    <mergeCell ref="F43:G43"/>
    <mergeCell ref="F42:G42"/>
    <mergeCell ref="F44:G44"/>
    <mergeCell ref="F45:G45"/>
    <mergeCell ref="F48:G48"/>
  </mergeCells>
  <printOptions gridLines="1"/>
  <pageMargins left="0.75" right="0.75" top="0.75" bottom="0.75" header="0.5" footer="0.5"/>
  <pageSetup fitToHeight="5" horizontalDpi="300" verticalDpi="300" orientation="portrait" scale="85" r:id="rId1"/>
  <rowBreaks count="4" manualBreakCount="4">
    <brk id="51" max="10" man="1"/>
    <brk id="101" max="10" man="1"/>
    <brk id="157" max="10" man="1"/>
    <brk id="2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County Wi.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Schmitz</dc:creator>
  <cp:keywords/>
  <dc:description/>
  <cp:lastModifiedBy>jan whitcomb</cp:lastModifiedBy>
  <cp:lastPrinted>2003-02-13T17:43:11Z</cp:lastPrinted>
  <dcterms:created xsi:type="dcterms:W3CDTF">2002-11-14T14:06:16Z</dcterms:created>
  <dcterms:modified xsi:type="dcterms:W3CDTF">2003-02-06T21:00:27Z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