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8370" windowHeight="4995" activeTab="0"/>
  </bookViews>
  <sheets>
    <sheet name="off_gravel" sheetId="1" r:id="rId1"/>
    <sheet name="off_dirt" sheetId="2" r:id="rId2"/>
    <sheet name="on_dirt" sheetId="3" r:id="rId3"/>
    <sheet name="Paved" sheetId="4" r:id="rId4"/>
    <sheet name="construction" sheetId="5" r:id="rId5"/>
    <sheet name="erosion" sheetId="6" r:id="rId6"/>
    <sheet name="total" sheetId="7" r:id="rId7"/>
  </sheets>
  <definedNames/>
  <calcPr fullCalcOnLoad="1"/>
</workbook>
</file>

<file path=xl/sharedStrings.xml><?xml version="1.0" encoding="utf-8"?>
<sst xmlns="http://schemas.openxmlformats.org/spreadsheetml/2006/main" count="712" uniqueCount="295">
  <si>
    <t>where   E               =   size specific emission factor, pounds/vehical mile traveled (lbs/VMT)</t>
  </si>
  <si>
    <t xml:space="preserve">            k, a, b, c    =   empirical constants based on particle size (see table below) </t>
  </si>
  <si>
    <r>
      <t xml:space="preserve">            E</t>
    </r>
    <r>
      <rPr>
        <vertAlign val="subscript"/>
        <sz val="10"/>
        <rFont val="Arial"/>
        <family val="2"/>
      </rPr>
      <t>ext</t>
    </r>
    <r>
      <rPr>
        <sz val="10"/>
        <rFont val="Arial"/>
        <family val="0"/>
      </rPr>
      <t xml:space="preserve">            =   annual size specific emission factor, uncontrolled except for natural rainfall mitigation (lbs/VMT)</t>
    </r>
  </si>
  <si>
    <t xml:space="preserve">            s                =   surface material silt content (%), default from Table 13.2.2-1 = 6.4% </t>
  </si>
  <si>
    <t xml:space="preserve">           W               =   mean vehical weight of entire fleet traveling the road (tons)</t>
  </si>
  <si>
    <t xml:space="preserve">            M               =   surface material moisture content (%), default for regularly watered roads is 4% </t>
  </si>
  <si>
    <r>
      <t xml:space="preserve">            M</t>
    </r>
    <r>
      <rPr>
        <vertAlign val="subscript"/>
        <sz val="10"/>
        <rFont val="Arial"/>
        <family val="2"/>
      </rPr>
      <t xml:space="preserve">dry </t>
    </r>
    <r>
      <rPr>
        <sz val="10"/>
        <rFont val="Arial"/>
        <family val="0"/>
      </rPr>
      <t xml:space="preserve">           =   surface material moisture content under dry conditions (%), default is 0.2% </t>
    </r>
  </si>
  <si>
    <t xml:space="preserve">            p               =    number of days per year with at least 0.01" of precipitation, default is 60 for entire Bay Area</t>
  </si>
  <si>
    <t>k</t>
  </si>
  <si>
    <t>a</t>
  </si>
  <si>
    <t>b</t>
  </si>
  <si>
    <t>c</t>
  </si>
  <si>
    <t>s</t>
  </si>
  <si>
    <t>W</t>
  </si>
  <si>
    <t>M</t>
  </si>
  <si>
    <t>p</t>
  </si>
  <si>
    <r>
      <t>M</t>
    </r>
    <r>
      <rPr>
        <vertAlign val="subscript"/>
        <sz val="10"/>
        <rFont val="Arial"/>
        <family val="2"/>
      </rPr>
      <t>dry</t>
    </r>
  </si>
  <si>
    <t>PM-2.5</t>
  </si>
  <si>
    <t>PM-10</t>
  </si>
  <si>
    <t>PM-30</t>
  </si>
  <si>
    <t>Vehical Type</t>
  </si>
  <si>
    <t>Empty Wt</t>
  </si>
  <si>
    <t>Load Wt</t>
  </si>
  <si>
    <t>tons</t>
  </si>
  <si>
    <t>Full Wt</t>
  </si>
  <si>
    <t>Trips/Day</t>
  </si>
  <si>
    <t>Average Fleet</t>
  </si>
  <si>
    <t>Avg. Wt.</t>
  </si>
  <si>
    <t># of Round</t>
  </si>
  <si>
    <t>Unpaved Length</t>
  </si>
  <si>
    <t>VMT/Day</t>
  </si>
  <si>
    <t>VMT/Year</t>
  </si>
  <si>
    <t xml:space="preserve">Notes:   </t>
  </si>
  <si>
    <t>Use the tables below to fill in site specific data.  Values in bold text are constants and should not be changed.</t>
  </si>
  <si>
    <t>Table 1.   Variables for Equations 1. &amp; 2.</t>
  </si>
  <si>
    <t>For Table 1., values in red text are default values that should be replaced with site specific data when ever possible.</t>
  </si>
  <si>
    <t xml:space="preserve">For Tables 2. &amp; 3., values in red are examples of data used for one particular site and should be replaced with site specific data. </t>
  </si>
  <si>
    <t>For all tables, values in regular text are calculated values.  These equations should not be changed.</t>
  </si>
  <si>
    <t>Equation 1 above may be used to calculate particulate emissions for unpaved roads that are controlled by regular watering.</t>
  </si>
  <si>
    <t xml:space="preserve">Equation 2 above is used to calculate uncontrolled particulate emissions from unpaved roads. </t>
  </si>
  <si>
    <t>For such watered roads, be sure to input a site-specific moisture content.  The default moisture content (4%) is assumed</t>
  </si>
  <si>
    <t xml:space="preserve">to achieve approximately 75% control of particulate emissions compared to uncontrolled particulate emissions. </t>
  </si>
  <si>
    <t>Equation 1 should not be used for unpaved roads that are chemically stabilized, such as with petroleum resins, MgCl, or CaCl.</t>
  </si>
  <si>
    <t xml:space="preserve">For stabilized roads use Equation 2 and an appropriate control efficiency (80% for petroleum resins or CaCl, 85% for MgCl). </t>
  </si>
  <si>
    <t>To achieve the control efficiencies noted above, minimum application rate is 0.5 gallons/square yard at the manufacturer's</t>
  </si>
  <si>
    <t>recommended concentration (for example, 10% MgCl in water).  Minimum application frequency is 2 times/month for petroleum</t>
  </si>
  <si>
    <t>resin and 1 time/month for MgCl &amp; CaCl.  For the salts, subsequent regular watering is necessary to maintain the high control</t>
  </si>
  <si>
    <t>(b) once every 150 vehical trips, or (c) at the frequency necessary to maintain the moisture content specified in Table 1.</t>
  </si>
  <si>
    <t>Uncontrolled</t>
  </si>
  <si>
    <t>Watered</t>
  </si>
  <si>
    <t>Table 3.   Suggested Control Efficiencies</t>
  </si>
  <si>
    <t>Equation</t>
  </si>
  <si>
    <t>Used</t>
  </si>
  <si>
    <t>2 &amp; CE</t>
  </si>
  <si>
    <t>Annual Emissions (Tons/Year)</t>
  </si>
  <si>
    <t>Operating</t>
  </si>
  <si>
    <t>Time</t>
  </si>
  <si>
    <t>Days/Year</t>
  </si>
  <si>
    <t>Avg. Round Trips</t>
  </si>
  <si>
    <t>Avg. Op.Time</t>
  </si>
  <si>
    <t>Table 4.  Mean Vehical Miles Traveled by Avg Fleet</t>
  </si>
  <si>
    <t xml:space="preserve">            S               =    mean vehicle speed (mph), default and maximum is 15 mph</t>
  </si>
  <si>
    <t>based on AP-42 Chapter 13.2.2, last updated 9/98</t>
  </si>
  <si>
    <t>Equations 1 &amp; 2 over estimate emissions at low speeds.  Per AP-42 page 13.2.2-4, a speed correction factor (S/15) was added to</t>
  </si>
  <si>
    <r>
      <t xml:space="preserve">Equations 1 and 2 to correct for this over estimation, but it may only be used if S </t>
    </r>
    <r>
      <rPr>
        <b/>
        <u val="single"/>
        <sz val="10"/>
        <color indexed="57"/>
        <rFont val="Arial"/>
        <family val="2"/>
      </rPr>
      <t>&lt;</t>
    </r>
    <r>
      <rPr>
        <b/>
        <sz val="10"/>
        <color indexed="57"/>
        <rFont val="Arial"/>
        <family val="2"/>
      </rPr>
      <t xml:space="preserve"> 15 mph.</t>
    </r>
  </si>
  <si>
    <t>For short unpaved road sections (&lt;1 mile) near the working face, using this factor is reasonable because speeds are usually</t>
  </si>
  <si>
    <t>very low due to working face traffic controls and poor manuverability.</t>
  </si>
  <si>
    <r>
      <t>Equation 1:   E       =  [k (s/12)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0"/>
      </rPr>
      <t xml:space="preserve"> (W/3)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0"/>
      </rPr>
      <t>]/[(M/0.2)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0"/>
      </rPr>
      <t>]*(S/15)</t>
    </r>
  </si>
  <si>
    <r>
      <t>Equation 2:   E</t>
    </r>
    <r>
      <rPr>
        <vertAlign val="subscript"/>
        <sz val="10"/>
        <rFont val="Arial"/>
        <family val="2"/>
      </rPr>
      <t>ext</t>
    </r>
    <r>
      <rPr>
        <sz val="10"/>
        <rFont val="Arial"/>
        <family val="0"/>
      </rPr>
      <t xml:space="preserve">    =  [k (s/12)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0"/>
      </rPr>
      <t>(W/3)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0"/>
      </rPr>
      <t>]/[(M</t>
    </r>
    <r>
      <rPr>
        <vertAlign val="subscript"/>
        <sz val="10"/>
        <rFont val="Arial"/>
        <family val="2"/>
      </rPr>
      <t>dry</t>
    </r>
    <r>
      <rPr>
        <sz val="10"/>
        <rFont val="Arial"/>
        <family val="0"/>
      </rPr>
      <t>/0.2)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0"/>
      </rPr>
      <t>]*[(365-p)/365]*(S/15)</t>
    </r>
  </si>
  <si>
    <t>S</t>
  </si>
  <si>
    <t>Adhesives</t>
  </si>
  <si>
    <t xml:space="preserve">       Salts (MgCl &amp; CaCl)</t>
  </si>
  <si>
    <t xml:space="preserve">       Adhesives</t>
  </si>
  <si>
    <t xml:space="preserve">       Asphalt Emulsions</t>
  </si>
  <si>
    <t xml:space="preserve">       Petrolem Resins</t>
  </si>
  <si>
    <t xml:space="preserve">       Water</t>
  </si>
  <si>
    <t>efficiency.  Some suggested watering schedules are: 0.5 gallons/square yard applied at least: (a) once every 3 hours, or</t>
  </si>
  <si>
    <t>Salts</t>
  </si>
  <si>
    <t>Petroleum Resins</t>
  </si>
  <si>
    <t>Asphalt Emulsions</t>
  </si>
  <si>
    <t>Emission Calculations Template for Paved Roads at Landfills</t>
  </si>
  <si>
    <t>based on AP-42 Chapter 13.2.1, last updated 10/97</t>
  </si>
  <si>
    <r>
      <t>Equation 1:   E       =  k (sL/2)</t>
    </r>
    <r>
      <rPr>
        <vertAlign val="superscript"/>
        <sz val="10"/>
        <rFont val="Arial"/>
        <family val="2"/>
      </rPr>
      <t>0.65</t>
    </r>
    <r>
      <rPr>
        <sz val="10"/>
        <rFont val="Arial"/>
        <family val="0"/>
      </rPr>
      <t xml:space="preserve"> (W/3)</t>
    </r>
    <r>
      <rPr>
        <vertAlign val="superscript"/>
        <sz val="10"/>
        <rFont val="Arial"/>
        <family val="2"/>
      </rPr>
      <t>1.5</t>
    </r>
  </si>
  <si>
    <t>where   E       =   size specific emission factor, pounds/vehical mile traveled (lbs/VMT)</t>
  </si>
  <si>
    <r>
      <t xml:space="preserve">            sL     =   road surface silt loading (g/m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), default from Table 13.2.1-3 = 7.4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for MSW Landfills</t>
    </r>
  </si>
  <si>
    <t xml:space="preserve">           W      =   mean vehical weight of entire fleet traveling the road (tons)</t>
  </si>
  <si>
    <t>For Table 1., values in red text are default values that should be replaced with site specific data if available.</t>
  </si>
  <si>
    <t>AP-42 indicates that site specific sL values should be used when mitigation measures (sweeping and watering) are employed.</t>
  </si>
  <si>
    <t>Lacking any site specific data, mitigation measures are assumed to reduce uncontrolled particulate emissions by 50%.</t>
  </si>
  <si>
    <t>Table 1.   Variables for Equations 1.</t>
  </si>
  <si>
    <t>sL</t>
  </si>
  <si>
    <t xml:space="preserve">            k       =   base emission factor for particle size range (lbs/VMT), from Table 13.2.1-1 </t>
  </si>
  <si>
    <t>Table 2.   Suggested Control Efficiency</t>
  </si>
  <si>
    <t>Paved Length</t>
  </si>
  <si>
    <t>Sweeping and/or Watering</t>
  </si>
  <si>
    <t>Mitigation Measure</t>
  </si>
  <si>
    <r>
      <t xml:space="preserve">(W </t>
    </r>
    <r>
      <rPr>
        <sz val="10"/>
        <rFont val="Wingdings 3"/>
        <family val="1"/>
      </rPr>
      <t>=</t>
    </r>
    <r>
      <rPr>
        <sz val="10"/>
        <rFont val="Arial"/>
        <family val="2"/>
      </rPr>
      <t>)</t>
    </r>
  </si>
  <si>
    <t>Table 5.   Paved Road Emissions</t>
  </si>
  <si>
    <t>After Sweeping/Watering</t>
  </si>
  <si>
    <t>roll off box</t>
  </si>
  <si>
    <t>compactor box</t>
  </si>
  <si>
    <t>transfer trucks</t>
  </si>
  <si>
    <t>sludge trucks</t>
  </si>
  <si>
    <t>tanker trucks</t>
  </si>
  <si>
    <t>5 yd3 trucks</t>
  </si>
  <si>
    <t>10 yd3 trucks</t>
  </si>
  <si>
    <t>end dump trucks</t>
  </si>
  <si>
    <t>pick up trucks</t>
  </si>
  <si>
    <t>rear loaders</t>
  </si>
  <si>
    <t>front loaders</t>
  </si>
  <si>
    <t>green waste loaders</t>
  </si>
  <si>
    <t>employee cars</t>
  </si>
  <si>
    <t>employee trucks</t>
  </si>
  <si>
    <t xml:space="preserve">  wt*trips</t>
  </si>
  <si>
    <t>trips/year</t>
  </si>
  <si>
    <t xml:space="preserve">            s                =   surface material silt content (%), default from Table 13.2.2-1 = 11% for dirt roads </t>
  </si>
  <si>
    <t xml:space="preserve">  feet</t>
  </si>
  <si>
    <t xml:space="preserve">  trips/day</t>
  </si>
  <si>
    <t xml:space="preserve">  days/year</t>
  </si>
  <si>
    <t xml:space="preserve">  miles/day</t>
  </si>
  <si>
    <t xml:space="preserve">  miles/year</t>
  </si>
  <si>
    <t>Table 2.  Mean Vehical Fleet Weight (Off-Site Vehicles)</t>
  </si>
  <si>
    <t># of Round Trips</t>
  </si>
  <si>
    <t>Emission Factor (Pounds/VMT)</t>
  </si>
  <si>
    <t>Daily Emissions (Pounds/Day)</t>
  </si>
  <si>
    <t>Emission Calculations for Off-Site Vehicle Travel on Gravel Roads at Redwood Landfill</t>
  </si>
  <si>
    <t>Emission Calculations for Off-Site Vehicle Travel on Dirt Roads at Redwood Landfill</t>
  </si>
  <si>
    <t>Table 5.   Emissions Comparison</t>
  </si>
  <si>
    <t xml:space="preserve">  feet (one way)</t>
  </si>
  <si>
    <t>Emission Calculations for On-Site Vehicle Travel on Dirt Roads at Redwood Landfill</t>
  </si>
  <si>
    <t>Table 2.  Mean Vehical Fleet Weight (On-Site Vehicles)</t>
  </si>
  <si>
    <t>water tanker 1</t>
  </si>
  <si>
    <t>water tanker 2</t>
  </si>
  <si>
    <t>bulldozer d6</t>
  </si>
  <si>
    <t>bulldozer d8</t>
  </si>
  <si>
    <t>bulldoxer d9</t>
  </si>
  <si>
    <t>back hoe</t>
  </si>
  <si>
    <t>road grader</t>
  </si>
  <si>
    <t>dump trucks</t>
  </si>
  <si>
    <t>packers</t>
  </si>
  <si>
    <t>fuel trucks</t>
  </si>
  <si>
    <t>mechanic trucks</t>
  </si>
  <si>
    <t>loader 980</t>
  </si>
  <si>
    <t>loader 650</t>
  </si>
  <si>
    <t>loader wa 600</t>
  </si>
  <si>
    <t>Bulldozing</t>
  </si>
  <si>
    <t>Excavating</t>
  </si>
  <si>
    <t>Dumping</t>
  </si>
  <si>
    <r>
      <t xml:space="preserve">     From 11.9-1 for bulldozing (overburden):  E (lbs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>/hour)  =  0.75 * 1.0 * s^1.5 / M^1.4</t>
    </r>
  </si>
  <si>
    <t>Compacting</t>
  </si>
  <si>
    <t>1.   AP-42 Table 13.2.3-1 recommends using factors derived from Table 11.9-1 for bulldozer activities.</t>
  </si>
  <si>
    <t xml:space="preserve">2.   AP-42 Table 13.2.3-1 recommends using factors derived from Chapter 13.2.4 for dumping activities. </t>
  </si>
  <si>
    <t>waste</t>
  </si>
  <si>
    <t>cover</t>
  </si>
  <si>
    <t>clay/dirt</t>
  </si>
  <si>
    <t>Moisture (M)</t>
  </si>
  <si>
    <t>Silt (s)</t>
  </si>
  <si>
    <t>Materials</t>
  </si>
  <si>
    <t>Pounds/Hour</t>
  </si>
  <si>
    <r>
      <t>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per vehicle</t>
    </r>
  </si>
  <si>
    <r>
      <t xml:space="preserve">     From page 13.2.4-4:   E (lbs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>/ton)  =  0.35 * 0.0032 * [U/5]^1.3 / [M/2]^1.4</t>
    </r>
  </si>
  <si>
    <t>Hours/Day</t>
  </si>
  <si>
    <t>(per vehicle)</t>
  </si>
  <si>
    <t xml:space="preserve">Number of </t>
  </si>
  <si>
    <t>Vehicles</t>
  </si>
  <si>
    <t>Pounds/Day</t>
  </si>
  <si>
    <t>PM10 Emissions</t>
  </si>
  <si>
    <r>
      <t>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Emissions</t>
    </r>
  </si>
  <si>
    <t>Tons/Year</t>
  </si>
  <si>
    <r>
      <t>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Factor</t>
    </r>
  </si>
  <si>
    <t>Pounds/Ton</t>
  </si>
  <si>
    <t>Tons/Day</t>
  </si>
  <si>
    <t>Throughput</t>
  </si>
  <si>
    <t>3.  Silt and moisture contents were taken from Table 13.2.4-1 for materials at MSW Landfills.</t>
  </si>
  <si>
    <t xml:space="preserve">     From the 1994 EIR, the mean wind speed (U) for this site is 6 mph (during summer).</t>
  </si>
  <si>
    <t>Particulate Emissions from Waste Disposal Activities at Redwood Landfill</t>
  </si>
  <si>
    <t>Total Emissions From All Waste Disposal Activities</t>
  </si>
  <si>
    <t>water trucks</t>
  </si>
  <si>
    <t>Basis for Calculations:</t>
  </si>
  <si>
    <t>AP-42 Chapter 13.2.5 Industrial Wind Erosion</t>
  </si>
  <si>
    <t>EF  =</t>
  </si>
  <si>
    <r>
      <t>emission factor,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(EF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is for chronic conditions, EF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is for acute conditions)</t>
    </r>
  </si>
  <si>
    <t>k  =</t>
  </si>
  <si>
    <t>particle size multiplier, dimesionless</t>
  </si>
  <si>
    <t>N  =</t>
  </si>
  <si>
    <t>number of days of disturbances per year</t>
  </si>
  <si>
    <r>
      <t>P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 =</t>
    </r>
  </si>
  <si>
    <r>
      <t>erosion potential for disturbed area,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(Per AP-42, erosion potential is assumed to be 0 between disturbances and for undisturbed areas.)</t>
    </r>
  </si>
  <si>
    <t>u*  =</t>
  </si>
  <si>
    <t>fiction velocity, m/s</t>
  </si>
  <si>
    <r>
      <t>u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*  =</t>
    </r>
  </si>
  <si>
    <t>threshold friction velocity, m/s</t>
  </si>
  <si>
    <r>
      <t>From Table 13.2.5-1, u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* ranges from 0.43 m/s to 1.00 m/s using seive procedure.</t>
    </r>
  </si>
  <si>
    <t>From Table 13.2.5-2, ut* ranges from 0.54 m/s for fine coal dust to 1.33 m/s for roadbed material.</t>
  </si>
  <si>
    <r>
      <t>u</t>
    </r>
    <r>
      <rPr>
        <vertAlign val="subscript"/>
        <sz val="10"/>
        <rFont val="Arial"/>
        <family val="2"/>
      </rPr>
      <t>10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0"/>
      </rPr>
      <t xml:space="preserve">  =</t>
    </r>
  </si>
  <si>
    <t>fastest mile of wind, m/s, at reference anemometer height of 10 m.</t>
  </si>
  <si>
    <t>A  =</t>
  </si>
  <si>
    <r>
      <t>disturbed area, m</t>
    </r>
    <r>
      <rPr>
        <vertAlign val="superscript"/>
        <sz val="10"/>
        <rFont val="Arial"/>
        <family val="2"/>
      </rPr>
      <t>2</t>
    </r>
  </si>
  <si>
    <t>E  =</t>
  </si>
  <si>
    <t>emissions, grams/year</t>
  </si>
  <si>
    <t xml:space="preserve">Equation (1): </t>
  </si>
  <si>
    <r>
      <t>u* =  0.053 * u</t>
    </r>
    <r>
      <rPr>
        <vertAlign val="subscript"/>
        <sz val="10"/>
        <rFont val="Arial"/>
        <family val="2"/>
      </rPr>
      <t>10</t>
    </r>
    <r>
      <rPr>
        <vertAlign val="superscript"/>
        <sz val="10"/>
        <rFont val="Arial"/>
        <family val="2"/>
      </rPr>
      <t>+</t>
    </r>
  </si>
  <si>
    <t xml:space="preserve">Equation (2): </t>
  </si>
  <si>
    <r>
      <t>P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 =  58*(u* - u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*)^2 + 25*(u* - u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*)</t>
    </r>
  </si>
  <si>
    <t xml:space="preserve">                          N</t>
  </si>
  <si>
    <t xml:space="preserve">Equation (3): </t>
  </si>
  <si>
    <r>
      <t xml:space="preserve">EF  =  k * 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 P</t>
    </r>
    <r>
      <rPr>
        <vertAlign val="subscript"/>
        <sz val="10"/>
        <rFont val="Arial"/>
        <family val="2"/>
      </rPr>
      <t>i</t>
    </r>
  </si>
  <si>
    <r>
      <t xml:space="preserve">               </t>
    </r>
    <r>
      <rPr>
        <vertAlign val="superscript"/>
        <sz val="10"/>
        <rFont val="Arial"/>
        <family val="2"/>
      </rPr>
      <t xml:space="preserve"> i=1</t>
    </r>
  </si>
  <si>
    <t>Equation (4):</t>
  </si>
  <si>
    <t>E  =  EF * A</t>
  </si>
  <si>
    <t>Working Face</t>
  </si>
  <si>
    <t>Daily Cover Stockpile</t>
  </si>
  <si>
    <t>Variable</t>
  </si>
  <si>
    <t>Comments:</t>
  </si>
  <si>
    <r>
      <t xml:space="preserve">   u</t>
    </r>
    <r>
      <rPr>
        <vertAlign val="subscript"/>
        <sz val="10"/>
        <rFont val="Arial"/>
        <family val="2"/>
      </rPr>
      <t>10</t>
    </r>
    <r>
      <rPr>
        <vertAlign val="superscript"/>
        <sz val="10"/>
        <rFont val="Arial"/>
        <family val="2"/>
      </rPr>
      <t>+</t>
    </r>
  </si>
  <si>
    <t xml:space="preserve">     u*</t>
  </si>
  <si>
    <t>Calculated using equation (1).</t>
  </si>
  <si>
    <r>
      <t xml:space="preserve">    u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*</t>
    </r>
  </si>
  <si>
    <r>
      <t xml:space="preserve">     P</t>
    </r>
    <r>
      <rPr>
        <vertAlign val="subscript"/>
        <sz val="10"/>
        <rFont val="Arial"/>
        <family val="2"/>
      </rPr>
      <t>i</t>
    </r>
  </si>
  <si>
    <r>
      <t>Calculated using Equation (2).  Note: If u* &lt; u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*, then P</t>
    </r>
    <r>
      <rPr>
        <vertAlign val="subscript"/>
        <sz val="10"/>
        <rFont val="Arial"/>
        <family val="2"/>
      </rPr>
      <t xml:space="preserve">i </t>
    </r>
    <r>
      <rPr>
        <sz val="10"/>
        <rFont val="Arial"/>
        <family val="0"/>
      </rPr>
      <t>= 0.</t>
    </r>
  </si>
  <si>
    <t xml:space="preserve">     N</t>
  </si>
  <si>
    <r>
      <t xml:space="preserve">&lt; 30 </t>
    </r>
    <r>
      <rPr>
        <sz val="10"/>
        <rFont val="Symbol"/>
        <family val="1"/>
      </rPr>
      <t>m</t>
    </r>
    <r>
      <rPr>
        <sz val="10"/>
        <rFont val="Arial"/>
        <family val="0"/>
      </rPr>
      <t>m</t>
    </r>
  </si>
  <si>
    <r>
      <t xml:space="preserve">&lt; 15 </t>
    </r>
    <r>
      <rPr>
        <sz val="10"/>
        <rFont val="Symbol"/>
        <family val="1"/>
      </rPr>
      <t>m</t>
    </r>
    <r>
      <rPr>
        <sz val="10"/>
        <rFont val="Arial"/>
        <family val="0"/>
      </rPr>
      <t>m</t>
    </r>
  </si>
  <si>
    <r>
      <t xml:space="preserve">&lt; 10 </t>
    </r>
    <r>
      <rPr>
        <sz val="10"/>
        <rFont val="Symbol"/>
        <family val="1"/>
      </rPr>
      <t>m</t>
    </r>
    <r>
      <rPr>
        <sz val="10"/>
        <rFont val="Arial"/>
        <family val="0"/>
      </rPr>
      <t>m</t>
    </r>
  </si>
  <si>
    <r>
      <t xml:space="preserve">&lt; 2.5 </t>
    </r>
    <r>
      <rPr>
        <sz val="10"/>
        <rFont val="Symbol"/>
        <family val="1"/>
      </rPr>
      <t>m</t>
    </r>
    <r>
      <rPr>
        <sz val="10"/>
        <rFont val="Arial"/>
        <family val="0"/>
      </rPr>
      <t>m</t>
    </r>
  </si>
  <si>
    <t xml:space="preserve">k </t>
  </si>
  <si>
    <t>AP-42 values</t>
  </si>
  <si>
    <r>
      <t>EF</t>
    </r>
    <r>
      <rPr>
        <vertAlign val="subscript"/>
        <sz val="10"/>
        <rFont val="Arial"/>
        <family val="2"/>
      </rPr>
      <t>a</t>
    </r>
  </si>
  <si>
    <t>grams/year</t>
  </si>
  <si>
    <t>pounds/year</t>
  </si>
  <si>
    <t>pounds/year  =  grams/year / 453.59237</t>
  </si>
  <si>
    <t>tons/year</t>
  </si>
  <si>
    <t>tons/year  =  pounds/year / 2000</t>
  </si>
  <si>
    <t>pounds/day</t>
  </si>
  <si>
    <t>Wind Erosion Emissions at Redwood Landfill</t>
  </si>
  <si>
    <t>Particulate Emissions from Adding and Removing Soil at the Cover Soil Stockpile</t>
  </si>
  <si>
    <t>Soil to Stockpiles</t>
  </si>
  <si>
    <t>Transfer Operation</t>
  </si>
  <si>
    <t>Soil to On-Site Trucks</t>
  </si>
  <si>
    <t>Wind Erosion Emissions from the Cover Soil Stockpile:</t>
  </si>
  <si>
    <t>Wind Erosion Emissions from the Active Face of the Landfill:</t>
  </si>
  <si>
    <t>Assumed Values for Chronic/Acute Conditions at Redwood Landfill:</t>
  </si>
  <si>
    <t>Daily</t>
  </si>
  <si>
    <r>
      <t>For Redwood Landfill u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0"/>
      </rPr>
      <t xml:space="preserve"> = 42.5 mph (19.00 m/s) at 30 feet (9.144 m)</t>
    </r>
  </si>
  <si>
    <t>Assume working face and stockpile are disturbed once every working day (312 days/year).</t>
  </si>
  <si>
    <t>Annual Emissions</t>
  </si>
  <si>
    <t>Daily Emissions</t>
  </si>
  <si>
    <t>Total Stored, yd3</t>
  </si>
  <si>
    <t xml:space="preserve">r = </t>
  </si>
  <si>
    <t>SA =</t>
  </si>
  <si>
    <t>h =</t>
  </si>
  <si>
    <t>(assume 5 conical stockpiles)</t>
  </si>
  <si>
    <t>per stockpile</t>
  </si>
  <si>
    <t>all stockpiles</t>
  </si>
  <si>
    <r>
      <t>V=</t>
    </r>
    <r>
      <rPr>
        <sz val="10"/>
        <rFont val="Symbol"/>
        <family val="1"/>
      </rPr>
      <t>p</t>
    </r>
    <r>
      <rPr>
        <sz val="10"/>
        <rFont val="Arial"/>
        <family val="0"/>
      </rPr>
      <t>/3(r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h)                                    SA=</t>
    </r>
    <r>
      <rPr>
        <sz val="10"/>
        <rFont val="Symbol"/>
        <family val="1"/>
      </rPr>
      <t>p</t>
    </r>
    <r>
      <rPr>
        <sz val="10"/>
        <rFont val="Arial"/>
        <family val="0"/>
      </rPr>
      <t>r(r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+h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)^0.5</t>
    </r>
  </si>
  <si>
    <t>Conical Shapes</t>
  </si>
  <si>
    <t>claimed</t>
  </si>
  <si>
    <t>they</t>
  </si>
  <si>
    <t>Max per day, yd3</t>
  </si>
  <si>
    <t>Avg. per day, yd3</t>
  </si>
  <si>
    <t>yd3</t>
  </si>
  <si>
    <r>
      <t>Per Redwood Landfill, max soil usage is 100,000 yd3/year.  Avg SA = 200 yd</t>
    </r>
    <r>
      <rPr>
        <vertAlign val="superscript"/>
        <sz val="10"/>
        <rFont val="Arial"/>
        <family val="2"/>
      </rPr>
      <t>2</t>
    </r>
  </si>
  <si>
    <t>Annual</t>
  </si>
  <si>
    <r>
      <t>EF</t>
    </r>
    <r>
      <rPr>
        <vertAlign val="subscript"/>
        <sz val="10"/>
        <rFont val="Arial"/>
        <family val="2"/>
      </rPr>
      <t>d</t>
    </r>
  </si>
  <si>
    <r>
      <t>A</t>
    </r>
    <r>
      <rPr>
        <vertAlign val="subscript"/>
        <sz val="10"/>
        <rFont val="Arial"/>
        <family val="2"/>
      </rPr>
      <t>d</t>
    </r>
  </si>
  <si>
    <r>
      <t>A</t>
    </r>
    <r>
      <rPr>
        <vertAlign val="subscript"/>
        <sz val="10"/>
        <rFont val="Arial"/>
        <family val="2"/>
      </rPr>
      <t>a</t>
    </r>
  </si>
  <si>
    <r>
      <t>Per Redwood Landfill, average surface area of working face is 600 yd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</t>
    </r>
  </si>
  <si>
    <r>
      <t>Per Redwood Landfill, maximum surface area of working face is 1800 yd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</t>
    </r>
  </si>
  <si>
    <t>grams/day</t>
  </si>
  <si>
    <r>
      <t>Per Redwood Landfill, max soil usage is 1100 yd3/day.  Max SA = 543 yd</t>
    </r>
    <r>
      <rPr>
        <vertAlign val="superscript"/>
        <sz val="10"/>
        <rFont val="Arial"/>
        <family val="2"/>
      </rPr>
      <t>2</t>
    </r>
  </si>
  <si>
    <r>
      <t>Calculated using Equation (4) with annual emission factor (EF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) and average surface area (A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).</t>
    </r>
  </si>
  <si>
    <t>Calculated using Equation (3) and annual condition variables.</t>
  </si>
  <si>
    <t>Calculated using Equation (3) and daily condition variables.</t>
  </si>
  <si>
    <t>pounds/day  =  grams/day / 453.59237</t>
  </si>
  <si>
    <r>
      <t>Calculated using Equation (4) with daily emission factor (EF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) and maximum daily surface area (A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).</t>
    </r>
  </si>
  <si>
    <t>Waste Disposal Activities</t>
  </si>
  <si>
    <t>Off-Site Vehicle Traffic, gravel roads</t>
  </si>
  <si>
    <t>Off-Site Vehicle Traffic, dirt roads</t>
  </si>
  <si>
    <t>On-Site Vehicle Traffic, dirt roads</t>
  </si>
  <si>
    <t>All Vehicle Traffic, paved roads</t>
  </si>
  <si>
    <t>Total Emissions from Landfill</t>
  </si>
  <si>
    <t>Particulate Emission Source</t>
  </si>
  <si>
    <t>Total Emissions from Soil Stockpiles</t>
  </si>
  <si>
    <t>Total for Soil Dumping</t>
  </si>
  <si>
    <r>
      <t>From Table 13.2.5-2, u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* = 1.02 m/s for overburden at a coal mine.</t>
    </r>
  </si>
  <si>
    <t>Soil Dumping and Soil Truck Loading</t>
  </si>
  <si>
    <t>Wind Erosion From Active Stockpile</t>
  </si>
  <si>
    <t>Wind Erosion From Active Face</t>
  </si>
  <si>
    <t>Waste Disposal Rates (tons)</t>
  </si>
  <si>
    <t>Overall Emission Factor (pounds/ton)</t>
  </si>
  <si>
    <t>Soil Throughput Rates (tons)</t>
  </si>
  <si>
    <t>Particulate Emissions from S-5 Landfill (1987 Actual)</t>
  </si>
  <si>
    <t>Particulate Emissions from S-42 Soil Stockpiles (1987 Actual)</t>
  </si>
  <si>
    <r>
      <t>Assume u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* = 1.0 for the compacted landfill working face and watered stockpiles</t>
    </r>
  </si>
  <si>
    <r>
      <t>(Note: u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* of 1.0 is similar to overburden at a coal mine.)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</si>
</sst>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0000000"/>
    <numFmt numFmtId="169" formatCode="0.0000000"/>
    <numFmt numFmtId="170" formatCode="0.000000"/>
    <numFmt numFmtId="171" formatCode="0.00000000000"/>
    <numFmt numFmtId="172" formatCode="0.0000000000"/>
    <numFmt numFmtId="173" formatCode="0.000000000"/>
  </numFmts>
  <fonts count="10">
    <font>
      <sz val="10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b/>
      <sz val="10"/>
      <color indexed="57"/>
      <name val="Arial"/>
      <family val="2"/>
    </font>
    <font>
      <b/>
      <u val="single"/>
      <sz val="10"/>
      <color indexed="57"/>
      <name val="Arial"/>
      <family val="2"/>
    </font>
    <font>
      <sz val="10"/>
      <name val="Wingdings 3"/>
      <family val="1"/>
    </font>
    <font>
      <sz val="10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5" fontId="3" fillId="0" borderId="3" xfId="0" applyNumberFormat="1" applyFont="1" applyBorder="1" applyAlignment="1">
      <alignment/>
    </xf>
    <xf numFmtId="165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0" xfId="0" applyFont="1" applyAlignment="1">
      <alignment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2" fontId="0" fillId="0" borderId="23" xfId="0" applyNumberFormat="1" applyBorder="1" applyAlignment="1">
      <alignment/>
    </xf>
    <xf numFmtId="2" fontId="3" fillId="0" borderId="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0" fontId="5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2" fontId="0" fillId="0" borderId="3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165" fontId="0" fillId="0" borderId="20" xfId="0" applyNumberFormat="1" applyFont="1" applyBorder="1" applyAlignment="1">
      <alignment/>
    </xf>
    <xf numFmtId="0" fontId="0" fillId="0" borderId="31" xfId="0" applyFont="1" applyBorder="1" applyAlignment="1">
      <alignment/>
    </xf>
    <xf numFmtId="2" fontId="0" fillId="0" borderId="29" xfId="0" applyNumberFormat="1" applyFont="1" applyBorder="1" applyAlignment="1">
      <alignment/>
    </xf>
    <xf numFmtId="1" fontId="0" fillId="0" borderId="27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9" fontId="4" fillId="0" borderId="23" xfId="19" applyFont="1" applyBorder="1" applyAlignment="1">
      <alignment/>
    </xf>
    <xf numFmtId="9" fontId="4" fillId="0" borderId="24" xfId="19" applyFont="1" applyBorder="1" applyAlignment="1">
      <alignment/>
    </xf>
    <xf numFmtId="1" fontId="0" fillId="0" borderId="0" xfId="0" applyNumberFormat="1" applyFont="1" applyBorder="1" applyAlignment="1">
      <alignment/>
    </xf>
    <xf numFmtId="9" fontId="0" fillId="0" borderId="21" xfId="19" applyFont="1" applyBorder="1" applyAlignment="1">
      <alignment horizontal="right"/>
    </xf>
    <xf numFmtId="9" fontId="4" fillId="0" borderId="3" xfId="19" applyFont="1" applyBorder="1" applyAlignment="1">
      <alignment/>
    </xf>
    <xf numFmtId="9" fontId="4" fillId="0" borderId="38" xfId="19" applyFont="1" applyBorder="1" applyAlignment="1">
      <alignment/>
    </xf>
    <xf numFmtId="0" fontId="0" fillId="0" borderId="39" xfId="0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41" xfId="0" applyBorder="1" applyAlignment="1">
      <alignment horizontal="center"/>
    </xf>
    <xf numFmtId="2" fontId="0" fillId="0" borderId="42" xfId="0" applyNumberFormat="1" applyBorder="1" applyAlignment="1">
      <alignment/>
    </xf>
    <xf numFmtId="2" fontId="0" fillId="0" borderId="34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4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4" xfId="0" applyFill="1" applyBorder="1" applyAlignment="1">
      <alignment/>
    </xf>
    <xf numFmtId="0" fontId="0" fillId="0" borderId="24" xfId="0" applyBorder="1" applyAlignment="1">
      <alignment horizontal="center"/>
    </xf>
    <xf numFmtId="2" fontId="0" fillId="0" borderId="13" xfId="0" applyNumberFormat="1" applyBorder="1" applyAlignment="1">
      <alignment/>
    </xf>
    <xf numFmtId="0" fontId="0" fillId="0" borderId="42" xfId="0" applyBorder="1" applyAlignment="1">
      <alignment horizontal="right"/>
    </xf>
    <xf numFmtId="0" fontId="0" fillId="0" borderId="45" xfId="0" applyBorder="1" applyAlignment="1">
      <alignment/>
    </xf>
    <xf numFmtId="0" fontId="0" fillId="0" borderId="46" xfId="0" applyBorder="1" applyAlignment="1">
      <alignment horizontal="right"/>
    </xf>
    <xf numFmtId="0" fontId="0" fillId="0" borderId="47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48" xfId="0" applyBorder="1" applyAlignment="1">
      <alignment horizontal="center"/>
    </xf>
    <xf numFmtId="1" fontId="0" fillId="0" borderId="49" xfId="0" applyNumberFormat="1" applyBorder="1" applyAlignment="1">
      <alignment/>
    </xf>
    <xf numFmtId="1" fontId="0" fillId="0" borderId="31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50" xfId="0" applyBorder="1" applyAlignment="1">
      <alignment/>
    </xf>
    <xf numFmtId="2" fontId="4" fillId="0" borderId="51" xfId="0" applyNumberFormat="1" applyFont="1" applyBorder="1" applyAlignment="1">
      <alignment/>
    </xf>
    <xf numFmtId="2" fontId="4" fillId="0" borderId="52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0" fontId="0" fillId="0" borderId="11" xfId="0" applyBorder="1" applyAlignment="1">
      <alignment horizontal="center"/>
    </xf>
    <xf numFmtId="164" fontId="4" fillId="0" borderId="3" xfId="0" applyNumberFormat="1" applyFont="1" applyBorder="1" applyAlignment="1">
      <alignment/>
    </xf>
    <xf numFmtId="164" fontId="4" fillId="0" borderId="23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38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54" xfId="0" applyBorder="1" applyAlignment="1">
      <alignment/>
    </xf>
    <xf numFmtId="9" fontId="4" fillId="0" borderId="20" xfId="19" applyFont="1" applyBorder="1" applyAlignment="1">
      <alignment/>
    </xf>
    <xf numFmtId="9" fontId="4" fillId="0" borderId="55" xfId="19" applyFont="1" applyBorder="1" applyAlignment="1">
      <alignment/>
    </xf>
    <xf numFmtId="9" fontId="4" fillId="0" borderId="49" xfId="19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6" xfId="0" applyBorder="1" applyAlignment="1">
      <alignment horizontal="right"/>
    </xf>
    <xf numFmtId="165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3" xfId="0" applyBorder="1" applyAlignment="1">
      <alignment horizontal="right"/>
    </xf>
    <xf numFmtId="0" fontId="0" fillId="0" borderId="23" xfId="0" applyBorder="1" applyAlignment="1">
      <alignment horizontal="right"/>
    </xf>
    <xf numFmtId="2" fontId="0" fillId="0" borderId="3" xfId="0" applyNumberFormat="1" applyBorder="1" applyAlignment="1">
      <alignment/>
    </xf>
    <xf numFmtId="0" fontId="0" fillId="0" borderId="56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7" xfId="0" applyBorder="1" applyAlignment="1">
      <alignment/>
    </xf>
    <xf numFmtId="0" fontId="0" fillId="0" borderId="58" xfId="0" applyBorder="1" applyAlignment="1">
      <alignment horizontal="center"/>
    </xf>
    <xf numFmtId="2" fontId="0" fillId="0" borderId="51" xfId="0" applyNumberFormat="1" applyBorder="1" applyAlignment="1">
      <alignment/>
    </xf>
    <xf numFmtId="2" fontId="0" fillId="0" borderId="5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38" xfId="0" applyNumberForma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8" xfId="0" applyBorder="1" applyAlignment="1">
      <alignment/>
    </xf>
    <xf numFmtId="1" fontId="0" fillId="0" borderId="38" xfId="0" applyNumberFormat="1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65" fontId="3" fillId="0" borderId="21" xfId="0" applyNumberFormat="1" applyFont="1" applyBorder="1" applyAlignment="1">
      <alignment/>
    </xf>
    <xf numFmtId="165" fontId="0" fillId="0" borderId="21" xfId="0" applyNumberForma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3" xfId="0" applyFont="1" applyBorder="1" applyAlignment="1">
      <alignment/>
    </xf>
    <xf numFmtId="165" fontId="3" fillId="0" borderId="38" xfId="0" applyNumberFormat="1" applyFont="1" applyBorder="1" applyAlignment="1">
      <alignment/>
    </xf>
    <xf numFmtId="165" fontId="0" fillId="0" borderId="38" xfId="0" applyNumberFormat="1" applyBorder="1" applyAlignment="1">
      <alignment/>
    </xf>
    <xf numFmtId="0" fontId="3" fillId="0" borderId="38" xfId="0" applyFont="1" applyBorder="1" applyAlignment="1">
      <alignment/>
    </xf>
    <xf numFmtId="0" fontId="3" fillId="0" borderId="24" xfId="0" applyFont="1" applyBorder="1" applyAlignment="1">
      <alignment/>
    </xf>
    <xf numFmtId="165" fontId="0" fillId="0" borderId="0" xfId="0" applyNumberFormat="1" applyAlignment="1">
      <alignment/>
    </xf>
    <xf numFmtId="165" fontId="0" fillId="0" borderId="47" xfId="0" applyNumberFormat="1" applyFont="1" applyBorder="1" applyAlignment="1">
      <alignment/>
    </xf>
    <xf numFmtId="1" fontId="0" fillId="0" borderId="47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0" fillId="0" borderId="3" xfId="0" applyFont="1" applyBorder="1" applyAlignment="1">
      <alignment/>
    </xf>
    <xf numFmtId="1" fontId="0" fillId="0" borderId="3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43" xfId="0" applyBorder="1" applyAlignment="1">
      <alignment/>
    </xf>
    <xf numFmtId="0" fontId="0" fillId="0" borderId="5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3" xfId="0" applyBorder="1" applyAlignment="1">
      <alignment horizontal="center"/>
    </xf>
    <xf numFmtId="2" fontId="0" fillId="0" borderId="38" xfId="0" applyNumberFormat="1" applyBorder="1" applyAlignment="1">
      <alignment/>
    </xf>
    <xf numFmtId="0" fontId="0" fillId="0" borderId="45" xfId="0" applyBorder="1" applyAlignment="1">
      <alignment horizontal="right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64" xfId="0" applyBorder="1" applyAlignment="1">
      <alignment/>
    </xf>
    <xf numFmtId="165" fontId="0" fillId="0" borderId="27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65" xfId="0" applyBorder="1" applyAlignment="1">
      <alignment/>
    </xf>
    <xf numFmtId="0" fontId="0" fillId="0" borderId="66" xfId="0" applyBorder="1" applyAlignment="1">
      <alignment horizontal="center"/>
    </xf>
    <xf numFmtId="165" fontId="0" fillId="0" borderId="66" xfId="0" applyNumberFormat="1" applyBorder="1" applyAlignment="1">
      <alignment horizontal="center"/>
    </xf>
    <xf numFmtId="164" fontId="0" fillId="0" borderId="66" xfId="0" applyNumberFormat="1" applyBorder="1" applyAlignment="1">
      <alignment horizontal="center"/>
    </xf>
    <xf numFmtId="2" fontId="0" fillId="0" borderId="66" xfId="0" applyNumberFormat="1" applyBorder="1" applyAlignment="1">
      <alignment horizontal="center"/>
    </xf>
    <xf numFmtId="164" fontId="0" fillId="0" borderId="48" xfId="0" applyNumberFormat="1" applyBorder="1" applyAlignment="1">
      <alignment horizontal="center"/>
    </xf>
    <xf numFmtId="165" fontId="0" fillId="0" borderId="39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0" fontId="0" fillId="0" borderId="51" xfId="0" applyBorder="1" applyAlignment="1">
      <alignment/>
    </xf>
    <xf numFmtId="0" fontId="0" fillId="0" borderId="51" xfId="0" applyBorder="1" applyAlignment="1">
      <alignment horizontal="center"/>
    </xf>
    <xf numFmtId="167" fontId="0" fillId="0" borderId="66" xfId="0" applyNumberFormat="1" applyBorder="1" applyAlignment="1">
      <alignment horizontal="center"/>
    </xf>
    <xf numFmtId="0" fontId="0" fillId="0" borderId="66" xfId="0" applyBorder="1" applyAlignment="1">
      <alignment/>
    </xf>
    <xf numFmtId="0" fontId="0" fillId="0" borderId="9" xfId="0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7" fontId="0" fillId="0" borderId="9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5" fontId="3" fillId="0" borderId="9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4" fillId="2" borderId="36" xfId="0" applyFont="1" applyFill="1" applyBorder="1" applyAlignment="1">
      <alignment/>
    </xf>
    <xf numFmtId="0" fontId="4" fillId="2" borderId="31" xfId="0" applyFont="1" applyFill="1" applyBorder="1" applyAlignment="1">
      <alignment/>
    </xf>
    <xf numFmtId="0" fontId="4" fillId="2" borderId="32" xfId="0" applyFont="1" applyFill="1" applyBorder="1" applyAlignment="1">
      <alignment/>
    </xf>
    <xf numFmtId="164" fontId="0" fillId="0" borderId="3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2" fontId="0" fillId="0" borderId="38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11" fontId="0" fillId="0" borderId="38" xfId="0" applyNumberFormat="1" applyBorder="1" applyAlignment="1">
      <alignment/>
    </xf>
    <xf numFmtId="11" fontId="0" fillId="0" borderId="24" xfId="0" applyNumberFormat="1" applyBorder="1" applyAlignment="1">
      <alignment/>
    </xf>
    <xf numFmtId="1" fontId="0" fillId="0" borderId="0" xfId="0" applyNumberFormat="1" applyAlignment="1">
      <alignment horizontal="center"/>
    </xf>
    <xf numFmtId="0" fontId="0" fillId="0" borderId="60" xfId="0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39" xfId="0" applyNumberFormat="1" applyBorder="1" applyAlignment="1">
      <alignment horizontal="right"/>
    </xf>
    <xf numFmtId="164" fontId="0" fillId="0" borderId="40" xfId="0" applyNumberFormat="1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24" xfId="0" applyBorder="1" applyAlignment="1">
      <alignment horizontal="right"/>
    </xf>
    <xf numFmtId="2" fontId="0" fillId="0" borderId="39" xfId="0" applyNumberFormat="1" applyBorder="1" applyAlignment="1">
      <alignment/>
    </xf>
    <xf numFmtId="164" fontId="0" fillId="0" borderId="40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" fillId="3" borderId="67" xfId="0" applyFont="1" applyFill="1" applyBorder="1" applyAlignment="1">
      <alignment/>
    </xf>
    <xf numFmtId="2" fontId="4" fillId="3" borderId="20" xfId="0" applyNumberFormat="1" applyFont="1" applyFill="1" applyBorder="1" applyAlignment="1">
      <alignment/>
    </xf>
    <xf numFmtId="164" fontId="4" fillId="3" borderId="49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0" xfId="0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abSelected="1" view="pageBreakPreview" zoomScale="60" workbookViewId="0" topLeftCell="A1">
      <selection activeCell="A60" sqref="A60:E60"/>
    </sheetView>
  </sheetViews>
  <sheetFormatPr defaultColWidth="9.140625" defaultRowHeight="12.75"/>
  <cols>
    <col min="1" max="1" width="14.28125" style="0" bestFit="1" customWidth="1"/>
    <col min="7" max="7" width="14.7109375" style="0" bestFit="1" customWidth="1"/>
    <col min="12" max="12" width="9.8515625" style="0" bestFit="1" customWidth="1"/>
    <col min="13" max="13" width="9.7109375" style="0" bestFit="1" customWidth="1"/>
  </cols>
  <sheetData>
    <row r="1" ht="12.75">
      <c r="A1" t="s">
        <v>125</v>
      </c>
    </row>
    <row r="3" ht="12.75">
      <c r="A3" t="s">
        <v>62</v>
      </c>
    </row>
    <row r="5" ht="14.25">
      <c r="A5" t="s">
        <v>67</v>
      </c>
    </row>
    <row r="7" ht="15.75">
      <c r="A7" t="s">
        <v>68</v>
      </c>
    </row>
    <row r="9" ht="12.75">
      <c r="A9" t="s">
        <v>0</v>
      </c>
    </row>
    <row r="10" ht="15.75">
      <c r="A10" t="s">
        <v>2</v>
      </c>
    </row>
    <row r="11" ht="12.75">
      <c r="A11" t="s">
        <v>1</v>
      </c>
    </row>
    <row r="12" ht="12.75">
      <c r="A12" t="s">
        <v>3</v>
      </c>
    </row>
    <row r="13" ht="12.75">
      <c r="A13" t="s">
        <v>4</v>
      </c>
    </row>
    <row r="14" ht="12.75">
      <c r="A14" t="s">
        <v>5</v>
      </c>
    </row>
    <row r="15" ht="15.75">
      <c r="A15" t="s">
        <v>6</v>
      </c>
    </row>
    <row r="16" ht="12.75">
      <c r="A16" t="s">
        <v>7</v>
      </c>
    </row>
    <row r="17" ht="12.75">
      <c r="A17" t="s">
        <v>61</v>
      </c>
    </row>
    <row r="19" spans="1:2" ht="12.75">
      <c r="A19" s="24" t="s">
        <v>32</v>
      </c>
      <c r="B19" s="24" t="s">
        <v>33</v>
      </c>
    </row>
    <row r="20" spans="1:2" ht="12.75">
      <c r="A20" s="24"/>
      <c r="B20" s="24" t="s">
        <v>35</v>
      </c>
    </row>
    <row r="21" spans="1:2" ht="12.75">
      <c r="A21" s="24"/>
      <c r="B21" s="24" t="s">
        <v>36</v>
      </c>
    </row>
    <row r="22" spans="1:2" ht="12.75">
      <c r="A22" s="24"/>
      <c r="B22" s="24" t="s">
        <v>37</v>
      </c>
    </row>
    <row r="23" spans="1:2" ht="12.75">
      <c r="A23" s="24"/>
      <c r="B23" s="24" t="s">
        <v>39</v>
      </c>
    </row>
    <row r="24" spans="1:2" ht="12.75">
      <c r="A24" s="24"/>
      <c r="B24" s="24" t="s">
        <v>38</v>
      </c>
    </row>
    <row r="25" spans="1:2" ht="12.75">
      <c r="A25" s="24"/>
      <c r="B25" s="24" t="s">
        <v>40</v>
      </c>
    </row>
    <row r="26" spans="1:2" ht="12.75">
      <c r="A26" s="24"/>
      <c r="B26" s="24" t="s">
        <v>41</v>
      </c>
    </row>
    <row r="27" spans="1:2" ht="12.75">
      <c r="A27" s="24"/>
      <c r="B27" s="24" t="s">
        <v>42</v>
      </c>
    </row>
    <row r="28" spans="1:2" ht="12.75">
      <c r="A28" s="24"/>
      <c r="B28" s="24" t="s">
        <v>43</v>
      </c>
    </row>
    <row r="29" spans="1:2" ht="12.75">
      <c r="A29" s="24"/>
      <c r="B29" s="24" t="s">
        <v>44</v>
      </c>
    </row>
    <row r="30" spans="1:2" ht="12.75">
      <c r="A30" s="24"/>
      <c r="B30" s="24" t="s">
        <v>45</v>
      </c>
    </row>
    <row r="31" spans="1:2" ht="12.75">
      <c r="A31" s="24"/>
      <c r="B31" s="24" t="s">
        <v>46</v>
      </c>
    </row>
    <row r="32" spans="1:2" ht="12.75">
      <c r="A32" s="24"/>
      <c r="B32" s="24" t="s">
        <v>76</v>
      </c>
    </row>
    <row r="33" spans="1:2" ht="12.75">
      <c r="A33" s="24"/>
      <c r="B33" s="24" t="s">
        <v>47</v>
      </c>
    </row>
    <row r="34" spans="1:2" ht="12.75">
      <c r="A34" s="24"/>
      <c r="B34" s="24" t="s">
        <v>63</v>
      </c>
    </row>
    <row r="35" spans="1:2" ht="12.75">
      <c r="A35" s="24"/>
      <c r="B35" s="24" t="s">
        <v>64</v>
      </c>
    </row>
    <row r="36" spans="1:2" ht="12.75">
      <c r="A36" s="24"/>
      <c r="B36" s="24" t="s">
        <v>65</v>
      </c>
    </row>
    <row r="37" spans="1:2" ht="12.75">
      <c r="A37" s="24"/>
      <c r="B37" s="24" t="s">
        <v>66</v>
      </c>
    </row>
    <row r="38" ht="13.5" thickBot="1"/>
    <row r="39" spans="2:13" ht="13.5" thickBot="1">
      <c r="B39" s="224" t="s">
        <v>34</v>
      </c>
      <c r="C39" s="224"/>
      <c r="D39" s="224"/>
      <c r="E39" s="224"/>
      <c r="G39" s="224" t="s">
        <v>121</v>
      </c>
      <c r="H39" s="224"/>
      <c r="I39" s="224"/>
      <c r="J39" s="224"/>
      <c r="K39" s="224"/>
      <c r="L39" s="224"/>
      <c r="M39" s="77" t="s">
        <v>55</v>
      </c>
    </row>
    <row r="40" spans="2:13" ht="12.75">
      <c r="B40" s="3"/>
      <c r="C40" s="25" t="s">
        <v>17</v>
      </c>
      <c r="D40" s="25" t="s">
        <v>18</v>
      </c>
      <c r="E40" s="26" t="s">
        <v>19</v>
      </c>
      <c r="G40" s="17"/>
      <c r="H40" s="103" t="s">
        <v>21</v>
      </c>
      <c r="I40" s="104" t="s">
        <v>22</v>
      </c>
      <c r="J40" s="104" t="s">
        <v>24</v>
      </c>
      <c r="K40" s="104" t="s">
        <v>27</v>
      </c>
      <c r="L40" s="155" t="s">
        <v>28</v>
      </c>
      <c r="M40" s="78" t="s">
        <v>56</v>
      </c>
    </row>
    <row r="41" spans="2:17" ht="13.5" thickBot="1">
      <c r="B41" s="4" t="s">
        <v>8</v>
      </c>
      <c r="C41" s="30">
        <v>0.38</v>
      </c>
      <c r="D41" s="30">
        <v>2.6</v>
      </c>
      <c r="E41" s="31">
        <v>10</v>
      </c>
      <c r="G41" s="18" t="s">
        <v>20</v>
      </c>
      <c r="H41" s="15" t="s">
        <v>23</v>
      </c>
      <c r="I41" s="12" t="s">
        <v>23</v>
      </c>
      <c r="J41" s="12" t="s">
        <v>23</v>
      </c>
      <c r="K41" s="12" t="s">
        <v>23</v>
      </c>
      <c r="L41" s="75" t="s">
        <v>25</v>
      </c>
      <c r="M41" s="65" t="s">
        <v>57</v>
      </c>
      <c r="P41" t="s">
        <v>113</v>
      </c>
      <c r="Q41" s="2" t="s">
        <v>114</v>
      </c>
    </row>
    <row r="42" spans="2:17" ht="12.75">
      <c r="B42" s="4" t="s">
        <v>9</v>
      </c>
      <c r="C42" s="30">
        <v>0.8</v>
      </c>
      <c r="D42" s="30">
        <v>0.8</v>
      </c>
      <c r="E42" s="31">
        <v>0.8</v>
      </c>
      <c r="G42" s="3" t="s">
        <v>99</v>
      </c>
      <c r="H42" s="128">
        <f>22000/2000</f>
        <v>11</v>
      </c>
      <c r="I42" s="128">
        <f>23000/2000</f>
        <v>11.5</v>
      </c>
      <c r="J42" s="129">
        <f aca="true" t="shared" si="0" ref="J42:J48">H42+I42</f>
        <v>22.5</v>
      </c>
      <c r="K42" s="129">
        <f aca="true" t="shared" si="1" ref="K42:K48">(H42+J42)/2</f>
        <v>16.75</v>
      </c>
      <c r="L42" s="130">
        <v>20</v>
      </c>
      <c r="M42" s="131">
        <v>312</v>
      </c>
      <c r="P42" s="138">
        <f aca="true" t="shared" si="2" ref="P42:P55">K42*L42</f>
        <v>335</v>
      </c>
      <c r="Q42">
        <f aca="true" t="shared" si="3" ref="Q42:Q55">L42*M42</f>
        <v>6240</v>
      </c>
    </row>
    <row r="43" spans="2:17" ht="12.75">
      <c r="B43" s="4" t="s">
        <v>10</v>
      </c>
      <c r="C43" s="30">
        <v>0.4</v>
      </c>
      <c r="D43" s="30">
        <v>0.4</v>
      </c>
      <c r="E43" s="31">
        <v>0.5</v>
      </c>
      <c r="G43" s="4" t="s">
        <v>100</v>
      </c>
      <c r="H43" s="5">
        <f>23000/2000</f>
        <v>11.5</v>
      </c>
      <c r="I43" s="5">
        <f>22000/2000</f>
        <v>11</v>
      </c>
      <c r="J43" s="6">
        <f t="shared" si="0"/>
        <v>22.5</v>
      </c>
      <c r="K43" s="6">
        <f t="shared" si="1"/>
        <v>17</v>
      </c>
      <c r="L43" s="132">
        <v>4</v>
      </c>
      <c r="M43" s="133">
        <v>312</v>
      </c>
      <c r="P43" s="138">
        <f t="shared" si="2"/>
        <v>68</v>
      </c>
      <c r="Q43">
        <f t="shared" si="3"/>
        <v>1248</v>
      </c>
    </row>
    <row r="44" spans="2:17" ht="12.75">
      <c r="B44" s="4" t="s">
        <v>11</v>
      </c>
      <c r="C44" s="30">
        <v>0.3</v>
      </c>
      <c r="D44" s="30">
        <v>0.3</v>
      </c>
      <c r="E44" s="31">
        <v>0.4</v>
      </c>
      <c r="G44" s="4" t="s">
        <v>101</v>
      </c>
      <c r="H44" s="5">
        <f>32000/2000</f>
        <v>16</v>
      </c>
      <c r="I44" s="5">
        <f>48000/2000</f>
        <v>24</v>
      </c>
      <c r="J44" s="6">
        <f t="shared" si="0"/>
        <v>40</v>
      </c>
      <c r="K44" s="6">
        <f t="shared" si="1"/>
        <v>28</v>
      </c>
      <c r="L44" s="132">
        <v>20</v>
      </c>
      <c r="M44" s="133">
        <v>312</v>
      </c>
      <c r="P44" s="138">
        <f t="shared" si="2"/>
        <v>560</v>
      </c>
      <c r="Q44">
        <f t="shared" si="3"/>
        <v>6240</v>
      </c>
    </row>
    <row r="45" spans="2:17" ht="12.75">
      <c r="B45" s="4" t="s">
        <v>12</v>
      </c>
      <c r="C45" s="28">
        <v>6.4</v>
      </c>
      <c r="D45" s="28">
        <v>6.4</v>
      </c>
      <c r="E45" s="29">
        <v>6.4</v>
      </c>
      <c r="G45" s="4" t="s">
        <v>102</v>
      </c>
      <c r="H45" s="5">
        <f>31000/2000</f>
        <v>15.5</v>
      </c>
      <c r="I45" s="5">
        <f>36000/2000</f>
        <v>18</v>
      </c>
      <c r="J45" s="6">
        <f t="shared" si="0"/>
        <v>33.5</v>
      </c>
      <c r="K45" s="6">
        <f t="shared" si="1"/>
        <v>24.5</v>
      </c>
      <c r="L45" s="132">
        <v>10</v>
      </c>
      <c r="M45" s="133">
        <v>312</v>
      </c>
      <c r="P45" s="138">
        <f t="shared" si="2"/>
        <v>245</v>
      </c>
      <c r="Q45">
        <f t="shared" si="3"/>
        <v>3120</v>
      </c>
    </row>
    <row r="46" spans="2:17" ht="12.75">
      <c r="B46" s="4" t="s">
        <v>13</v>
      </c>
      <c r="C46" s="43">
        <f>K56</f>
        <v>14.641499999999999</v>
      </c>
      <c r="D46" s="43">
        <f>C46</f>
        <v>14.641499999999999</v>
      </c>
      <c r="E46" s="44">
        <f>C46</f>
        <v>14.641499999999999</v>
      </c>
      <c r="G46" s="4" t="s">
        <v>103</v>
      </c>
      <c r="H46" s="5">
        <f>15000/2000</f>
        <v>7.5</v>
      </c>
      <c r="I46" s="5">
        <f>20000/2000</f>
        <v>10</v>
      </c>
      <c r="J46" s="6">
        <f t="shared" si="0"/>
        <v>17.5</v>
      </c>
      <c r="K46" s="6">
        <f t="shared" si="1"/>
        <v>12.5</v>
      </c>
      <c r="L46" s="132">
        <v>2</v>
      </c>
      <c r="M46" s="133">
        <v>312</v>
      </c>
      <c r="P46" s="138">
        <f t="shared" si="2"/>
        <v>25</v>
      </c>
      <c r="Q46">
        <f t="shared" si="3"/>
        <v>624</v>
      </c>
    </row>
    <row r="47" spans="2:17" ht="12.75">
      <c r="B47" s="4" t="s">
        <v>14</v>
      </c>
      <c r="C47" s="28">
        <v>20</v>
      </c>
      <c r="D47" s="28">
        <v>20</v>
      </c>
      <c r="E47" s="29">
        <v>20</v>
      </c>
      <c r="G47" s="4" t="s">
        <v>105</v>
      </c>
      <c r="H47" s="5">
        <f>18000/2000</f>
        <v>9</v>
      </c>
      <c r="I47" s="5">
        <f>6000/2000</f>
        <v>3</v>
      </c>
      <c r="J47" s="6">
        <f t="shared" si="0"/>
        <v>12</v>
      </c>
      <c r="K47" s="6">
        <f t="shared" si="1"/>
        <v>10.5</v>
      </c>
      <c r="L47" s="132">
        <v>20</v>
      </c>
      <c r="M47" s="133">
        <v>312</v>
      </c>
      <c r="P47" s="138">
        <f t="shared" si="2"/>
        <v>210</v>
      </c>
      <c r="Q47">
        <f t="shared" si="3"/>
        <v>6240</v>
      </c>
    </row>
    <row r="48" spans="2:17" ht="15.75">
      <c r="B48" s="4" t="s">
        <v>16</v>
      </c>
      <c r="C48" s="28">
        <v>0.2</v>
      </c>
      <c r="D48" s="28">
        <v>0.2</v>
      </c>
      <c r="E48" s="29">
        <v>0.2</v>
      </c>
      <c r="G48" s="4" t="s">
        <v>104</v>
      </c>
      <c r="H48" s="5">
        <f>12000/2000</f>
        <v>6</v>
      </c>
      <c r="I48" s="5">
        <f>4000/2000</f>
        <v>2</v>
      </c>
      <c r="J48" s="6">
        <f t="shared" si="0"/>
        <v>8</v>
      </c>
      <c r="K48" s="6">
        <f t="shared" si="1"/>
        <v>7</v>
      </c>
      <c r="L48" s="132">
        <v>20</v>
      </c>
      <c r="M48" s="133">
        <v>312</v>
      </c>
      <c r="P48" s="138">
        <f t="shared" si="2"/>
        <v>140</v>
      </c>
      <c r="Q48">
        <f t="shared" si="3"/>
        <v>6240</v>
      </c>
    </row>
    <row r="49" spans="2:17" ht="12.75">
      <c r="B49" s="83" t="s">
        <v>15</v>
      </c>
      <c r="C49" s="84">
        <v>60</v>
      </c>
      <c r="D49" s="84">
        <v>60</v>
      </c>
      <c r="E49" s="85">
        <v>60</v>
      </c>
      <c r="G49" s="4" t="s">
        <v>106</v>
      </c>
      <c r="H49" s="5">
        <f>32000/2000</f>
        <v>16</v>
      </c>
      <c r="I49" s="5">
        <f>28000/2000</f>
        <v>14</v>
      </c>
      <c r="J49" s="6">
        <f aca="true" t="shared" si="4" ref="J49:J55">H49+I49</f>
        <v>30</v>
      </c>
      <c r="K49" s="6">
        <f aca="true" t="shared" si="5" ref="K49:K55">(H49+J49)/2</f>
        <v>23</v>
      </c>
      <c r="L49" s="132">
        <v>20</v>
      </c>
      <c r="M49" s="133">
        <v>312</v>
      </c>
      <c r="P49" s="138">
        <f t="shared" si="2"/>
        <v>460</v>
      </c>
      <c r="Q49">
        <f t="shared" si="3"/>
        <v>6240</v>
      </c>
    </row>
    <row r="50" spans="2:17" ht="13.5" thickBot="1">
      <c r="B50" s="7" t="s">
        <v>69</v>
      </c>
      <c r="C50" s="86">
        <v>15</v>
      </c>
      <c r="D50" s="86">
        <v>15</v>
      </c>
      <c r="E50" s="87">
        <v>15</v>
      </c>
      <c r="G50" s="4" t="s">
        <v>107</v>
      </c>
      <c r="H50" s="5">
        <f>4200/2000</f>
        <v>2.1</v>
      </c>
      <c r="I50" s="5">
        <f>1300/2000</f>
        <v>0.65</v>
      </c>
      <c r="J50" s="6">
        <f t="shared" si="4"/>
        <v>2.75</v>
      </c>
      <c r="K50" s="6">
        <f t="shared" si="5"/>
        <v>2.425</v>
      </c>
      <c r="L50" s="132">
        <v>24</v>
      </c>
      <c r="M50" s="133">
        <v>312</v>
      </c>
      <c r="P50" s="138">
        <f t="shared" si="2"/>
        <v>58.199999999999996</v>
      </c>
      <c r="Q50">
        <f t="shared" si="3"/>
        <v>7488</v>
      </c>
    </row>
    <row r="51" spans="7:17" ht="12.75">
      <c r="G51" s="4" t="s">
        <v>109</v>
      </c>
      <c r="H51" s="5">
        <f>32000/2000</f>
        <v>16</v>
      </c>
      <c r="I51" s="5">
        <f>16000/2000</f>
        <v>8</v>
      </c>
      <c r="J51" s="6">
        <f t="shared" si="4"/>
        <v>24</v>
      </c>
      <c r="K51" s="6">
        <f t="shared" si="5"/>
        <v>20</v>
      </c>
      <c r="L51" s="132">
        <v>20</v>
      </c>
      <c r="M51" s="133">
        <v>312</v>
      </c>
      <c r="P51" s="138">
        <f t="shared" si="2"/>
        <v>400</v>
      </c>
      <c r="Q51">
        <f t="shared" si="3"/>
        <v>6240</v>
      </c>
    </row>
    <row r="52" spans="1:17" ht="13.5" thickBot="1">
      <c r="A52" s="225" t="s">
        <v>50</v>
      </c>
      <c r="B52" s="225"/>
      <c r="C52" s="225"/>
      <c r="D52" s="225"/>
      <c r="E52" s="225"/>
      <c r="G52" s="4" t="s">
        <v>108</v>
      </c>
      <c r="H52" s="5">
        <f>22000/2000</f>
        <v>11</v>
      </c>
      <c r="I52" s="5">
        <f>20000/2000</f>
        <v>10</v>
      </c>
      <c r="J52" s="6">
        <f t="shared" si="4"/>
        <v>21</v>
      </c>
      <c r="K52" s="6">
        <f t="shared" si="5"/>
        <v>16</v>
      </c>
      <c r="L52" s="132">
        <v>20</v>
      </c>
      <c r="M52" s="133">
        <v>312</v>
      </c>
      <c r="P52" s="138">
        <f t="shared" si="2"/>
        <v>320</v>
      </c>
      <c r="Q52">
        <f t="shared" si="3"/>
        <v>6240</v>
      </c>
    </row>
    <row r="53" spans="1:17" ht="12.75">
      <c r="A53" s="51"/>
      <c r="B53" s="49"/>
      <c r="C53" s="25" t="s">
        <v>17</v>
      </c>
      <c r="D53" s="57" t="s">
        <v>18</v>
      </c>
      <c r="E53" s="26" t="s">
        <v>19</v>
      </c>
      <c r="G53" s="4" t="s">
        <v>110</v>
      </c>
      <c r="H53" s="5">
        <f>23000/2000</f>
        <v>11.5</v>
      </c>
      <c r="I53" s="5">
        <f>9000/2000</f>
        <v>4.5</v>
      </c>
      <c r="J53" s="6">
        <f t="shared" si="4"/>
        <v>16</v>
      </c>
      <c r="K53" s="6">
        <f t="shared" si="5"/>
        <v>13.75</v>
      </c>
      <c r="L53" s="132">
        <v>6</v>
      </c>
      <c r="M53" s="133">
        <v>312</v>
      </c>
      <c r="P53" s="138">
        <f t="shared" si="2"/>
        <v>82.5</v>
      </c>
      <c r="Q53">
        <f t="shared" si="3"/>
        <v>1872</v>
      </c>
    </row>
    <row r="54" spans="1:17" ht="12.75">
      <c r="A54" s="52" t="s">
        <v>75</v>
      </c>
      <c r="B54" s="50"/>
      <c r="C54" s="58">
        <v>0.75</v>
      </c>
      <c r="D54" s="58">
        <v>0.75</v>
      </c>
      <c r="E54" s="54">
        <v>0.75</v>
      </c>
      <c r="G54" s="4" t="s">
        <v>111</v>
      </c>
      <c r="H54" s="5">
        <f>3200/2000</f>
        <v>1.6</v>
      </c>
      <c r="I54" s="5">
        <f>200/2000</f>
        <v>0.1</v>
      </c>
      <c r="J54" s="6">
        <f t="shared" si="4"/>
        <v>1.7000000000000002</v>
      </c>
      <c r="K54" s="6">
        <f t="shared" si="5"/>
        <v>1.6500000000000001</v>
      </c>
      <c r="L54" s="132">
        <v>4</v>
      </c>
      <c r="M54" s="133">
        <v>312</v>
      </c>
      <c r="P54" s="138">
        <f t="shared" si="2"/>
        <v>6.6000000000000005</v>
      </c>
      <c r="Q54">
        <f t="shared" si="3"/>
        <v>1248</v>
      </c>
    </row>
    <row r="55" spans="1:17" ht="13.5" thickBot="1">
      <c r="A55" s="52" t="s">
        <v>74</v>
      </c>
      <c r="B55" s="50"/>
      <c r="C55" s="58">
        <v>0.8</v>
      </c>
      <c r="D55" s="58">
        <v>0.8</v>
      </c>
      <c r="E55" s="54">
        <v>0.8</v>
      </c>
      <c r="G55" s="7" t="s">
        <v>112</v>
      </c>
      <c r="H55" s="134">
        <f>3500/2000</f>
        <v>1.75</v>
      </c>
      <c r="I55" s="134">
        <f>200/2000</f>
        <v>0.1</v>
      </c>
      <c r="J55" s="135">
        <f t="shared" si="4"/>
        <v>1.85</v>
      </c>
      <c r="K55" s="135">
        <f t="shared" si="5"/>
        <v>1.8</v>
      </c>
      <c r="L55" s="136">
        <v>10</v>
      </c>
      <c r="M55" s="137">
        <v>312</v>
      </c>
      <c r="P55" s="138">
        <f t="shared" si="2"/>
        <v>18</v>
      </c>
      <c r="Q55">
        <f t="shared" si="3"/>
        <v>3120</v>
      </c>
    </row>
    <row r="56" spans="1:17" ht="13.5" thickBot="1">
      <c r="A56" s="52" t="s">
        <v>73</v>
      </c>
      <c r="B56" s="50"/>
      <c r="C56" s="58">
        <v>0.8</v>
      </c>
      <c r="D56" s="58">
        <v>0.8</v>
      </c>
      <c r="E56" s="54">
        <v>0.8</v>
      </c>
      <c r="G56" s="21" t="s">
        <v>26</v>
      </c>
      <c r="H56" s="22"/>
      <c r="I56" s="23"/>
      <c r="J56" s="23"/>
      <c r="K56" s="45">
        <f>P56/L56</f>
        <v>14.641499999999999</v>
      </c>
      <c r="L56" s="76">
        <f>SUM(L42:L55)</f>
        <v>200</v>
      </c>
      <c r="M56" s="79">
        <f>Q56/L56</f>
        <v>312</v>
      </c>
      <c r="P56" s="139">
        <f>SUM(P42:P55)</f>
        <v>2928.2999999999997</v>
      </c>
      <c r="Q56" s="140">
        <f>SUM(Q42:Q55)</f>
        <v>62400</v>
      </c>
    </row>
    <row r="57" spans="1:13" ht="12.75">
      <c r="A57" s="52" t="s">
        <v>72</v>
      </c>
      <c r="B57" s="50"/>
      <c r="C57" s="58">
        <v>0.85</v>
      </c>
      <c r="D57" s="58">
        <v>0.85</v>
      </c>
      <c r="E57" s="54">
        <v>0.85</v>
      </c>
      <c r="G57" s="36"/>
      <c r="H57" s="36"/>
      <c r="I57" s="36"/>
      <c r="J57" s="36"/>
      <c r="K57" s="105" t="s">
        <v>96</v>
      </c>
      <c r="L57" s="81"/>
      <c r="M57" s="82"/>
    </row>
    <row r="58" spans="1:10" ht="13.5" thickBot="1">
      <c r="A58" s="53" t="s">
        <v>71</v>
      </c>
      <c r="B58" s="16"/>
      <c r="C58" s="59">
        <v>0.85</v>
      </c>
      <c r="D58" s="59">
        <v>0.85</v>
      </c>
      <c r="E58" s="55">
        <v>0.85</v>
      </c>
      <c r="G58" s="36"/>
      <c r="H58" s="56"/>
      <c r="I58" s="36"/>
      <c r="J58" s="36"/>
    </row>
    <row r="60" spans="1:10" ht="13.5" thickBot="1">
      <c r="A60" s="224" t="s">
        <v>127</v>
      </c>
      <c r="B60" s="224"/>
      <c r="C60" s="224"/>
      <c r="D60" s="224"/>
      <c r="E60" s="224"/>
      <c r="G60" s="225" t="s">
        <v>60</v>
      </c>
      <c r="H60" s="225"/>
      <c r="I60" s="225"/>
      <c r="J60" s="225"/>
    </row>
    <row r="61" spans="1:10" ht="12.75">
      <c r="A61" s="8"/>
      <c r="B61" s="62" t="s">
        <v>51</v>
      </c>
      <c r="C61" s="221" t="s">
        <v>124</v>
      </c>
      <c r="D61" s="222"/>
      <c r="E61" s="223"/>
      <c r="G61" s="17" t="s">
        <v>29</v>
      </c>
      <c r="H61" s="33">
        <v>2000</v>
      </c>
      <c r="I61" s="34" t="s">
        <v>128</v>
      </c>
      <c r="J61" s="35"/>
    </row>
    <row r="62" spans="1:10" ht="13.5" thickBot="1">
      <c r="A62" s="11"/>
      <c r="B62" s="65" t="s">
        <v>52</v>
      </c>
      <c r="C62" s="15" t="s">
        <v>17</v>
      </c>
      <c r="D62" s="12" t="s">
        <v>18</v>
      </c>
      <c r="E62" s="13" t="s">
        <v>19</v>
      </c>
      <c r="G62" s="20" t="s">
        <v>122</v>
      </c>
      <c r="H62" s="46">
        <f>L56</f>
        <v>200</v>
      </c>
      <c r="I62" s="41" t="s">
        <v>117</v>
      </c>
      <c r="J62" s="42"/>
    </row>
    <row r="63" spans="1:10" ht="12.75">
      <c r="A63" s="10" t="s">
        <v>48</v>
      </c>
      <c r="B63" s="66">
        <v>2</v>
      </c>
      <c r="C63" s="63">
        <f>C$41*(C$45/12)^C$42*(C$46/3)^C$43/(C$48/0.2)^C$44*((365-C$49)/365)*(C$50/15)*$H$64</f>
        <v>54.85691054289072</v>
      </c>
      <c r="D63" s="63">
        <f>D$41*(D$45/12)^D$42*(D$46/3)^D$43/(D$48/0.2)^D$44*((365-D$49)/365)*(D$50/15)*$H$64</f>
        <v>375.3367563460945</v>
      </c>
      <c r="E63" s="88">
        <f>E$41*(E$45/12)^E$42*(E$46/3)^E$43/(E$48/0.2)^E$44*((365-E$49)/365)*(E$50/15)*$H$64</f>
        <v>1691.5863820809464</v>
      </c>
      <c r="G63" s="20" t="s">
        <v>59</v>
      </c>
      <c r="H63" s="80">
        <f>M56</f>
        <v>312</v>
      </c>
      <c r="I63" s="41" t="s">
        <v>118</v>
      </c>
      <c r="J63" s="42"/>
    </row>
    <row r="64" spans="1:10" ht="12.75">
      <c r="A64" s="4" t="s">
        <v>49</v>
      </c>
      <c r="B64" s="67">
        <v>1</v>
      </c>
      <c r="C64" s="64">
        <f>C$41*(C$45/12)^C$42*(C$46/3)^C$43/(C$47/0.2)^C$44*(C$50/15)*$H$64</f>
        <v>16.490141043454443</v>
      </c>
      <c r="D64" s="64">
        <f>D$41*(D$45/12)^D$42*(D$46/3)^D$43/(D$47/0.2)^D$44*(D$50/15)*$H$64</f>
        <v>112.82728082363563</v>
      </c>
      <c r="E64" s="27">
        <f>E$41*(E$45/12)^E$42*(E$46/3)^E$43/(E$47/0.2)^E$44*(E$50/15)*$H$64</f>
        <v>320.8390379076412</v>
      </c>
      <c r="G64" s="19" t="s">
        <v>30</v>
      </c>
      <c r="H64" s="47">
        <f>H61/5280*2*H62</f>
        <v>151.5151515151515</v>
      </c>
      <c r="I64" s="39" t="s">
        <v>119</v>
      </c>
      <c r="J64" s="40"/>
    </row>
    <row r="65" spans="1:10" ht="13.5" thickBot="1">
      <c r="A65" s="4" t="s">
        <v>49</v>
      </c>
      <c r="B65" s="67" t="s">
        <v>53</v>
      </c>
      <c r="C65" s="64">
        <f>C$41*(C$45/12)^C$42*(C$46/3)^C$43/(C$48/0.2)^C$44*((365-C$49)/365)*(C$50/15)*(1-C$54)*$H$64</f>
        <v>13.71422763572268</v>
      </c>
      <c r="D65" s="64">
        <f>D$41*(D$45/12)^D$42*(D$46/3)^D$43/(D$48/0.2)^D$44*((365-D$49)/365)*(D$50/15)*(1-D$54)*$H$64</f>
        <v>93.83418908652362</v>
      </c>
      <c r="E65" s="27">
        <f>E$41*(E$45/12)^E$42*(E$46/3)^E$43/(E$48/0.2)^E$44*((365-E$49)/365)*(E$50/15)*(1-E$54)*$H$64</f>
        <v>422.8965955202366</v>
      </c>
      <c r="G65" s="18" t="s">
        <v>31</v>
      </c>
      <c r="H65" s="48">
        <f>H64*H63</f>
        <v>47272.727272727265</v>
      </c>
      <c r="I65" s="37" t="s">
        <v>120</v>
      </c>
      <c r="J65" s="38"/>
    </row>
    <row r="66" spans="1:5" ht="12.75">
      <c r="A66" s="4" t="s">
        <v>78</v>
      </c>
      <c r="B66" s="67" t="s">
        <v>53</v>
      </c>
      <c r="C66" s="64">
        <f>C$41*(C$45/12)^C$42*(C$46/3)^C$43/(C$48/0.2)^C$44*((365-C$49)/365)*(C$50/15)*(1-C$55)*$H$64</f>
        <v>10.971382108578142</v>
      </c>
      <c r="D66" s="64">
        <f>D$41*(D$45/12)^D$42*(D$46/3)^D$43/(D$48/0.2)^D$44*((365-D$49)/365)*(D$50/15)*(1-D$55)*$H$64</f>
        <v>75.06735126921888</v>
      </c>
      <c r="E66" s="27">
        <f>E$41*(E$45/12)^E$42*(E$46/3)^E$43/(E$48/0.2)^E$44*((365-E$49)/365)*(E$50/15)*(1-E$55)*$H$64</f>
        <v>338.3172764161892</v>
      </c>
    </row>
    <row r="67" spans="1:5" ht="12.75">
      <c r="A67" s="4" t="s">
        <v>79</v>
      </c>
      <c r="B67" s="67" t="s">
        <v>53</v>
      </c>
      <c r="C67" s="64">
        <f>C$41*(C$45/12)^C$42*(C$46/3)^C$43/(C$48/0.2)^C$44*((365-C$49)/365)*(C$50/15)*(1-C$56)*$H$64</f>
        <v>10.971382108578142</v>
      </c>
      <c r="D67" s="64">
        <f>D$41*(D$45/12)^D$42*(D$46/3)^D$43/(D$48/0.2)^D$44*((365-D$49)/365)*(D$50/15)*(1-D$56)*$H$64</f>
        <v>75.06735126921888</v>
      </c>
      <c r="E67" s="27">
        <f>E$41*(E$45/12)^E$42*(E$46/3)^E$43/(E$48/0.2)^E$44*((365-E$49)/365)*(E$50/15)*(1-E$56)*$H$64</f>
        <v>338.3172764161892</v>
      </c>
    </row>
    <row r="68" spans="1:5" ht="12.75">
      <c r="A68" s="4" t="s">
        <v>70</v>
      </c>
      <c r="B68" s="67" t="s">
        <v>53</v>
      </c>
      <c r="C68" s="64">
        <f>C$41*(C$45/12)^C$42*(C$46/3)^C$43/(C$48/0.2)^C$44*((365-C$49)/365)*(C$50/15)*(1-C$57)*$H$64</f>
        <v>8.228536581433609</v>
      </c>
      <c r="D68" s="64">
        <f>D$41*(D$45/12)^D$42*(D$46/3)^D$43/(D$48/0.2)^D$44*((365-D$49)/365)*(D$50/15)*(1-D$57)*$H$64</f>
        <v>56.30051345191418</v>
      </c>
      <c r="E68" s="27">
        <f>E$41*(E$45/12)^E$42*(E$46/3)^E$43/(E$48/0.2)^E$44*((365-E$49)/365)*(E$50/15)*(1-E$57)*$H$64</f>
        <v>253.737957312142</v>
      </c>
    </row>
    <row r="69" spans="1:5" ht="13.5" thickBot="1">
      <c r="A69" s="7" t="s">
        <v>77</v>
      </c>
      <c r="B69" s="71" t="s">
        <v>53</v>
      </c>
      <c r="C69" s="72">
        <f>C$41*(C$45/12)^C$42*(C$46/3)^C$43/(C$48/0.2)^C$44*((365-C$49)/365)*(C$50/15)*(1-C$58)*$H$64</f>
        <v>8.228536581433609</v>
      </c>
      <c r="D69" s="72">
        <f>D$41*(D$45/12)^D$42*(D$46/3)^D$43/(D$48/0.2)^D$44*((365-D$49)/365)*(D$50/15)*(1-D$58)*$H$64</f>
        <v>56.30051345191418</v>
      </c>
      <c r="E69" s="32">
        <f>E$41*(E$45/12)^E$42*(E$46/3)^E$43/(E$48/0.2)^E$44*((365-E$49)/365)*(E$50/15)*(1-E$58)*$H$64</f>
        <v>253.737957312142</v>
      </c>
    </row>
    <row r="70" spans="1:5" ht="13.5" thickBot="1">
      <c r="A70" s="68"/>
      <c r="B70" s="69"/>
      <c r="C70" s="69"/>
      <c r="D70" s="69"/>
      <c r="E70" s="70"/>
    </row>
    <row r="71" spans="1:6" ht="12.75">
      <c r="A71" s="8"/>
      <c r="B71" s="62" t="s">
        <v>51</v>
      </c>
      <c r="C71" s="221" t="s">
        <v>54</v>
      </c>
      <c r="D71" s="222"/>
      <c r="E71" s="223"/>
      <c r="F71" s="2"/>
    </row>
    <row r="72" spans="1:6" ht="12.75">
      <c r="A72" s="10"/>
      <c r="B72" s="66" t="s">
        <v>52</v>
      </c>
      <c r="C72" s="73" t="s">
        <v>17</v>
      </c>
      <c r="D72" s="60" t="s">
        <v>18</v>
      </c>
      <c r="E72" s="61" t="s">
        <v>19</v>
      </c>
      <c r="F72" s="1"/>
    </row>
    <row r="73" spans="1:5" ht="12.75">
      <c r="A73" s="4" t="s">
        <v>48</v>
      </c>
      <c r="B73" s="67">
        <v>2</v>
      </c>
      <c r="C73" s="64">
        <f>C$41*(C$45/12)^C$42*(C$46/3)^C$43/(C$48/0.2)^C$44*((365-C$49)/365)*(C$50/15)*$H$65/2000</f>
        <v>8.557678044690952</v>
      </c>
      <c r="D73" s="64">
        <f>D$41*(D$45/12)^D$42*(D$46/3)^D$43/(D$48/0.2)^D$44*((365-D$49)/365)*(D$50/15)*$H$65/2000</f>
        <v>58.552533989990735</v>
      </c>
      <c r="E73" s="27">
        <f>E$41*(E$45/12)^E$42*(E$46/3)^E$43/(E$48/0.2)^E$44*((365-E$49)/365)*(E$50/15)*$H$65/2000</f>
        <v>263.88747560462764</v>
      </c>
    </row>
    <row r="74" spans="1:5" ht="12.75">
      <c r="A74" s="4" t="s">
        <v>49</v>
      </c>
      <c r="B74" s="67">
        <v>1</v>
      </c>
      <c r="C74" s="64">
        <f>C$41*(C$45/12)^C$42*(C$46/3)^C$43/(C$47/0.2)^C$44*(C$50/15)*$H$65/2000</f>
        <v>2.572462002778893</v>
      </c>
      <c r="D74" s="64">
        <f>D$41*(D$45/12)^D$42*(D$46/3)^D$43/(D$47/0.2)^D$44*(D$50/15)*$H$65/2000</f>
        <v>17.60105580848716</v>
      </c>
      <c r="E74" s="27">
        <f>E$41*(E$45/12)^E$42*(E$46/3)^E$43/(E$47/0.2)^E$44*(E$50/15)*$H$65/2000</f>
        <v>50.05088991359202</v>
      </c>
    </row>
    <row r="75" spans="1:5" ht="12.75">
      <c r="A75" s="4" t="s">
        <v>49</v>
      </c>
      <c r="B75" s="67" t="s">
        <v>53</v>
      </c>
      <c r="C75" s="64">
        <f>C$41*(C$45/12)^C$42*(C$46/3)^C$43/(C$48/0.2)^C$44*((365-C$49)/365)*(C$50/15)*(1-C$54)*$H$65/2000</f>
        <v>2.139419511172738</v>
      </c>
      <c r="D75" s="64">
        <f>D$41*(D$45/12)^D$42*(D$46/3)^D$43/(D$48/0.2)^D$44*((365-D$49)/365)*(D$50/15)*(1-D$54)*$H$65/2000</f>
        <v>14.638133497497684</v>
      </c>
      <c r="E75" s="27">
        <f>E$41*(E$45/12)^E$42*(E$46/3)^E$43/(E$48/0.2)^E$44*((365-E$49)/365)*(E$50/15)*(1-E$54)*$H$65/2000</f>
        <v>65.97186890115691</v>
      </c>
    </row>
    <row r="76" spans="1:5" ht="12.75">
      <c r="A76" s="4" t="s">
        <v>78</v>
      </c>
      <c r="B76" s="67" t="s">
        <v>53</v>
      </c>
      <c r="C76" s="64">
        <f>C$41*(C$45/12)^C$42*(C$46/3)^C$43/(C$48/0.2)^C$44*((365-C$49)/365)*(C$50/15)*(1-C$55)*$H$65/2000</f>
        <v>1.7115356089381901</v>
      </c>
      <c r="D76" s="64">
        <f>D$41*(D$45/12)^D$42*(D$46/3)^D$43/(D$48/0.2)^D$44*((365-D$49)/365)*(D$50/15)*(1-D$55)*$H$65/2000</f>
        <v>11.710506797998143</v>
      </c>
      <c r="E76" s="27">
        <f>E$41*(E$45/12)^E$42*(E$46/3)^E$43/(E$48/0.2)^E$44*((365-E$49)/365)*(E$50/15)*(1-E$55)*$H$65/2000</f>
        <v>52.77749512092551</v>
      </c>
    </row>
    <row r="77" spans="1:5" ht="12.75">
      <c r="A77" s="4" t="s">
        <v>79</v>
      </c>
      <c r="B77" s="67" t="s">
        <v>53</v>
      </c>
      <c r="C77" s="64">
        <f>C$41*(C$45/12)^C$42*(C$46/3)^C$43/(C$48/0.2)^C$44*((365-C$49)/365)*(C$50/15)*(1-C$56)*$H$65/2000</f>
        <v>1.7115356089381901</v>
      </c>
      <c r="D77" s="64">
        <f>D$41*(D$45/12)^D$42*(D$46/3)^D$43/(D$48/0.2)^D$44*((365-D$49)/365)*(D$50/15)*(1-D$56)*$H$65/2000</f>
        <v>11.710506797998143</v>
      </c>
      <c r="E77" s="27">
        <f>E$41*(E$45/12)^E$42*(E$46/3)^E$43/(E$48/0.2)^E$44*((365-E$49)/365)*(E$50/15)*(1-E$56)*$H$65/2000</f>
        <v>52.77749512092551</v>
      </c>
    </row>
    <row r="78" spans="1:5" ht="12.75">
      <c r="A78" s="4" t="s">
        <v>70</v>
      </c>
      <c r="B78" s="67" t="s">
        <v>53</v>
      </c>
      <c r="C78" s="64">
        <f>C$41*(C$45/12)^C$42*(C$46/3)^C$43/(C$48/0.2)^C$44*((365-C$49)/365)*(C$50/15)*(1-C$57)*$H$65/2000</f>
        <v>1.283651706703643</v>
      </c>
      <c r="D78" s="64">
        <f>D$41*(D$45/12)^D$42*(D$46/3)^D$43/(D$48/0.2)^D$44*((365-D$49)/365)*(D$50/15)*(1-D$57)*$H$65/2000</f>
        <v>8.78288009849861</v>
      </c>
      <c r="E78" s="27">
        <f>E$41*(E$45/12)^E$42*(E$46/3)^E$43/(E$48/0.2)^E$44*((365-E$49)/365)*(E$50/15)*(1-E$57)*$H$65/2000</f>
        <v>39.58312134069415</v>
      </c>
    </row>
    <row r="79" spans="1:5" ht="13.5" thickBot="1">
      <c r="A79" s="7" t="s">
        <v>77</v>
      </c>
      <c r="B79" s="71" t="s">
        <v>53</v>
      </c>
      <c r="C79" s="72">
        <f>C$41*(C$45/12)^C$42*(C$46/3)^C$43/(C$48/0.2)^C$44*((365-C$49)/365)*(C$50/15)*(1-C$58)*$H$65/2000</f>
        <v>1.283651706703643</v>
      </c>
      <c r="D79" s="72">
        <f>D$41*(D$45/12)^D$42*(D$46/3)^D$43/(D$48/0.2)^D$44*((365-D$49)/365)*(D$50/15)*(1-D$58)*$H$65/2000</f>
        <v>8.78288009849861</v>
      </c>
      <c r="E79" s="32">
        <f>E$41*(E$45/12)^E$42*(E$46/3)^E$43/(E$48/0.2)^E$44*((365-E$49)/365)*(E$50/15)*(1-E$58)*$H$65/2000</f>
        <v>39.58312134069415</v>
      </c>
    </row>
  </sheetData>
  <mergeCells count="7">
    <mergeCell ref="C71:E71"/>
    <mergeCell ref="G39:L39"/>
    <mergeCell ref="B39:E39"/>
    <mergeCell ref="C61:E61"/>
    <mergeCell ref="A60:E60"/>
    <mergeCell ref="A52:E52"/>
    <mergeCell ref="G60:J60"/>
  </mergeCells>
  <printOptions/>
  <pageMargins left="0.25" right="0.25" top="0.5" bottom="0.5" header="0.25" footer="0.25"/>
  <pageSetup fitToHeight="0" fitToWidth="1" horizontalDpi="600" verticalDpi="600" orientation="landscape" scale="81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79"/>
  <sheetViews>
    <sheetView workbookViewId="0" topLeftCell="E50">
      <selection activeCell="J69" sqref="J69"/>
    </sheetView>
  </sheetViews>
  <sheetFormatPr defaultColWidth="9.140625" defaultRowHeight="12.75"/>
  <cols>
    <col min="1" max="1" width="14.28125" style="0" bestFit="1" customWidth="1"/>
    <col min="7" max="7" width="14.7109375" style="0" bestFit="1" customWidth="1"/>
    <col min="12" max="12" width="9.8515625" style="0" bestFit="1" customWidth="1"/>
    <col min="13" max="13" width="9.7109375" style="0" bestFit="1" customWidth="1"/>
  </cols>
  <sheetData>
    <row r="1" ht="12.75">
      <c r="A1" t="s">
        <v>126</v>
      </c>
    </row>
    <row r="3" ht="12.75">
      <c r="A3" t="s">
        <v>62</v>
      </c>
    </row>
    <row r="5" ht="14.25">
      <c r="A5" t="s">
        <v>67</v>
      </c>
    </row>
    <row r="7" ht="15.75">
      <c r="A7" t="s">
        <v>68</v>
      </c>
    </row>
    <row r="9" ht="12.75">
      <c r="A9" t="s">
        <v>0</v>
      </c>
    </row>
    <row r="10" ht="15.75">
      <c r="A10" t="s">
        <v>2</v>
      </c>
    </row>
    <row r="11" ht="12.75">
      <c r="A11" t="s">
        <v>1</v>
      </c>
    </row>
    <row r="12" ht="12.75">
      <c r="A12" t="s">
        <v>115</v>
      </c>
    </row>
    <row r="13" ht="12.75">
      <c r="A13" t="s">
        <v>4</v>
      </c>
    </row>
    <row r="14" ht="12.75">
      <c r="A14" t="s">
        <v>5</v>
      </c>
    </row>
    <row r="15" ht="15.75">
      <c r="A15" t="s">
        <v>6</v>
      </c>
    </row>
    <row r="16" ht="12.75">
      <c r="A16" t="s">
        <v>7</v>
      </c>
    </row>
    <row r="17" ht="12.75">
      <c r="A17" t="s">
        <v>61</v>
      </c>
    </row>
    <row r="19" spans="1:2" ht="12.75">
      <c r="A19" s="24" t="s">
        <v>32</v>
      </c>
      <c r="B19" s="24" t="s">
        <v>33</v>
      </c>
    </row>
    <row r="20" spans="1:2" ht="12.75">
      <c r="A20" s="24"/>
      <c r="B20" s="24" t="s">
        <v>35</v>
      </c>
    </row>
    <row r="21" spans="1:2" ht="12.75">
      <c r="A21" s="24"/>
      <c r="B21" s="24" t="s">
        <v>36</v>
      </c>
    </row>
    <row r="22" spans="1:2" ht="12.75">
      <c r="A22" s="24"/>
      <c r="B22" s="24" t="s">
        <v>37</v>
      </c>
    </row>
    <row r="23" spans="1:2" ht="12.75">
      <c r="A23" s="24"/>
      <c r="B23" s="24" t="s">
        <v>39</v>
      </c>
    </row>
    <row r="24" spans="1:2" ht="12.75">
      <c r="A24" s="24"/>
      <c r="B24" s="24" t="s">
        <v>38</v>
      </c>
    </row>
    <row r="25" spans="1:2" ht="12.75">
      <c r="A25" s="24"/>
      <c r="B25" s="24" t="s">
        <v>40</v>
      </c>
    </row>
    <row r="26" spans="1:2" ht="12.75">
      <c r="A26" s="24"/>
      <c r="B26" s="24" t="s">
        <v>41</v>
      </c>
    </row>
    <row r="27" spans="1:2" ht="12.75">
      <c r="A27" s="24"/>
      <c r="B27" s="24" t="s">
        <v>42</v>
      </c>
    </row>
    <row r="28" spans="1:2" ht="12.75">
      <c r="A28" s="24"/>
      <c r="B28" s="24" t="s">
        <v>43</v>
      </c>
    </row>
    <row r="29" spans="1:2" ht="12.75">
      <c r="A29" s="24"/>
      <c r="B29" s="24" t="s">
        <v>44</v>
      </c>
    </row>
    <row r="30" spans="1:2" ht="12.75">
      <c r="A30" s="24"/>
      <c r="B30" s="24" t="s">
        <v>45</v>
      </c>
    </row>
    <row r="31" spans="1:2" ht="12.75">
      <c r="A31" s="24"/>
      <c r="B31" s="24" t="s">
        <v>46</v>
      </c>
    </row>
    <row r="32" spans="1:2" ht="12.75">
      <c r="A32" s="24"/>
      <c r="B32" s="24" t="s">
        <v>76</v>
      </c>
    </row>
    <row r="33" spans="1:2" ht="12.75">
      <c r="A33" s="24"/>
      <c r="B33" s="24" t="s">
        <v>47</v>
      </c>
    </row>
    <row r="34" spans="1:2" ht="12.75">
      <c r="A34" s="24"/>
      <c r="B34" s="24" t="s">
        <v>63</v>
      </c>
    </row>
    <row r="35" spans="1:2" ht="12.75">
      <c r="A35" s="24"/>
      <c r="B35" s="24" t="s">
        <v>64</v>
      </c>
    </row>
    <row r="36" spans="1:2" ht="12.75">
      <c r="A36" s="24"/>
      <c r="B36" s="24" t="s">
        <v>65</v>
      </c>
    </row>
    <row r="37" spans="1:2" ht="12.75">
      <c r="A37" s="24"/>
      <c r="B37" s="24" t="s">
        <v>66</v>
      </c>
    </row>
    <row r="38" ht="13.5" thickBot="1"/>
    <row r="39" spans="2:13" ht="13.5" thickBot="1">
      <c r="B39" s="224" t="s">
        <v>34</v>
      </c>
      <c r="C39" s="224"/>
      <c r="D39" s="224"/>
      <c r="E39" s="224"/>
      <c r="G39" s="224" t="s">
        <v>121</v>
      </c>
      <c r="H39" s="224"/>
      <c r="I39" s="224"/>
      <c r="J39" s="224"/>
      <c r="K39" s="224"/>
      <c r="L39" s="224"/>
      <c r="M39" s="77" t="s">
        <v>55</v>
      </c>
    </row>
    <row r="40" spans="2:13" ht="12.75">
      <c r="B40" s="3"/>
      <c r="C40" s="25" t="s">
        <v>17</v>
      </c>
      <c r="D40" s="25" t="s">
        <v>18</v>
      </c>
      <c r="E40" s="26" t="s">
        <v>19</v>
      </c>
      <c r="G40" s="17"/>
      <c r="H40" s="14" t="s">
        <v>21</v>
      </c>
      <c r="I40" s="9" t="s">
        <v>22</v>
      </c>
      <c r="J40" s="9" t="s">
        <v>24</v>
      </c>
      <c r="K40" s="9" t="s">
        <v>27</v>
      </c>
      <c r="L40" s="74" t="s">
        <v>28</v>
      </c>
      <c r="M40" s="78" t="s">
        <v>56</v>
      </c>
    </row>
    <row r="41" spans="2:17" ht="13.5" thickBot="1">
      <c r="B41" s="4" t="s">
        <v>8</v>
      </c>
      <c r="C41" s="30">
        <v>0.38</v>
      </c>
      <c r="D41" s="30">
        <v>2.6</v>
      </c>
      <c r="E41" s="31">
        <v>10</v>
      </c>
      <c r="G41" s="18" t="s">
        <v>20</v>
      </c>
      <c r="H41" s="15" t="s">
        <v>23</v>
      </c>
      <c r="I41" s="12" t="s">
        <v>23</v>
      </c>
      <c r="J41" s="12" t="s">
        <v>23</v>
      </c>
      <c r="K41" s="12" t="s">
        <v>23</v>
      </c>
      <c r="L41" s="75" t="s">
        <v>25</v>
      </c>
      <c r="M41" s="65" t="s">
        <v>57</v>
      </c>
      <c r="P41" t="s">
        <v>113</v>
      </c>
      <c r="Q41" s="2" t="s">
        <v>114</v>
      </c>
    </row>
    <row r="42" spans="2:17" ht="12.75">
      <c r="B42" s="4" t="s">
        <v>9</v>
      </c>
      <c r="C42" s="30">
        <v>0.8</v>
      </c>
      <c r="D42" s="30">
        <v>0.8</v>
      </c>
      <c r="E42" s="31">
        <v>0.8</v>
      </c>
      <c r="G42" s="3" t="s">
        <v>99</v>
      </c>
      <c r="H42" s="128">
        <f>22000/2000</f>
        <v>11</v>
      </c>
      <c r="I42" s="128">
        <f>23000/2000</f>
        <v>11.5</v>
      </c>
      <c r="J42" s="129">
        <f aca="true" t="shared" si="0" ref="J42:J55">H42+I42</f>
        <v>22.5</v>
      </c>
      <c r="K42" s="129">
        <f aca="true" t="shared" si="1" ref="K42:K55">(H42+J42)/2</f>
        <v>16.75</v>
      </c>
      <c r="L42" s="130">
        <v>20</v>
      </c>
      <c r="M42" s="131">
        <v>312</v>
      </c>
      <c r="P42" s="138">
        <f>K42*L42</f>
        <v>335</v>
      </c>
      <c r="Q42">
        <f>L42*M42</f>
        <v>6240</v>
      </c>
    </row>
    <row r="43" spans="2:17" ht="12.75">
      <c r="B43" s="4" t="s">
        <v>10</v>
      </c>
      <c r="C43" s="30">
        <v>0.4</v>
      </c>
      <c r="D43" s="30">
        <v>0.4</v>
      </c>
      <c r="E43" s="31">
        <v>0.5</v>
      </c>
      <c r="G43" s="4" t="s">
        <v>100</v>
      </c>
      <c r="H43" s="5">
        <f>23000/2000</f>
        <v>11.5</v>
      </c>
      <c r="I43" s="5">
        <f>22000/2000</f>
        <v>11</v>
      </c>
      <c r="J43" s="6">
        <f t="shared" si="0"/>
        <v>22.5</v>
      </c>
      <c r="K43" s="6">
        <f t="shared" si="1"/>
        <v>17</v>
      </c>
      <c r="L43" s="132">
        <v>4</v>
      </c>
      <c r="M43" s="133">
        <v>312</v>
      </c>
      <c r="P43" s="138">
        <f aca="true" t="shared" si="2" ref="P43:Q55">K43*L43</f>
        <v>68</v>
      </c>
      <c r="Q43">
        <f t="shared" si="2"/>
        <v>1248</v>
      </c>
    </row>
    <row r="44" spans="2:17" ht="12.75">
      <c r="B44" s="4" t="s">
        <v>11</v>
      </c>
      <c r="C44" s="30">
        <v>0.3</v>
      </c>
      <c r="D44" s="30">
        <v>0.3</v>
      </c>
      <c r="E44" s="31">
        <v>0.4</v>
      </c>
      <c r="G44" s="4" t="s">
        <v>101</v>
      </c>
      <c r="H44" s="5">
        <f>32000/2000</f>
        <v>16</v>
      </c>
      <c r="I44" s="5">
        <f>48000/2000</f>
        <v>24</v>
      </c>
      <c r="J44" s="6">
        <f t="shared" si="0"/>
        <v>40</v>
      </c>
      <c r="K44" s="6">
        <f t="shared" si="1"/>
        <v>28</v>
      </c>
      <c r="L44" s="132">
        <v>20</v>
      </c>
      <c r="M44" s="133">
        <v>312</v>
      </c>
      <c r="P44" s="138">
        <f t="shared" si="2"/>
        <v>560</v>
      </c>
      <c r="Q44">
        <f t="shared" si="2"/>
        <v>6240</v>
      </c>
    </row>
    <row r="45" spans="2:17" ht="12.75">
      <c r="B45" s="4" t="s">
        <v>12</v>
      </c>
      <c r="C45" s="28">
        <v>11</v>
      </c>
      <c r="D45" s="28">
        <v>11</v>
      </c>
      <c r="E45" s="29">
        <v>11</v>
      </c>
      <c r="G45" s="4" t="s">
        <v>102</v>
      </c>
      <c r="H45" s="5">
        <f>31000/2000</f>
        <v>15.5</v>
      </c>
      <c r="I45" s="5">
        <f>36000/2000</f>
        <v>18</v>
      </c>
      <c r="J45" s="6">
        <f t="shared" si="0"/>
        <v>33.5</v>
      </c>
      <c r="K45" s="6">
        <f t="shared" si="1"/>
        <v>24.5</v>
      </c>
      <c r="L45" s="132">
        <v>10</v>
      </c>
      <c r="M45" s="133">
        <v>312</v>
      </c>
      <c r="P45" s="138">
        <f t="shared" si="2"/>
        <v>245</v>
      </c>
      <c r="Q45">
        <f t="shared" si="2"/>
        <v>3120</v>
      </c>
    </row>
    <row r="46" spans="2:17" ht="12.75">
      <c r="B46" s="4" t="s">
        <v>13</v>
      </c>
      <c r="C46" s="43">
        <f>K56</f>
        <v>14.641499999999999</v>
      </c>
      <c r="D46" s="43">
        <f>K56</f>
        <v>14.641499999999999</v>
      </c>
      <c r="E46" s="44">
        <f>K56</f>
        <v>14.641499999999999</v>
      </c>
      <c r="G46" s="4" t="s">
        <v>103</v>
      </c>
      <c r="H46" s="5">
        <f>15000/2000</f>
        <v>7.5</v>
      </c>
      <c r="I46" s="5">
        <f>20000/2000</f>
        <v>10</v>
      </c>
      <c r="J46" s="6">
        <f t="shared" si="0"/>
        <v>17.5</v>
      </c>
      <c r="K46" s="6">
        <f t="shared" si="1"/>
        <v>12.5</v>
      </c>
      <c r="L46" s="132">
        <v>2</v>
      </c>
      <c r="M46" s="133">
        <v>312</v>
      </c>
      <c r="P46" s="138">
        <f t="shared" si="2"/>
        <v>25</v>
      </c>
      <c r="Q46">
        <f t="shared" si="2"/>
        <v>624</v>
      </c>
    </row>
    <row r="47" spans="2:17" ht="12.75">
      <c r="B47" s="4" t="s">
        <v>14</v>
      </c>
      <c r="C47" s="28">
        <v>20</v>
      </c>
      <c r="D47" s="28">
        <v>20</v>
      </c>
      <c r="E47" s="29">
        <v>20</v>
      </c>
      <c r="G47" s="4" t="s">
        <v>105</v>
      </c>
      <c r="H47" s="5">
        <f>18000/2000</f>
        <v>9</v>
      </c>
      <c r="I47" s="5">
        <f>6000/2000</f>
        <v>3</v>
      </c>
      <c r="J47" s="6">
        <f t="shared" si="0"/>
        <v>12</v>
      </c>
      <c r="K47" s="6">
        <f t="shared" si="1"/>
        <v>10.5</v>
      </c>
      <c r="L47" s="132">
        <v>20</v>
      </c>
      <c r="M47" s="133">
        <v>312</v>
      </c>
      <c r="P47" s="138">
        <f t="shared" si="2"/>
        <v>210</v>
      </c>
      <c r="Q47">
        <f t="shared" si="2"/>
        <v>6240</v>
      </c>
    </row>
    <row r="48" spans="2:17" ht="15.75">
      <c r="B48" s="4" t="s">
        <v>16</v>
      </c>
      <c r="C48" s="28">
        <v>0.2</v>
      </c>
      <c r="D48" s="28">
        <v>0.2</v>
      </c>
      <c r="E48" s="29">
        <v>0.2</v>
      </c>
      <c r="G48" s="4" t="s">
        <v>104</v>
      </c>
      <c r="H48" s="5">
        <f>12000/2000</f>
        <v>6</v>
      </c>
      <c r="I48" s="5">
        <f>4000/2000</f>
        <v>2</v>
      </c>
      <c r="J48" s="6">
        <f t="shared" si="0"/>
        <v>8</v>
      </c>
      <c r="K48" s="6">
        <f t="shared" si="1"/>
        <v>7</v>
      </c>
      <c r="L48" s="132">
        <v>20</v>
      </c>
      <c r="M48" s="133">
        <v>312</v>
      </c>
      <c r="P48" s="138">
        <f t="shared" si="2"/>
        <v>140</v>
      </c>
      <c r="Q48">
        <f t="shared" si="2"/>
        <v>6240</v>
      </c>
    </row>
    <row r="49" spans="2:17" ht="12.75">
      <c r="B49" s="83" t="s">
        <v>15</v>
      </c>
      <c r="C49" s="84">
        <v>60</v>
      </c>
      <c r="D49" s="84">
        <v>60</v>
      </c>
      <c r="E49" s="85">
        <v>60</v>
      </c>
      <c r="G49" s="4" t="s">
        <v>106</v>
      </c>
      <c r="H49" s="5">
        <f>32000/2000</f>
        <v>16</v>
      </c>
      <c r="I49" s="5">
        <f>28000/2000</f>
        <v>14</v>
      </c>
      <c r="J49" s="6">
        <f t="shared" si="0"/>
        <v>30</v>
      </c>
      <c r="K49" s="6">
        <f t="shared" si="1"/>
        <v>23</v>
      </c>
      <c r="L49" s="132">
        <v>20</v>
      </c>
      <c r="M49" s="133">
        <v>312</v>
      </c>
      <c r="P49" s="138">
        <f t="shared" si="2"/>
        <v>460</v>
      </c>
      <c r="Q49">
        <f t="shared" si="2"/>
        <v>6240</v>
      </c>
    </row>
    <row r="50" spans="2:17" ht="13.5" thickBot="1">
      <c r="B50" s="7" t="s">
        <v>69</v>
      </c>
      <c r="C50" s="86">
        <v>15</v>
      </c>
      <c r="D50" s="86">
        <v>15</v>
      </c>
      <c r="E50" s="87">
        <v>15</v>
      </c>
      <c r="G50" s="4" t="s">
        <v>107</v>
      </c>
      <c r="H50" s="5">
        <f>4200/2000</f>
        <v>2.1</v>
      </c>
      <c r="I50" s="5">
        <f>1300/2000</f>
        <v>0.65</v>
      </c>
      <c r="J50" s="6">
        <f t="shared" si="0"/>
        <v>2.75</v>
      </c>
      <c r="K50" s="6">
        <f t="shared" si="1"/>
        <v>2.425</v>
      </c>
      <c r="L50" s="132">
        <v>24</v>
      </c>
      <c r="M50" s="133">
        <v>312</v>
      </c>
      <c r="P50" s="138">
        <f t="shared" si="2"/>
        <v>58.199999999999996</v>
      </c>
      <c r="Q50">
        <f t="shared" si="2"/>
        <v>7488</v>
      </c>
    </row>
    <row r="51" spans="7:17" ht="12.75">
      <c r="G51" s="4" t="s">
        <v>109</v>
      </c>
      <c r="H51" s="5">
        <f>32000/2000</f>
        <v>16</v>
      </c>
      <c r="I51" s="5">
        <f>16000/2000</f>
        <v>8</v>
      </c>
      <c r="J51" s="6">
        <f t="shared" si="0"/>
        <v>24</v>
      </c>
      <c r="K51" s="6">
        <f t="shared" si="1"/>
        <v>20</v>
      </c>
      <c r="L51" s="132">
        <v>20</v>
      </c>
      <c r="M51" s="133">
        <v>312</v>
      </c>
      <c r="P51" s="138">
        <f t="shared" si="2"/>
        <v>400</v>
      </c>
      <c r="Q51">
        <f t="shared" si="2"/>
        <v>6240</v>
      </c>
    </row>
    <row r="52" spans="1:17" ht="13.5" thickBot="1">
      <c r="A52" s="225" t="s">
        <v>50</v>
      </c>
      <c r="B52" s="225"/>
      <c r="C52" s="225"/>
      <c r="D52" s="225"/>
      <c r="E52" s="225"/>
      <c r="G52" s="4" t="s">
        <v>108</v>
      </c>
      <c r="H52" s="5">
        <f>22000/2000</f>
        <v>11</v>
      </c>
      <c r="I52" s="5">
        <f>20000/2000</f>
        <v>10</v>
      </c>
      <c r="J52" s="6">
        <f t="shared" si="0"/>
        <v>21</v>
      </c>
      <c r="K52" s="6">
        <f t="shared" si="1"/>
        <v>16</v>
      </c>
      <c r="L52" s="132">
        <v>20</v>
      </c>
      <c r="M52" s="133">
        <v>312</v>
      </c>
      <c r="P52" s="138">
        <f t="shared" si="2"/>
        <v>320</v>
      </c>
      <c r="Q52">
        <f t="shared" si="2"/>
        <v>6240</v>
      </c>
    </row>
    <row r="53" spans="1:17" ht="12.75">
      <c r="A53" s="51"/>
      <c r="B53" s="49"/>
      <c r="C53" s="25" t="s">
        <v>17</v>
      </c>
      <c r="D53" s="57" t="s">
        <v>18</v>
      </c>
      <c r="E53" s="26" t="s">
        <v>19</v>
      </c>
      <c r="G53" s="4" t="s">
        <v>110</v>
      </c>
      <c r="H53" s="5">
        <f>23000/2000</f>
        <v>11.5</v>
      </c>
      <c r="I53" s="5">
        <f>9000/2000</f>
        <v>4.5</v>
      </c>
      <c r="J53" s="6">
        <f t="shared" si="0"/>
        <v>16</v>
      </c>
      <c r="K53" s="6">
        <f t="shared" si="1"/>
        <v>13.75</v>
      </c>
      <c r="L53" s="132">
        <v>6</v>
      </c>
      <c r="M53" s="133">
        <v>312</v>
      </c>
      <c r="P53" s="138">
        <f t="shared" si="2"/>
        <v>82.5</v>
      </c>
      <c r="Q53">
        <f t="shared" si="2"/>
        <v>1872</v>
      </c>
    </row>
    <row r="54" spans="1:17" ht="12.75">
      <c r="A54" s="52" t="s">
        <v>75</v>
      </c>
      <c r="B54" s="50"/>
      <c r="C54" s="58">
        <v>0.75</v>
      </c>
      <c r="D54" s="58">
        <v>0.75</v>
      </c>
      <c r="E54" s="54">
        <v>0.75</v>
      </c>
      <c r="G54" s="4" t="s">
        <v>111</v>
      </c>
      <c r="H54" s="5">
        <f>3200/2000</f>
        <v>1.6</v>
      </c>
      <c r="I54" s="5">
        <f>200/2000</f>
        <v>0.1</v>
      </c>
      <c r="J54" s="6">
        <f t="shared" si="0"/>
        <v>1.7000000000000002</v>
      </c>
      <c r="K54" s="6">
        <f t="shared" si="1"/>
        <v>1.6500000000000001</v>
      </c>
      <c r="L54" s="132">
        <v>4</v>
      </c>
      <c r="M54" s="133">
        <v>312</v>
      </c>
      <c r="P54" s="138">
        <f t="shared" si="2"/>
        <v>6.6000000000000005</v>
      </c>
      <c r="Q54">
        <f t="shared" si="2"/>
        <v>1248</v>
      </c>
    </row>
    <row r="55" spans="1:17" ht="13.5" thickBot="1">
      <c r="A55" s="52" t="s">
        <v>74</v>
      </c>
      <c r="B55" s="50"/>
      <c r="C55" s="58">
        <v>0.8</v>
      </c>
      <c r="D55" s="58">
        <v>0.8</v>
      </c>
      <c r="E55" s="54">
        <v>0.8</v>
      </c>
      <c r="G55" s="7" t="s">
        <v>112</v>
      </c>
      <c r="H55" s="134">
        <f>3500/2000</f>
        <v>1.75</v>
      </c>
      <c r="I55" s="134">
        <f>200/2000</f>
        <v>0.1</v>
      </c>
      <c r="J55" s="135">
        <f t="shared" si="0"/>
        <v>1.85</v>
      </c>
      <c r="K55" s="135">
        <f t="shared" si="1"/>
        <v>1.8</v>
      </c>
      <c r="L55" s="136">
        <v>10</v>
      </c>
      <c r="M55" s="137">
        <v>312</v>
      </c>
      <c r="P55" s="138">
        <f t="shared" si="2"/>
        <v>18</v>
      </c>
      <c r="Q55">
        <f t="shared" si="2"/>
        <v>3120</v>
      </c>
    </row>
    <row r="56" spans="1:17" ht="13.5" thickBot="1">
      <c r="A56" s="52" t="s">
        <v>73</v>
      </c>
      <c r="B56" s="50"/>
      <c r="C56" s="58">
        <v>0.8</v>
      </c>
      <c r="D56" s="58">
        <v>0.8</v>
      </c>
      <c r="E56" s="54">
        <v>0.8</v>
      </c>
      <c r="G56" s="21" t="s">
        <v>26</v>
      </c>
      <c r="H56" s="22"/>
      <c r="I56" s="23"/>
      <c r="J56" s="23"/>
      <c r="K56" s="45">
        <f>P56/L56</f>
        <v>14.641499999999999</v>
      </c>
      <c r="L56" s="76">
        <f>SUM(L42:L55)</f>
        <v>200</v>
      </c>
      <c r="M56" s="79">
        <f>Q56/L56</f>
        <v>312</v>
      </c>
      <c r="P56" s="139">
        <f>SUM(P42:P55)</f>
        <v>2928.2999999999997</v>
      </c>
      <c r="Q56" s="140">
        <f>SUM(Q42:Q55)</f>
        <v>62400</v>
      </c>
    </row>
    <row r="57" spans="1:13" ht="12.75">
      <c r="A57" s="52" t="s">
        <v>72</v>
      </c>
      <c r="B57" s="50"/>
      <c r="C57" s="58">
        <v>0.85</v>
      </c>
      <c r="D57" s="58">
        <v>0.85</v>
      </c>
      <c r="E57" s="54">
        <v>0.85</v>
      </c>
      <c r="G57" s="36"/>
      <c r="H57" s="36"/>
      <c r="I57" s="36"/>
      <c r="J57" s="36"/>
      <c r="K57" s="105" t="s">
        <v>96</v>
      </c>
      <c r="L57" s="81"/>
      <c r="M57" s="82"/>
    </row>
    <row r="58" spans="1:10" ht="13.5" thickBot="1">
      <c r="A58" s="53" t="s">
        <v>71</v>
      </c>
      <c r="B58" s="16"/>
      <c r="C58" s="59">
        <v>0.85</v>
      </c>
      <c r="D58" s="59">
        <v>0.85</v>
      </c>
      <c r="E58" s="55">
        <v>0.85</v>
      </c>
      <c r="G58" s="36"/>
      <c r="H58" s="56"/>
      <c r="I58" s="36"/>
      <c r="J58" s="36"/>
    </row>
    <row r="60" spans="1:10" ht="13.5" thickBot="1">
      <c r="A60" s="224" t="s">
        <v>127</v>
      </c>
      <c r="B60" s="224"/>
      <c r="C60" s="224"/>
      <c r="D60" s="224"/>
      <c r="E60" s="224"/>
      <c r="G60" s="225" t="s">
        <v>60</v>
      </c>
      <c r="H60" s="225"/>
      <c r="I60" s="225"/>
      <c r="J60" s="225"/>
    </row>
    <row r="61" spans="1:10" ht="12.75">
      <c r="A61" s="8"/>
      <c r="B61" s="62" t="s">
        <v>51</v>
      </c>
      <c r="C61" s="221" t="s">
        <v>124</v>
      </c>
      <c r="D61" s="222"/>
      <c r="E61" s="223"/>
      <c r="G61" s="17" t="s">
        <v>29</v>
      </c>
      <c r="H61" s="33">
        <v>4000</v>
      </c>
      <c r="I61" s="34" t="s">
        <v>128</v>
      </c>
      <c r="J61" s="35"/>
    </row>
    <row r="62" spans="1:10" ht="13.5" thickBot="1">
      <c r="A62" s="11"/>
      <c r="B62" s="65" t="s">
        <v>52</v>
      </c>
      <c r="C62" s="15" t="s">
        <v>17</v>
      </c>
      <c r="D62" s="12" t="s">
        <v>18</v>
      </c>
      <c r="E62" s="13" t="s">
        <v>19</v>
      </c>
      <c r="G62" s="20" t="s">
        <v>122</v>
      </c>
      <c r="H62" s="46">
        <f>L56</f>
        <v>200</v>
      </c>
      <c r="I62" s="41" t="s">
        <v>117</v>
      </c>
      <c r="J62" s="42"/>
    </row>
    <row r="63" spans="1:10" ht="12.75">
      <c r="A63" s="10" t="s">
        <v>48</v>
      </c>
      <c r="B63" s="66">
        <v>2</v>
      </c>
      <c r="C63" s="63">
        <f>C$41*(C$45/12)^C$42*(C$46/3)^C$43/(C$48/0.2)^C$44*((365-C$49)/365)*(C$50/15)*$H$64</f>
        <v>169.21213680648057</v>
      </c>
      <c r="D63" s="63">
        <f>D$41*(D$45/12)^D$42*(D$46/3)^D$43/(D$48/0.2)^D$44*((365-D$49)/365)*(D$50/15)*$H$64</f>
        <v>1157.7672518338143</v>
      </c>
      <c r="E63" s="88">
        <f>E$41*(E$45/12)^E$42*(E$46/3)^E$43/(E$48/0.2)^E$44*((365-E$49)/365)*(E$50/15)*$H$64</f>
        <v>5217.8830975335695</v>
      </c>
      <c r="G63" s="20" t="s">
        <v>59</v>
      </c>
      <c r="H63" s="80">
        <f>M56</f>
        <v>312</v>
      </c>
      <c r="I63" s="41" t="s">
        <v>118</v>
      </c>
      <c r="J63" s="42"/>
    </row>
    <row r="64" spans="1:10" ht="12.75">
      <c r="A64" s="4" t="s">
        <v>49</v>
      </c>
      <c r="B64" s="67">
        <v>1</v>
      </c>
      <c r="C64" s="64">
        <f>C$41*(C$45/12)^C$42*(C$46/3)^C$43/(C$47/0.2)^C$44*(C$50/15)*$H$64</f>
        <v>50.86564253416183</v>
      </c>
      <c r="D64" s="64">
        <f>D$41*(D$45/12)^D$42*(D$46/3)^D$43/(D$47/0.2)^D$44*(D$50/15)*$H$64</f>
        <v>348.0280804968967</v>
      </c>
      <c r="E64" s="27">
        <f>E$41*(E$45/12)^E$42*(E$46/3)^E$43/(E$47/0.2)^E$44*(E$50/15)*$H$64</f>
        <v>989.6630823356343</v>
      </c>
      <c r="G64" s="19" t="s">
        <v>30</v>
      </c>
      <c r="H64" s="47">
        <f>H61/5280*2*H62</f>
        <v>303.030303030303</v>
      </c>
      <c r="I64" s="39" t="s">
        <v>119</v>
      </c>
      <c r="J64" s="40"/>
    </row>
    <row r="65" spans="1:10" ht="13.5" thickBot="1">
      <c r="A65" s="4" t="s">
        <v>49</v>
      </c>
      <c r="B65" s="67" t="s">
        <v>53</v>
      </c>
      <c r="C65" s="64">
        <f>C$41*(C$45/12)^C$42*(C$46/3)^C$43/(C$48/0.2)^C$44*((365-C$49)/365)*(C$50/15)*(1-C$54)*$H$64</f>
        <v>42.30303420162014</v>
      </c>
      <c r="D65" s="64">
        <f>D$41*(D$45/12)^D$42*(D$46/3)^D$43/(D$48/0.2)^D$44*((365-D$49)/365)*(D$50/15)*(1-D$54)*$H$64</f>
        <v>289.44181295845357</v>
      </c>
      <c r="E65" s="27">
        <f>E$41*(E$45/12)^E$42*(E$46/3)^E$43/(E$48/0.2)^E$44*((365-E$49)/365)*(E$50/15)*(1-E$54)*$H$64</f>
        <v>1304.4707743833924</v>
      </c>
      <c r="G65" s="18" t="s">
        <v>31</v>
      </c>
      <c r="H65" s="48">
        <f>H64*H63</f>
        <v>94545.45454545453</v>
      </c>
      <c r="I65" s="37" t="s">
        <v>120</v>
      </c>
      <c r="J65" s="38"/>
    </row>
    <row r="66" spans="1:5" ht="12.75">
      <c r="A66" s="4" t="s">
        <v>78</v>
      </c>
      <c r="B66" s="67" t="s">
        <v>53</v>
      </c>
      <c r="C66" s="64">
        <f>C$41*(C$45/12)^C$42*(C$46/3)^C$43/(C$48/0.2)^C$44*((365-C$49)/365)*(C$50/15)*(1-C$55)*$H$64</f>
        <v>33.8424273612961</v>
      </c>
      <c r="D66" s="64">
        <f>D$41*(D$45/12)^D$42*(D$46/3)^D$43/(D$48/0.2)^D$44*((365-D$49)/365)*(D$50/15)*(1-D$55)*$H$64</f>
        <v>231.5534503667628</v>
      </c>
      <c r="E66" s="27">
        <f>E$41*(E$45/12)^E$42*(E$46/3)^E$43/(E$48/0.2)^E$44*((365-E$49)/365)*(E$50/15)*(1-E$55)*$H$64</f>
        <v>1043.5766195067138</v>
      </c>
    </row>
    <row r="67" spans="1:5" ht="12.75">
      <c r="A67" s="4" t="s">
        <v>79</v>
      </c>
      <c r="B67" s="67" t="s">
        <v>53</v>
      </c>
      <c r="C67" s="64">
        <f>C$41*(C$45/12)^C$42*(C$46/3)^C$43/(C$48/0.2)^C$44*((365-C$49)/365)*(C$50/15)*(1-C$56)*$H$64</f>
        <v>33.8424273612961</v>
      </c>
      <c r="D67" s="64">
        <f>D$41*(D$45/12)^D$42*(D$46/3)^D$43/(D$48/0.2)^D$44*((365-D$49)/365)*(D$50/15)*(1-D$56)*$H$64</f>
        <v>231.5534503667628</v>
      </c>
      <c r="E67" s="27">
        <f>E$41*(E$45/12)^E$42*(E$46/3)^E$43/(E$48/0.2)^E$44*((365-E$49)/365)*(E$50/15)*(1-E$56)*$H$64</f>
        <v>1043.5766195067138</v>
      </c>
    </row>
    <row r="68" spans="1:5" ht="12.75">
      <c r="A68" s="4" t="s">
        <v>70</v>
      </c>
      <c r="B68" s="67" t="s">
        <v>53</v>
      </c>
      <c r="C68" s="64">
        <f>C$41*(C$45/12)^C$42*(C$46/3)^C$43/(C$48/0.2)^C$44*((365-C$49)/365)*(C$50/15)*(1-C$57)*$H$64</f>
        <v>25.381820520972088</v>
      </c>
      <c r="D68" s="64">
        <f>D$41*(D$45/12)^D$42*(D$46/3)^D$43/(D$48/0.2)^D$44*((365-D$49)/365)*(D$50/15)*(1-D$57)*$H$64</f>
        <v>173.66508777507215</v>
      </c>
      <c r="E68" s="27">
        <f>E$41*(E$45/12)^E$42*(E$46/3)^E$43/(E$48/0.2)^E$44*((365-E$49)/365)*(E$50/15)*(1-E$57)*$H$64</f>
        <v>782.6824646300355</v>
      </c>
    </row>
    <row r="69" spans="1:5" ht="13.5" thickBot="1">
      <c r="A69" s="7" t="s">
        <v>77</v>
      </c>
      <c r="B69" s="71" t="s">
        <v>53</v>
      </c>
      <c r="C69" s="72">
        <f>C$41*(C$45/12)^C$42*(C$46/3)^C$43/(C$48/0.2)^C$44*((365-C$49)/365)*(C$50/15)*(1-C$58)*$H$64</f>
        <v>25.381820520972088</v>
      </c>
      <c r="D69" s="72">
        <f>D$41*(D$45/12)^D$42*(D$46/3)^D$43/(D$48/0.2)^D$44*((365-D$49)/365)*(D$50/15)*(1-D$58)*$H$64</f>
        <v>173.66508777507215</v>
      </c>
      <c r="E69" s="32">
        <f>E$41*(E$45/12)^E$42*(E$46/3)^E$43/(E$48/0.2)^E$44*((365-E$49)/365)*(E$50/15)*(1-E$58)*$H$64</f>
        <v>782.6824646300355</v>
      </c>
    </row>
    <row r="70" spans="1:5" ht="13.5" thickBot="1">
      <c r="A70" s="68"/>
      <c r="B70" s="69"/>
      <c r="C70" s="69"/>
      <c r="D70" s="69"/>
      <c r="E70" s="70"/>
    </row>
    <row r="71" spans="1:6" ht="12.75">
      <c r="A71" s="8"/>
      <c r="B71" s="62" t="s">
        <v>51</v>
      </c>
      <c r="C71" s="221" t="s">
        <v>54</v>
      </c>
      <c r="D71" s="222"/>
      <c r="E71" s="223"/>
      <c r="F71" s="2"/>
    </row>
    <row r="72" spans="1:6" ht="12.75">
      <c r="A72" s="10"/>
      <c r="B72" s="66" t="s">
        <v>52</v>
      </c>
      <c r="C72" s="73" t="s">
        <v>17</v>
      </c>
      <c r="D72" s="60" t="s">
        <v>18</v>
      </c>
      <c r="E72" s="61" t="s">
        <v>19</v>
      </c>
      <c r="F72" s="1"/>
    </row>
    <row r="73" spans="1:5" ht="12.75">
      <c r="A73" s="4" t="s">
        <v>48</v>
      </c>
      <c r="B73" s="67">
        <v>2</v>
      </c>
      <c r="C73" s="64">
        <f>C$41*(C$45/12)^C$42*(C$46/3)^C$43/(C$48/0.2)^C$44*((365-C$49)/365)*(C$50/15)*$H$65/2000</f>
        <v>26.39709334181097</v>
      </c>
      <c r="D73" s="64">
        <f>D$41*(D$45/12)^D$42*(D$46/3)^D$43/(D$48/0.2)^D$44*((365-D$49)/365)*(D$50/15)*$H$65/2000</f>
        <v>180.61169128607503</v>
      </c>
      <c r="E73" s="27">
        <f>E$41*(E$45/12)^E$42*(E$46/3)^E$43/(E$48/0.2)^E$44*((365-E$49)/365)*(E$50/15)*$H$65/2000</f>
        <v>813.9897632152368</v>
      </c>
    </row>
    <row r="74" spans="1:5" ht="12.75">
      <c r="A74" s="4" t="s">
        <v>49</v>
      </c>
      <c r="B74" s="67">
        <v>1</v>
      </c>
      <c r="C74" s="64">
        <f>C$41*(C$45/12)^C$42*(C$46/3)^C$43/(C$47/0.2)^C$44*(C$50/15)*$H$65/2000</f>
        <v>7.935040235329245</v>
      </c>
      <c r="D74" s="64">
        <f>D$41*(D$45/12)^D$42*(D$46/3)^D$43/(D$47/0.2)^D$44*(D$50/15)*$H$65/2000</f>
        <v>54.29238055751588</v>
      </c>
      <c r="E74" s="27">
        <f>E$41*(E$45/12)^E$42*(E$46/3)^E$43/(E$47/0.2)^E$44*(E$50/15)*$H$65/2000</f>
        <v>154.38744084435893</v>
      </c>
    </row>
    <row r="75" spans="1:5" ht="12.75">
      <c r="A75" s="4" t="s">
        <v>49</v>
      </c>
      <c r="B75" s="67" t="s">
        <v>53</v>
      </c>
      <c r="C75" s="64">
        <f>C$41*(C$45/12)^C$42*(C$46/3)^C$43/(C$48/0.2)^C$44*((365-C$49)/365)*(C$50/15)*(1-C$54)*$H$65/2000</f>
        <v>6.599273335452742</v>
      </c>
      <c r="D75" s="64">
        <f>D$41*(D$45/12)^D$42*(D$46/3)^D$43/(D$48/0.2)^D$44*((365-D$49)/365)*(D$50/15)*(1-D$54)*$H$65/2000</f>
        <v>45.15292282151876</v>
      </c>
      <c r="E75" s="27">
        <f>E$41*(E$45/12)^E$42*(E$46/3)^E$43/(E$48/0.2)^E$44*((365-E$49)/365)*(E$50/15)*(1-E$54)*$H$65/2000</f>
        <v>203.4974408038092</v>
      </c>
    </row>
    <row r="76" spans="1:5" ht="12.75">
      <c r="A76" s="4" t="s">
        <v>78</v>
      </c>
      <c r="B76" s="67" t="s">
        <v>53</v>
      </c>
      <c r="C76" s="64">
        <f>C$41*(C$45/12)^C$42*(C$46/3)^C$43/(C$48/0.2)^C$44*((365-C$49)/365)*(C$50/15)*(1-C$55)*$H$65/2000</f>
        <v>5.279418668362192</v>
      </c>
      <c r="D76" s="64">
        <f>D$41*(D$45/12)^D$42*(D$46/3)^D$43/(D$48/0.2)^D$44*((365-D$49)/365)*(D$50/15)*(1-D$55)*$H$65/2000</f>
        <v>36.12233825721499</v>
      </c>
      <c r="E76" s="27">
        <f>E$41*(E$45/12)^E$42*(E$46/3)^E$43/(E$48/0.2)^E$44*((365-E$49)/365)*(E$50/15)*(1-E$55)*$H$65/2000</f>
        <v>162.79795264304732</v>
      </c>
    </row>
    <row r="77" spans="1:5" ht="12.75">
      <c r="A77" s="4" t="s">
        <v>79</v>
      </c>
      <c r="B77" s="67" t="s">
        <v>53</v>
      </c>
      <c r="C77" s="64">
        <f>C$41*(C$45/12)^C$42*(C$46/3)^C$43/(C$48/0.2)^C$44*((365-C$49)/365)*(C$50/15)*(1-C$56)*$H$65/2000</f>
        <v>5.279418668362192</v>
      </c>
      <c r="D77" s="64">
        <f>D$41*(D$45/12)^D$42*(D$46/3)^D$43/(D$48/0.2)^D$44*((365-D$49)/365)*(D$50/15)*(1-D$56)*$H$65/2000</f>
        <v>36.12233825721499</v>
      </c>
      <c r="E77" s="27">
        <f>E$41*(E$45/12)^E$42*(E$46/3)^E$43/(E$48/0.2)^E$44*((365-E$49)/365)*(E$50/15)*(1-E$56)*$H$65/2000</f>
        <v>162.79795264304732</v>
      </c>
    </row>
    <row r="78" spans="1:5" ht="12.75">
      <c r="A78" s="4" t="s">
        <v>70</v>
      </c>
      <c r="B78" s="67" t="s">
        <v>53</v>
      </c>
      <c r="C78" s="64">
        <f>C$41*(C$45/12)^C$42*(C$46/3)^C$43/(C$48/0.2)^C$44*((365-C$49)/365)*(C$50/15)*(1-C$57)*$H$65/2000</f>
        <v>3.9595640012716453</v>
      </c>
      <c r="D78" s="64">
        <f>D$41*(D$45/12)^D$42*(D$46/3)^D$43/(D$48/0.2)^D$44*((365-D$49)/365)*(D$50/15)*(1-D$57)*$H$65/2000</f>
        <v>27.091753692911254</v>
      </c>
      <c r="E78" s="27">
        <f>E$41*(E$45/12)^E$42*(E$46/3)^E$43/(E$48/0.2)^E$44*((365-E$49)/365)*(E$50/15)*(1-E$57)*$H$65/2000</f>
        <v>122.09846448228554</v>
      </c>
    </row>
    <row r="79" spans="1:5" ht="13.5" thickBot="1">
      <c r="A79" s="7" t="s">
        <v>77</v>
      </c>
      <c r="B79" s="71" t="s">
        <v>53</v>
      </c>
      <c r="C79" s="72">
        <f>C$41*(C$45/12)^C$42*(C$46/3)^C$43/(C$48/0.2)^C$44*((365-C$49)/365)*(C$50/15)*(1-C$58)*$H$65/2000</f>
        <v>3.9595640012716453</v>
      </c>
      <c r="D79" s="72">
        <f>D$41*(D$45/12)^D$42*(D$46/3)^D$43/(D$48/0.2)^D$44*((365-D$49)/365)*(D$50/15)*(1-D$58)*$H$65/2000</f>
        <v>27.091753692911254</v>
      </c>
      <c r="E79" s="32">
        <f>E$41*(E$45/12)^E$42*(E$46/3)^E$43/(E$48/0.2)^E$44*((365-E$49)/365)*(E$50/15)*(1-E$58)*$H$65/2000</f>
        <v>122.09846448228554</v>
      </c>
    </row>
  </sheetData>
  <mergeCells count="7">
    <mergeCell ref="C71:E71"/>
    <mergeCell ref="G39:L39"/>
    <mergeCell ref="B39:E39"/>
    <mergeCell ref="C61:E61"/>
    <mergeCell ref="A60:E60"/>
    <mergeCell ref="A52:E52"/>
    <mergeCell ref="G60:J60"/>
  </mergeCells>
  <printOptions/>
  <pageMargins left="0.25" right="0.25" top="0.5" bottom="0.5" header="0.25" footer="0.25"/>
  <pageSetup horizontalDpi="600" verticalDpi="600" orientation="landscape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79"/>
  <sheetViews>
    <sheetView workbookViewId="0" topLeftCell="A36">
      <selection activeCell="A56" sqref="A56"/>
    </sheetView>
  </sheetViews>
  <sheetFormatPr defaultColWidth="9.140625" defaultRowHeight="12.75"/>
  <cols>
    <col min="1" max="1" width="14.28125" style="0" bestFit="1" customWidth="1"/>
    <col min="7" max="7" width="14.7109375" style="0" bestFit="1" customWidth="1"/>
    <col min="12" max="12" width="9.8515625" style="0" bestFit="1" customWidth="1"/>
    <col min="13" max="13" width="9.7109375" style="0" bestFit="1" customWidth="1"/>
  </cols>
  <sheetData>
    <row r="1" ht="12.75">
      <c r="A1" t="s">
        <v>129</v>
      </c>
    </row>
    <row r="3" ht="12.75">
      <c r="A3" t="s">
        <v>62</v>
      </c>
    </row>
    <row r="5" ht="14.25">
      <c r="A5" t="s">
        <v>67</v>
      </c>
    </row>
    <row r="7" ht="15.75">
      <c r="A7" t="s">
        <v>68</v>
      </c>
    </row>
    <row r="9" ht="12.75">
      <c r="A9" t="s">
        <v>0</v>
      </c>
    </row>
    <row r="10" ht="15.75">
      <c r="A10" t="s">
        <v>2</v>
      </c>
    </row>
    <row r="11" ht="12.75">
      <c r="A11" t="s">
        <v>1</v>
      </c>
    </row>
    <row r="12" ht="12.75">
      <c r="A12" t="s">
        <v>115</v>
      </c>
    </row>
    <row r="13" ht="12.75">
      <c r="A13" t="s">
        <v>4</v>
      </c>
    </row>
    <row r="14" ht="12.75">
      <c r="A14" t="s">
        <v>5</v>
      </c>
    </row>
    <row r="15" ht="15.75">
      <c r="A15" t="s">
        <v>6</v>
      </c>
    </row>
    <row r="16" ht="12.75">
      <c r="A16" t="s">
        <v>7</v>
      </c>
    </row>
    <row r="17" ht="12.75">
      <c r="A17" t="s">
        <v>61</v>
      </c>
    </row>
    <row r="19" spans="1:2" ht="12.75">
      <c r="A19" s="24" t="s">
        <v>32</v>
      </c>
      <c r="B19" s="24" t="s">
        <v>33</v>
      </c>
    </row>
    <row r="20" spans="1:2" ht="12.75">
      <c r="A20" s="24"/>
      <c r="B20" s="24" t="s">
        <v>35</v>
      </c>
    </row>
    <row r="21" spans="1:2" ht="12.75">
      <c r="A21" s="24"/>
      <c r="B21" s="24" t="s">
        <v>36</v>
      </c>
    </row>
    <row r="22" spans="1:2" ht="12.75">
      <c r="A22" s="24"/>
      <c r="B22" s="24" t="s">
        <v>37</v>
      </c>
    </row>
    <row r="23" spans="1:2" ht="12.75">
      <c r="A23" s="24"/>
      <c r="B23" s="24" t="s">
        <v>39</v>
      </c>
    </row>
    <row r="24" spans="1:2" ht="12.75">
      <c r="A24" s="24"/>
      <c r="B24" s="24" t="s">
        <v>38</v>
      </c>
    </row>
    <row r="25" spans="1:2" ht="12.75">
      <c r="A25" s="24"/>
      <c r="B25" s="24" t="s">
        <v>40</v>
      </c>
    </row>
    <row r="26" spans="1:2" ht="12.75">
      <c r="A26" s="24"/>
      <c r="B26" s="24" t="s">
        <v>41</v>
      </c>
    </row>
    <row r="27" spans="1:2" ht="12.75">
      <c r="A27" s="24"/>
      <c r="B27" s="24" t="s">
        <v>42</v>
      </c>
    </row>
    <row r="28" spans="1:2" ht="12.75">
      <c r="A28" s="24"/>
      <c r="B28" s="24" t="s">
        <v>43</v>
      </c>
    </row>
    <row r="29" spans="1:2" ht="12.75">
      <c r="A29" s="24"/>
      <c r="B29" s="24" t="s">
        <v>44</v>
      </c>
    </row>
    <row r="30" spans="1:2" ht="12.75">
      <c r="A30" s="24"/>
      <c r="B30" s="24" t="s">
        <v>45</v>
      </c>
    </row>
    <row r="31" spans="1:2" ht="12.75">
      <c r="A31" s="24"/>
      <c r="B31" s="24" t="s">
        <v>46</v>
      </c>
    </row>
    <row r="32" spans="1:2" ht="12.75">
      <c r="A32" s="24"/>
      <c r="B32" s="24" t="s">
        <v>76</v>
      </c>
    </row>
    <row r="33" spans="1:2" ht="12.75">
      <c r="A33" s="24"/>
      <c r="B33" s="24" t="s">
        <v>47</v>
      </c>
    </row>
    <row r="34" spans="1:2" ht="12.75">
      <c r="A34" s="24"/>
      <c r="B34" s="24" t="s">
        <v>63</v>
      </c>
    </row>
    <row r="35" spans="1:2" ht="12.75">
      <c r="A35" s="24"/>
      <c r="B35" s="24" t="s">
        <v>64</v>
      </c>
    </row>
    <row r="36" spans="1:2" ht="12.75">
      <c r="A36" s="24"/>
      <c r="B36" s="24" t="s">
        <v>65</v>
      </c>
    </row>
    <row r="37" spans="1:2" ht="12.75">
      <c r="A37" s="24"/>
      <c r="B37" s="24" t="s">
        <v>66</v>
      </c>
    </row>
    <row r="38" ht="13.5" thickBot="1"/>
    <row r="39" spans="2:13" ht="13.5" thickBot="1">
      <c r="B39" s="224" t="s">
        <v>34</v>
      </c>
      <c r="C39" s="224"/>
      <c r="D39" s="224"/>
      <c r="E39" s="224"/>
      <c r="G39" s="224" t="s">
        <v>130</v>
      </c>
      <c r="H39" s="224"/>
      <c r="I39" s="224"/>
      <c r="J39" s="224"/>
      <c r="K39" s="224"/>
      <c r="L39" s="224"/>
      <c r="M39" s="77" t="s">
        <v>55</v>
      </c>
    </row>
    <row r="40" spans="2:13" ht="12.75">
      <c r="B40" s="3"/>
      <c r="C40" s="25" t="s">
        <v>17</v>
      </c>
      <c r="D40" s="25" t="s">
        <v>18</v>
      </c>
      <c r="E40" s="26" t="s">
        <v>19</v>
      </c>
      <c r="G40" s="17"/>
      <c r="H40" s="14" t="s">
        <v>21</v>
      </c>
      <c r="I40" s="9" t="s">
        <v>22</v>
      </c>
      <c r="J40" s="9" t="s">
        <v>24</v>
      </c>
      <c r="K40" s="9" t="s">
        <v>27</v>
      </c>
      <c r="L40" s="74" t="s">
        <v>28</v>
      </c>
      <c r="M40" s="78" t="s">
        <v>56</v>
      </c>
    </row>
    <row r="41" spans="2:17" ht="13.5" thickBot="1">
      <c r="B41" s="4" t="s">
        <v>8</v>
      </c>
      <c r="C41" s="30">
        <v>0.38</v>
      </c>
      <c r="D41" s="30">
        <v>2.6</v>
      </c>
      <c r="E41" s="31">
        <v>10</v>
      </c>
      <c r="G41" s="18" t="s">
        <v>20</v>
      </c>
      <c r="H41" s="15" t="s">
        <v>23</v>
      </c>
      <c r="I41" s="12" t="s">
        <v>23</v>
      </c>
      <c r="J41" s="12" t="s">
        <v>23</v>
      </c>
      <c r="K41" s="12" t="s">
        <v>23</v>
      </c>
      <c r="L41" s="75" t="s">
        <v>25</v>
      </c>
      <c r="M41" s="65" t="s">
        <v>57</v>
      </c>
      <c r="P41" t="s">
        <v>113</v>
      </c>
      <c r="Q41" s="2" t="s">
        <v>114</v>
      </c>
    </row>
    <row r="42" spans="2:17" ht="12.75">
      <c r="B42" s="4" t="s">
        <v>9</v>
      </c>
      <c r="C42" s="30">
        <v>0.8</v>
      </c>
      <c r="D42" s="30">
        <v>0.8</v>
      </c>
      <c r="E42" s="31">
        <v>0.8</v>
      </c>
      <c r="G42" s="3" t="s">
        <v>131</v>
      </c>
      <c r="H42" s="128">
        <f>15000/2000</f>
        <v>7.5</v>
      </c>
      <c r="I42" s="128">
        <f>11000/2000</f>
        <v>5.5</v>
      </c>
      <c r="J42" s="129">
        <f aca="true" t="shared" si="0" ref="J42:J55">H42+I42</f>
        <v>13</v>
      </c>
      <c r="K42" s="129">
        <f aca="true" t="shared" si="1" ref="K42:K55">(H42+J42)/2</f>
        <v>10.25</v>
      </c>
      <c r="L42" s="130">
        <v>0</v>
      </c>
      <c r="M42" s="131">
        <v>312</v>
      </c>
      <c r="P42" s="138">
        <f aca="true" t="shared" si="2" ref="P42:P55">K42*L42</f>
        <v>0</v>
      </c>
      <c r="Q42">
        <f aca="true" t="shared" si="3" ref="Q42:Q55">L42*M42</f>
        <v>0</v>
      </c>
    </row>
    <row r="43" spans="2:17" ht="12.75">
      <c r="B43" s="4" t="s">
        <v>10</v>
      </c>
      <c r="C43" s="30">
        <v>0.4</v>
      </c>
      <c r="D43" s="30">
        <v>0.4</v>
      </c>
      <c r="E43" s="31">
        <v>0.5</v>
      </c>
      <c r="G43" s="4" t="s">
        <v>132</v>
      </c>
      <c r="H43" s="5">
        <f>38000/2000</f>
        <v>19</v>
      </c>
      <c r="I43" s="5">
        <f>20000/2000</f>
        <v>10</v>
      </c>
      <c r="J43" s="6">
        <f t="shared" si="0"/>
        <v>29</v>
      </c>
      <c r="K43" s="6">
        <f t="shared" si="1"/>
        <v>24</v>
      </c>
      <c r="L43" s="132">
        <v>0</v>
      </c>
      <c r="M43" s="133">
        <v>312</v>
      </c>
      <c r="P43" s="138">
        <f t="shared" si="2"/>
        <v>0</v>
      </c>
      <c r="Q43">
        <f t="shared" si="3"/>
        <v>0</v>
      </c>
    </row>
    <row r="44" spans="2:17" ht="12.75">
      <c r="B44" s="4" t="s">
        <v>11</v>
      </c>
      <c r="C44" s="30">
        <v>0.3</v>
      </c>
      <c r="D44" s="30">
        <v>0.3</v>
      </c>
      <c r="E44" s="31">
        <v>0.4</v>
      </c>
      <c r="G44" s="4" t="s">
        <v>133</v>
      </c>
      <c r="H44" s="5">
        <f>46000/2000</f>
        <v>23</v>
      </c>
      <c r="I44" s="5">
        <v>0</v>
      </c>
      <c r="J44" s="6">
        <f t="shared" si="0"/>
        <v>23</v>
      </c>
      <c r="K44" s="6">
        <f t="shared" si="1"/>
        <v>23</v>
      </c>
      <c r="L44" s="132">
        <v>2</v>
      </c>
      <c r="M44" s="133">
        <v>312</v>
      </c>
      <c r="P44" s="138">
        <f t="shared" si="2"/>
        <v>46</v>
      </c>
      <c r="Q44">
        <f t="shared" si="3"/>
        <v>624</v>
      </c>
    </row>
    <row r="45" spans="2:17" ht="12.75">
      <c r="B45" s="4" t="s">
        <v>12</v>
      </c>
      <c r="C45" s="28">
        <v>11</v>
      </c>
      <c r="D45" s="28">
        <v>11</v>
      </c>
      <c r="E45" s="29">
        <v>11</v>
      </c>
      <c r="G45" s="4" t="s">
        <v>134</v>
      </c>
      <c r="H45" s="5">
        <f>85000/2000</f>
        <v>42.5</v>
      </c>
      <c r="I45" s="5">
        <v>0</v>
      </c>
      <c r="J45" s="6">
        <f t="shared" si="0"/>
        <v>42.5</v>
      </c>
      <c r="K45" s="6">
        <f t="shared" si="1"/>
        <v>42.5</v>
      </c>
      <c r="L45" s="132">
        <v>2</v>
      </c>
      <c r="M45" s="133">
        <v>312</v>
      </c>
      <c r="P45" s="138">
        <f t="shared" si="2"/>
        <v>85</v>
      </c>
      <c r="Q45">
        <f t="shared" si="3"/>
        <v>624</v>
      </c>
    </row>
    <row r="46" spans="2:17" ht="12.75">
      <c r="B46" s="4" t="s">
        <v>13</v>
      </c>
      <c r="C46" s="43">
        <f>K56</f>
        <v>31.39814814814815</v>
      </c>
      <c r="D46" s="43">
        <f>K56</f>
        <v>31.39814814814815</v>
      </c>
      <c r="E46" s="44">
        <f>K56</f>
        <v>31.39814814814815</v>
      </c>
      <c r="G46" s="4" t="s">
        <v>135</v>
      </c>
      <c r="H46" s="5">
        <f>110000/2000</f>
        <v>55</v>
      </c>
      <c r="I46" s="5">
        <v>0</v>
      </c>
      <c r="J46" s="6">
        <f t="shared" si="0"/>
        <v>55</v>
      </c>
      <c r="K46" s="6">
        <f t="shared" si="1"/>
        <v>55</v>
      </c>
      <c r="L46" s="132">
        <v>2</v>
      </c>
      <c r="M46" s="133">
        <v>312</v>
      </c>
      <c r="P46" s="138">
        <f t="shared" si="2"/>
        <v>110</v>
      </c>
      <c r="Q46">
        <f t="shared" si="3"/>
        <v>624</v>
      </c>
    </row>
    <row r="47" spans="2:17" ht="12.75">
      <c r="B47" s="4" t="s">
        <v>14</v>
      </c>
      <c r="C47" s="28">
        <v>20</v>
      </c>
      <c r="D47" s="28">
        <v>20</v>
      </c>
      <c r="E47" s="29">
        <v>20</v>
      </c>
      <c r="G47" s="4" t="s">
        <v>139</v>
      </c>
      <c r="H47" s="5">
        <f>79000/2000</f>
        <v>39.5</v>
      </c>
      <c r="I47" s="5">
        <v>0</v>
      </c>
      <c r="J47" s="6">
        <f t="shared" si="0"/>
        <v>39.5</v>
      </c>
      <c r="K47" s="6">
        <f t="shared" si="1"/>
        <v>39.5</v>
      </c>
      <c r="L47" s="132">
        <v>1</v>
      </c>
      <c r="M47" s="133">
        <v>312</v>
      </c>
      <c r="P47" s="138">
        <f t="shared" si="2"/>
        <v>39.5</v>
      </c>
      <c r="Q47">
        <f t="shared" si="3"/>
        <v>312</v>
      </c>
    </row>
    <row r="48" spans="2:17" ht="15.75">
      <c r="B48" s="4" t="s">
        <v>16</v>
      </c>
      <c r="C48" s="28">
        <v>0.2</v>
      </c>
      <c r="D48" s="28">
        <v>0.2</v>
      </c>
      <c r="E48" s="29">
        <v>0.2</v>
      </c>
      <c r="G48" s="4" t="s">
        <v>138</v>
      </c>
      <c r="H48" s="5">
        <f>49250/2000</f>
        <v>24.625</v>
      </c>
      <c r="I48" s="5">
        <f>30750/2000</f>
        <v>15.375</v>
      </c>
      <c r="J48" s="6">
        <f t="shared" si="0"/>
        <v>40</v>
      </c>
      <c r="K48" s="6">
        <f t="shared" si="1"/>
        <v>32.3125</v>
      </c>
      <c r="L48" s="132">
        <v>8</v>
      </c>
      <c r="M48" s="133">
        <v>312</v>
      </c>
      <c r="P48" s="138">
        <f t="shared" si="2"/>
        <v>258.5</v>
      </c>
      <c r="Q48">
        <f t="shared" si="3"/>
        <v>2496</v>
      </c>
    </row>
    <row r="49" spans="2:17" ht="12.75">
      <c r="B49" s="83" t="s">
        <v>15</v>
      </c>
      <c r="C49" s="84">
        <v>60</v>
      </c>
      <c r="D49" s="84">
        <v>60</v>
      </c>
      <c r="E49" s="85">
        <v>60</v>
      </c>
      <c r="G49" s="4" t="s">
        <v>136</v>
      </c>
      <c r="H49" s="5">
        <f>35000/2000</f>
        <v>17.5</v>
      </c>
      <c r="I49" s="5">
        <v>0</v>
      </c>
      <c r="J49" s="6">
        <f t="shared" si="0"/>
        <v>17.5</v>
      </c>
      <c r="K49" s="6">
        <f t="shared" si="1"/>
        <v>17.5</v>
      </c>
      <c r="L49" s="132">
        <v>2</v>
      </c>
      <c r="M49" s="133">
        <v>312</v>
      </c>
      <c r="P49" s="138">
        <f t="shared" si="2"/>
        <v>35</v>
      </c>
      <c r="Q49">
        <f t="shared" si="3"/>
        <v>624</v>
      </c>
    </row>
    <row r="50" spans="2:17" ht="13.5" thickBot="1">
      <c r="B50" s="7" t="s">
        <v>69</v>
      </c>
      <c r="C50" s="86">
        <v>15</v>
      </c>
      <c r="D50" s="86">
        <v>15</v>
      </c>
      <c r="E50" s="87">
        <v>15</v>
      </c>
      <c r="G50" s="4" t="s">
        <v>140</v>
      </c>
      <c r="H50" s="5">
        <f>44500/2000</f>
        <v>22.25</v>
      </c>
      <c r="I50" s="5">
        <v>0</v>
      </c>
      <c r="J50" s="6">
        <f t="shared" si="0"/>
        <v>22.25</v>
      </c>
      <c r="K50" s="6">
        <f t="shared" si="1"/>
        <v>22.25</v>
      </c>
      <c r="L50" s="132">
        <v>1</v>
      </c>
      <c r="M50" s="133">
        <v>312</v>
      </c>
      <c r="P50" s="138">
        <f t="shared" si="2"/>
        <v>22.25</v>
      </c>
      <c r="Q50">
        <f t="shared" si="3"/>
        <v>312</v>
      </c>
    </row>
    <row r="51" spans="7:17" ht="12.75">
      <c r="G51" s="4" t="s">
        <v>137</v>
      </c>
      <c r="H51" s="5">
        <f>38000/2000</f>
        <v>19</v>
      </c>
      <c r="I51" s="5">
        <v>0</v>
      </c>
      <c r="J51" s="6">
        <f t="shared" si="0"/>
        <v>19</v>
      </c>
      <c r="K51" s="6">
        <f t="shared" si="1"/>
        <v>19</v>
      </c>
      <c r="L51" s="132">
        <v>1</v>
      </c>
      <c r="M51" s="133">
        <v>312</v>
      </c>
      <c r="P51" s="138">
        <f t="shared" si="2"/>
        <v>19</v>
      </c>
      <c r="Q51">
        <f t="shared" si="3"/>
        <v>312</v>
      </c>
    </row>
    <row r="52" spans="1:17" ht="13.5" thickBot="1">
      <c r="A52" s="225" t="s">
        <v>50</v>
      </c>
      <c r="B52" s="225"/>
      <c r="C52" s="225"/>
      <c r="D52" s="225"/>
      <c r="E52" s="225"/>
      <c r="G52" s="4" t="s">
        <v>141</v>
      </c>
      <c r="H52" s="5">
        <f>20000/2000</f>
        <v>10</v>
      </c>
      <c r="I52" s="5">
        <v>0</v>
      </c>
      <c r="J52" s="6">
        <f t="shared" si="0"/>
        <v>10</v>
      </c>
      <c r="K52" s="6">
        <f t="shared" si="1"/>
        <v>10</v>
      </c>
      <c r="L52" s="132">
        <v>2</v>
      </c>
      <c r="M52" s="133">
        <v>312</v>
      </c>
      <c r="P52" s="138">
        <f t="shared" si="2"/>
        <v>20</v>
      </c>
      <c r="Q52">
        <f t="shared" si="3"/>
        <v>624</v>
      </c>
    </row>
    <row r="53" spans="1:17" ht="12.75">
      <c r="A53" s="51"/>
      <c r="B53" s="49"/>
      <c r="C53" s="25" t="s">
        <v>17</v>
      </c>
      <c r="D53" s="57" t="s">
        <v>18</v>
      </c>
      <c r="E53" s="26" t="s">
        <v>19</v>
      </c>
      <c r="G53" s="4" t="s">
        <v>142</v>
      </c>
      <c r="H53" s="5">
        <f>67500/2000</f>
        <v>33.75</v>
      </c>
      <c r="I53" s="5">
        <v>0</v>
      </c>
      <c r="J53" s="6">
        <f t="shared" si="0"/>
        <v>33.75</v>
      </c>
      <c r="K53" s="6">
        <f t="shared" si="1"/>
        <v>33.75</v>
      </c>
      <c r="L53" s="132">
        <v>2</v>
      </c>
      <c r="M53" s="133">
        <v>312</v>
      </c>
      <c r="P53" s="138">
        <f t="shared" si="2"/>
        <v>67.5</v>
      </c>
      <c r="Q53">
        <f t="shared" si="3"/>
        <v>624</v>
      </c>
    </row>
    <row r="54" spans="1:17" ht="12.75">
      <c r="A54" s="52" t="s">
        <v>75</v>
      </c>
      <c r="B54" s="50"/>
      <c r="C54" s="58">
        <v>0.75</v>
      </c>
      <c r="D54" s="58">
        <v>0.75</v>
      </c>
      <c r="E54" s="54">
        <v>0.75</v>
      </c>
      <c r="G54" s="4" t="s">
        <v>143</v>
      </c>
      <c r="H54" s="5">
        <f>40000/2000</f>
        <v>20</v>
      </c>
      <c r="I54" s="5">
        <v>0</v>
      </c>
      <c r="J54" s="6">
        <f t="shared" si="0"/>
        <v>20</v>
      </c>
      <c r="K54" s="6">
        <f t="shared" si="1"/>
        <v>20</v>
      </c>
      <c r="L54" s="132">
        <v>2</v>
      </c>
      <c r="M54" s="133">
        <v>312</v>
      </c>
      <c r="P54" s="138">
        <f t="shared" si="2"/>
        <v>40</v>
      </c>
      <c r="Q54">
        <f t="shared" si="3"/>
        <v>624</v>
      </c>
    </row>
    <row r="55" spans="1:17" ht="13.5" thickBot="1">
      <c r="A55" s="52" t="s">
        <v>74</v>
      </c>
      <c r="B55" s="50"/>
      <c r="C55" s="58">
        <v>0.8</v>
      </c>
      <c r="D55" s="58">
        <v>0.8</v>
      </c>
      <c r="E55" s="54">
        <v>0.8</v>
      </c>
      <c r="G55" s="7" t="s">
        <v>144</v>
      </c>
      <c r="H55" s="134">
        <f>105000/2000</f>
        <v>52.5</v>
      </c>
      <c r="I55" s="134">
        <v>0</v>
      </c>
      <c r="J55" s="135">
        <f t="shared" si="0"/>
        <v>52.5</v>
      </c>
      <c r="K55" s="135">
        <f t="shared" si="1"/>
        <v>52.5</v>
      </c>
      <c r="L55" s="136">
        <v>2</v>
      </c>
      <c r="M55" s="137">
        <v>312</v>
      </c>
      <c r="P55" s="138">
        <f t="shared" si="2"/>
        <v>105</v>
      </c>
      <c r="Q55">
        <f t="shared" si="3"/>
        <v>624</v>
      </c>
    </row>
    <row r="56" spans="1:17" ht="13.5" thickBot="1">
      <c r="A56" s="52" t="s">
        <v>73</v>
      </c>
      <c r="B56" s="50"/>
      <c r="C56" s="58">
        <v>0.8</v>
      </c>
      <c r="D56" s="58">
        <v>0.8</v>
      </c>
      <c r="E56" s="54">
        <v>0.8</v>
      </c>
      <c r="G56" s="21" t="s">
        <v>26</v>
      </c>
      <c r="H56" s="22"/>
      <c r="I56" s="23"/>
      <c r="J56" s="23"/>
      <c r="K56" s="45">
        <f>P56/L56</f>
        <v>31.39814814814815</v>
      </c>
      <c r="L56" s="76">
        <f>SUM(L42:L55)</f>
        <v>27</v>
      </c>
      <c r="M56" s="79">
        <f>Q56/L56</f>
        <v>312</v>
      </c>
      <c r="P56" s="139">
        <f>SUM(P42:P55)</f>
        <v>847.75</v>
      </c>
      <c r="Q56" s="140">
        <f>SUM(Q42:Q55)</f>
        <v>8424</v>
      </c>
    </row>
    <row r="57" spans="1:13" ht="12.75">
      <c r="A57" s="52" t="s">
        <v>72</v>
      </c>
      <c r="B57" s="50"/>
      <c r="C57" s="58">
        <v>0.85</v>
      </c>
      <c r="D57" s="58">
        <v>0.85</v>
      </c>
      <c r="E57" s="54">
        <v>0.85</v>
      </c>
      <c r="G57" s="36"/>
      <c r="H57" s="36"/>
      <c r="I57" s="36"/>
      <c r="J57" s="36"/>
      <c r="K57" s="105" t="s">
        <v>96</v>
      </c>
      <c r="L57" s="81"/>
      <c r="M57" s="82"/>
    </row>
    <row r="58" spans="1:10" ht="13.5" thickBot="1">
      <c r="A58" s="53" t="s">
        <v>71</v>
      </c>
      <c r="B58" s="16"/>
      <c r="C58" s="59">
        <v>0.85</v>
      </c>
      <c r="D58" s="59">
        <v>0.85</v>
      </c>
      <c r="E58" s="55">
        <v>0.85</v>
      </c>
      <c r="G58" s="36"/>
      <c r="H58" s="56"/>
      <c r="I58" s="36"/>
      <c r="J58" s="36"/>
    </row>
    <row r="60" spans="1:10" ht="13.5" thickBot="1">
      <c r="A60" s="224" t="s">
        <v>127</v>
      </c>
      <c r="B60" s="224"/>
      <c r="C60" s="224"/>
      <c r="D60" s="224"/>
      <c r="E60" s="224"/>
      <c r="G60" s="225" t="s">
        <v>60</v>
      </c>
      <c r="H60" s="225"/>
      <c r="I60" s="225"/>
      <c r="J60" s="225"/>
    </row>
    <row r="61" spans="1:10" ht="12.75">
      <c r="A61" s="8"/>
      <c r="B61" s="62" t="s">
        <v>51</v>
      </c>
      <c r="C61" s="221" t="s">
        <v>124</v>
      </c>
      <c r="D61" s="222"/>
      <c r="E61" s="223"/>
      <c r="G61" s="17" t="s">
        <v>29</v>
      </c>
      <c r="H61" s="33">
        <v>2000</v>
      </c>
      <c r="I61" s="34" t="s">
        <v>128</v>
      </c>
      <c r="J61" s="35"/>
    </row>
    <row r="62" spans="1:10" ht="13.5" thickBot="1">
      <c r="A62" s="11"/>
      <c r="B62" s="65" t="s">
        <v>52</v>
      </c>
      <c r="C62" s="15" t="s">
        <v>17</v>
      </c>
      <c r="D62" s="12" t="s">
        <v>18</v>
      </c>
      <c r="E62" s="13" t="s">
        <v>19</v>
      </c>
      <c r="G62" s="20" t="s">
        <v>122</v>
      </c>
      <c r="H62" s="46">
        <f>L56</f>
        <v>27</v>
      </c>
      <c r="I62" s="41" t="s">
        <v>117</v>
      </c>
      <c r="J62" s="42"/>
    </row>
    <row r="63" spans="1:10" ht="12.75">
      <c r="A63" s="10" t="s">
        <v>48</v>
      </c>
      <c r="B63" s="66">
        <v>2</v>
      </c>
      <c r="C63" s="63">
        <f>C$41*(C$45/12)^C$42*(C$46/3)^C$43/(C$48/0.2)^C$44*((365-C$49)/365)*(C$50/15)*$H$64</f>
        <v>15.497536489169335</v>
      </c>
      <c r="D63" s="63">
        <f>D$41*(D$45/12)^D$42*(D$46/3)^D$43/(D$48/0.2)^D$44*((365-D$49)/365)*(D$50/15)*$H$64</f>
        <v>106.03577597852704</v>
      </c>
      <c r="E63" s="88">
        <f>E$41*(E$45/12)^E$42*(E$46/3)^E$43/(E$48/0.2)^E$44*((365-E$49)/365)*(E$50/15)*$H$64</f>
        <v>515.7715098273491</v>
      </c>
      <c r="G63" s="20" t="s">
        <v>59</v>
      </c>
      <c r="H63" s="80">
        <f>M56</f>
        <v>312</v>
      </c>
      <c r="I63" s="41" t="s">
        <v>118</v>
      </c>
      <c r="J63" s="42"/>
    </row>
    <row r="64" spans="1:10" ht="12.75">
      <c r="A64" s="4" t="s">
        <v>49</v>
      </c>
      <c r="B64" s="67">
        <v>1</v>
      </c>
      <c r="C64" s="64">
        <f>C$41*(C$45/12)^C$42*(C$46/3)^C$43/(C$47/0.2)^C$44*(C$50/15)*$H$64</f>
        <v>4.658602899860233</v>
      </c>
      <c r="D64" s="64">
        <f>D$41*(D$45/12)^D$42*(D$46/3)^D$43/(D$47/0.2)^D$44*(D$50/15)*$H$64</f>
        <v>31.874651420096328</v>
      </c>
      <c r="E64" s="27">
        <f>E$41*(E$45/12)^E$42*(E$46/3)^E$43/(E$47/0.2)^E$44*(E$50/15)*$H$64</f>
        <v>97.82511655692649</v>
      </c>
      <c r="G64" s="19" t="s">
        <v>30</v>
      </c>
      <c r="H64" s="47">
        <f>H61/5280*2*H62</f>
        <v>20.454545454545453</v>
      </c>
      <c r="I64" s="39" t="s">
        <v>119</v>
      </c>
      <c r="J64" s="40"/>
    </row>
    <row r="65" spans="1:10" ht="13.5" thickBot="1">
      <c r="A65" s="4" t="s">
        <v>49</v>
      </c>
      <c r="B65" s="67" t="s">
        <v>53</v>
      </c>
      <c r="C65" s="64">
        <f>C$41*(C$45/12)^C$42*(C$46/3)^C$43/(C$48/0.2)^C$44*((365-C$49)/365)*(C$50/15)*(1-C$54)*$H$64</f>
        <v>3.8743841222923336</v>
      </c>
      <c r="D65" s="64">
        <f>D$41*(D$45/12)^D$42*(D$46/3)^D$43/(D$48/0.2)^D$44*((365-D$49)/365)*(D$50/15)*(1-D$54)*$H$64</f>
        <v>26.50894399463176</v>
      </c>
      <c r="E65" s="27">
        <f>E$41*(E$45/12)^E$42*(E$46/3)^E$43/(E$48/0.2)^E$44*((365-E$49)/365)*(E$50/15)*(1-E$54)*$H$64</f>
        <v>128.94287745683727</v>
      </c>
      <c r="G65" s="18" t="s">
        <v>31</v>
      </c>
      <c r="H65" s="48">
        <f>H64*H63</f>
        <v>6381.818181818181</v>
      </c>
      <c r="I65" s="37" t="s">
        <v>120</v>
      </c>
      <c r="J65" s="38"/>
    </row>
    <row r="66" spans="1:5" ht="12.75">
      <c r="A66" s="4" t="s">
        <v>78</v>
      </c>
      <c r="B66" s="67" t="s">
        <v>53</v>
      </c>
      <c r="C66" s="64">
        <f>C$41*(C$45/12)^C$42*(C$46/3)^C$43/(C$48/0.2)^C$44*((365-C$49)/365)*(C$50/15)*(1-C$55)*$H$64</f>
        <v>3.099507297833866</v>
      </c>
      <c r="D66" s="64">
        <f>D$41*(D$45/12)^D$42*(D$46/3)^D$43/(D$48/0.2)^D$44*((365-D$49)/365)*(D$50/15)*(1-D$55)*$H$64</f>
        <v>21.207155195705404</v>
      </c>
      <c r="E66" s="27">
        <f>E$41*(E$45/12)^E$42*(E$46/3)^E$43/(E$48/0.2)^E$44*((365-E$49)/365)*(E$50/15)*(1-E$55)*$H$64</f>
        <v>103.15430196546978</v>
      </c>
    </row>
    <row r="67" spans="1:5" ht="12.75">
      <c r="A67" s="4" t="s">
        <v>79</v>
      </c>
      <c r="B67" s="67" t="s">
        <v>53</v>
      </c>
      <c r="C67" s="64">
        <f>C$41*(C$45/12)^C$42*(C$46/3)^C$43/(C$48/0.2)^C$44*((365-C$49)/365)*(C$50/15)*(1-C$56)*$H$64</f>
        <v>3.099507297833866</v>
      </c>
      <c r="D67" s="64">
        <f>D$41*(D$45/12)^D$42*(D$46/3)^D$43/(D$48/0.2)^D$44*((365-D$49)/365)*(D$50/15)*(1-D$56)*$H$64</f>
        <v>21.207155195705404</v>
      </c>
      <c r="E67" s="27">
        <f>E$41*(E$45/12)^E$42*(E$46/3)^E$43/(E$48/0.2)^E$44*((365-E$49)/365)*(E$50/15)*(1-E$56)*$H$64</f>
        <v>103.15430196546978</v>
      </c>
    </row>
    <row r="68" spans="1:5" ht="12.75">
      <c r="A68" s="4" t="s">
        <v>70</v>
      </c>
      <c r="B68" s="67" t="s">
        <v>53</v>
      </c>
      <c r="C68" s="64">
        <f>C$41*(C$45/12)^C$42*(C$46/3)^C$43/(C$48/0.2)^C$44*((365-C$49)/365)*(C$50/15)*(1-C$57)*$H$64</f>
        <v>2.3246304733754006</v>
      </c>
      <c r="D68" s="64">
        <f>D$41*(D$45/12)^D$42*(D$46/3)^D$43/(D$48/0.2)^D$44*((365-D$49)/365)*(D$50/15)*(1-D$57)*$H$64</f>
        <v>15.905366396779057</v>
      </c>
      <c r="E68" s="27">
        <f>E$41*(E$45/12)^E$42*(E$46/3)^E$43/(E$48/0.2)^E$44*((365-E$49)/365)*(E$50/15)*(1-E$57)*$H$64</f>
        <v>77.36572647410236</v>
      </c>
    </row>
    <row r="69" spans="1:5" ht="13.5" thickBot="1">
      <c r="A69" s="7" t="s">
        <v>77</v>
      </c>
      <c r="B69" s="71" t="s">
        <v>53</v>
      </c>
      <c r="C69" s="72">
        <f>C$41*(C$45/12)^C$42*(C$46/3)^C$43/(C$48/0.2)^C$44*((365-C$49)/365)*(C$50/15)*(1-C$58)*$H$64</f>
        <v>2.3246304733754006</v>
      </c>
      <c r="D69" s="72">
        <f>D$41*(D$45/12)^D$42*(D$46/3)^D$43/(D$48/0.2)^D$44*((365-D$49)/365)*(D$50/15)*(1-D$58)*$H$64</f>
        <v>15.905366396779057</v>
      </c>
      <c r="E69" s="32">
        <f>E$41*(E$45/12)^E$42*(E$46/3)^E$43/(E$48/0.2)^E$44*((365-E$49)/365)*(E$50/15)*(1-E$58)*$H$64</f>
        <v>77.36572647410236</v>
      </c>
    </row>
    <row r="70" spans="1:5" ht="13.5" thickBot="1">
      <c r="A70" s="68"/>
      <c r="B70" s="69"/>
      <c r="C70" s="69"/>
      <c r="D70" s="69"/>
      <c r="E70" s="70"/>
    </row>
    <row r="71" spans="1:6" ht="12.75">
      <c r="A71" s="8"/>
      <c r="B71" s="62" t="s">
        <v>51</v>
      </c>
      <c r="C71" s="221" t="s">
        <v>54</v>
      </c>
      <c r="D71" s="222"/>
      <c r="E71" s="223"/>
      <c r="F71" s="2"/>
    </row>
    <row r="72" spans="1:6" ht="12.75">
      <c r="A72" s="10"/>
      <c r="B72" s="66" t="s">
        <v>52</v>
      </c>
      <c r="C72" s="73" t="s">
        <v>17</v>
      </c>
      <c r="D72" s="60" t="s">
        <v>18</v>
      </c>
      <c r="E72" s="61" t="s">
        <v>19</v>
      </c>
      <c r="F72" s="1"/>
    </row>
    <row r="73" spans="1:5" ht="12.75">
      <c r="A73" s="4" t="s">
        <v>48</v>
      </c>
      <c r="B73" s="67">
        <v>2</v>
      </c>
      <c r="C73" s="64">
        <f>C$41*(C$45/12)^C$42*(C$46/3)^C$43/(C$48/0.2)^C$44*((365-C$49)/365)*(C$50/15)*$H$65/2000</f>
        <v>2.4176156923104157</v>
      </c>
      <c r="D73" s="64">
        <f>D$41*(D$45/12)^D$42*(D$46/3)^D$43/(D$48/0.2)^D$44*((365-D$49)/365)*(D$50/15)*$H$65/2000</f>
        <v>16.541581052650216</v>
      </c>
      <c r="E73" s="27">
        <f>E$41*(E$45/12)^E$42*(E$46/3)^E$43/(E$48/0.2)^E$44*((365-E$49)/365)*(E$50/15)*$H$65/2000</f>
        <v>80.46035553306643</v>
      </c>
    </row>
    <row r="74" spans="1:5" ht="12.75">
      <c r="A74" s="4" t="s">
        <v>49</v>
      </c>
      <c r="B74" s="67">
        <v>1</v>
      </c>
      <c r="C74" s="64">
        <f>C$41*(C$45/12)^C$42*(C$46/3)^C$43/(C$47/0.2)^C$44*(C$50/15)*$H$65/2000</f>
        <v>0.7267420523781961</v>
      </c>
      <c r="D74" s="64">
        <f>D$41*(D$45/12)^D$42*(D$46/3)^D$43/(D$47/0.2)^D$44*(D$50/15)*$H$65/2000</f>
        <v>4.9724456215350274</v>
      </c>
      <c r="E74" s="27">
        <f>E$41*(E$45/12)^E$42*(E$46/3)^E$43/(E$47/0.2)^E$44*(E$50/15)*$H$65/2000</f>
        <v>15.260718182880531</v>
      </c>
    </row>
    <row r="75" spans="1:5" ht="12.75">
      <c r="A75" s="4" t="s">
        <v>49</v>
      </c>
      <c r="B75" s="67" t="s">
        <v>53</v>
      </c>
      <c r="C75" s="64">
        <f>C$41*(C$45/12)^C$42*(C$46/3)^C$43/(C$48/0.2)^C$44*((365-C$49)/365)*(C$50/15)*(1-C$54)*$H$65/2000</f>
        <v>0.6044039230776039</v>
      </c>
      <c r="D75" s="64">
        <f>D$41*(D$45/12)^D$42*(D$46/3)^D$43/(D$48/0.2)^D$44*((365-D$49)/365)*(D$50/15)*(1-D$54)*$H$65/2000</f>
        <v>4.135395263162554</v>
      </c>
      <c r="E75" s="27">
        <f>E$41*(E$45/12)^E$42*(E$46/3)^E$43/(E$48/0.2)^E$44*((365-E$49)/365)*(E$50/15)*(1-E$54)*$H$65/2000</f>
        <v>20.11508888326661</v>
      </c>
    </row>
    <row r="76" spans="1:5" ht="12.75">
      <c r="A76" s="4" t="s">
        <v>78</v>
      </c>
      <c r="B76" s="67" t="s">
        <v>53</v>
      </c>
      <c r="C76" s="64">
        <f>C$41*(C$45/12)^C$42*(C$46/3)^C$43/(C$48/0.2)^C$44*((365-C$49)/365)*(C$50/15)*(1-C$55)*$H$65/2000</f>
        <v>0.48352313846208306</v>
      </c>
      <c r="D76" s="64">
        <f>D$41*(D$45/12)^D$42*(D$46/3)^D$43/(D$48/0.2)^D$44*((365-D$49)/365)*(D$50/15)*(1-D$55)*$H$65/2000</f>
        <v>3.308316210530043</v>
      </c>
      <c r="E76" s="27">
        <f>E$41*(E$45/12)^E$42*(E$46/3)^E$43/(E$48/0.2)^E$44*((365-E$49)/365)*(E$50/15)*(1-E$55)*$H$65/2000</f>
        <v>16.092071106613286</v>
      </c>
    </row>
    <row r="77" spans="1:5" ht="12.75">
      <c r="A77" s="4" t="s">
        <v>79</v>
      </c>
      <c r="B77" s="67" t="s">
        <v>53</v>
      </c>
      <c r="C77" s="64">
        <f>C$41*(C$45/12)^C$42*(C$46/3)^C$43/(C$48/0.2)^C$44*((365-C$49)/365)*(C$50/15)*(1-C$56)*$H$65/2000</f>
        <v>0.48352313846208306</v>
      </c>
      <c r="D77" s="64">
        <f>D$41*(D$45/12)^D$42*(D$46/3)^D$43/(D$48/0.2)^D$44*((365-D$49)/365)*(D$50/15)*(1-D$56)*$H$65/2000</f>
        <v>3.308316210530043</v>
      </c>
      <c r="E77" s="27">
        <f>E$41*(E$45/12)^E$42*(E$46/3)^E$43/(E$48/0.2)^E$44*((365-E$49)/365)*(E$50/15)*(1-E$56)*$H$65/2000</f>
        <v>16.092071106613286</v>
      </c>
    </row>
    <row r="78" spans="1:5" ht="12.75">
      <c r="A78" s="4" t="s">
        <v>70</v>
      </c>
      <c r="B78" s="67" t="s">
        <v>53</v>
      </c>
      <c r="C78" s="64">
        <f>C$41*(C$45/12)^C$42*(C$46/3)^C$43/(C$48/0.2)^C$44*((365-C$49)/365)*(C$50/15)*(1-C$57)*$H$65/2000</f>
        <v>0.36264235384656246</v>
      </c>
      <c r="D78" s="64">
        <f>D$41*(D$45/12)^D$42*(D$46/3)^D$43/(D$48/0.2)^D$44*((365-D$49)/365)*(D$50/15)*(1-D$57)*$H$65/2000</f>
        <v>2.4812371578975325</v>
      </c>
      <c r="E78" s="27">
        <f>E$41*(E$45/12)^E$42*(E$46/3)^E$43/(E$48/0.2)^E$44*((365-E$49)/365)*(E$50/15)*(1-E$57)*$H$65/2000</f>
        <v>12.069053329959969</v>
      </c>
    </row>
    <row r="79" spans="1:5" ht="13.5" thickBot="1">
      <c r="A79" s="7" t="s">
        <v>77</v>
      </c>
      <c r="B79" s="71" t="s">
        <v>53</v>
      </c>
      <c r="C79" s="72">
        <f>C$41*(C$45/12)^C$42*(C$46/3)^C$43/(C$48/0.2)^C$44*((365-C$49)/365)*(C$50/15)*(1-C$58)*$H$65/2000</f>
        <v>0.36264235384656246</v>
      </c>
      <c r="D79" s="72">
        <f>D$41*(D$45/12)^D$42*(D$46/3)^D$43/(D$48/0.2)^D$44*((365-D$49)/365)*(D$50/15)*(1-D$58)*$H$65/2000</f>
        <v>2.4812371578975325</v>
      </c>
      <c r="E79" s="32">
        <f>E$41*(E$45/12)^E$42*(E$46/3)^E$43/(E$48/0.2)^E$44*((365-E$49)/365)*(E$50/15)*(1-E$58)*$H$65/2000</f>
        <v>12.069053329959969</v>
      </c>
    </row>
  </sheetData>
  <mergeCells count="7">
    <mergeCell ref="C71:E71"/>
    <mergeCell ref="G39:L39"/>
    <mergeCell ref="B39:E39"/>
    <mergeCell ref="C61:E61"/>
    <mergeCell ref="A60:E60"/>
    <mergeCell ref="A52:E52"/>
    <mergeCell ref="G60:J60"/>
  </mergeCells>
  <printOptions/>
  <pageMargins left="0.25" right="0.25" top="0.5" bottom="0.5" header="0.25" footer="0.25"/>
  <pageSetup horizontalDpi="600" verticalDpi="600" orientation="landscape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64"/>
  <sheetViews>
    <sheetView workbookViewId="0" topLeftCell="A30">
      <selection activeCell="A52" sqref="A52"/>
    </sheetView>
  </sheetViews>
  <sheetFormatPr defaultColWidth="9.140625" defaultRowHeight="12.75"/>
  <cols>
    <col min="1" max="1" width="14.28125" style="0" bestFit="1" customWidth="1"/>
    <col min="7" max="7" width="14.7109375" style="0" bestFit="1" customWidth="1"/>
    <col min="12" max="12" width="9.8515625" style="0" bestFit="1" customWidth="1"/>
    <col min="13" max="13" width="9.7109375" style="0" bestFit="1" customWidth="1"/>
  </cols>
  <sheetData>
    <row r="1" ht="12.75">
      <c r="A1" t="s">
        <v>80</v>
      </c>
    </row>
    <row r="3" ht="12.75">
      <c r="A3" t="s">
        <v>81</v>
      </c>
    </row>
    <row r="5" ht="14.25">
      <c r="A5" t="s">
        <v>82</v>
      </c>
    </row>
    <row r="7" ht="12.75">
      <c r="A7" t="s">
        <v>83</v>
      </c>
    </row>
    <row r="8" ht="12.75">
      <c r="A8" t="s">
        <v>91</v>
      </c>
    </row>
    <row r="9" ht="14.25">
      <c r="A9" t="s">
        <v>84</v>
      </c>
    </row>
    <row r="10" ht="12.75">
      <c r="A10" t="s">
        <v>85</v>
      </c>
    </row>
    <row r="12" spans="1:2" ht="12.75">
      <c r="A12" s="24" t="s">
        <v>32</v>
      </c>
      <c r="B12" s="24" t="s">
        <v>33</v>
      </c>
    </row>
    <row r="13" spans="1:2" ht="12.75">
      <c r="A13" s="24"/>
      <c r="B13" s="24" t="s">
        <v>86</v>
      </c>
    </row>
    <row r="14" spans="1:2" ht="12.75">
      <c r="A14" s="24"/>
      <c r="B14" s="24" t="s">
        <v>36</v>
      </c>
    </row>
    <row r="15" spans="1:2" ht="12.75">
      <c r="A15" s="24"/>
      <c r="B15" s="24" t="s">
        <v>37</v>
      </c>
    </row>
    <row r="16" spans="1:2" ht="12.75">
      <c r="A16" s="24"/>
      <c r="B16" s="24" t="s">
        <v>87</v>
      </c>
    </row>
    <row r="17" spans="1:2" ht="12.75">
      <c r="A17" s="24"/>
      <c r="B17" s="24" t="s">
        <v>88</v>
      </c>
    </row>
    <row r="18" ht="13.5" thickBot="1"/>
    <row r="19" spans="2:13" ht="13.5" thickBot="1">
      <c r="B19" s="224" t="s">
        <v>89</v>
      </c>
      <c r="C19" s="224"/>
      <c r="D19" s="224"/>
      <c r="E19" s="224"/>
      <c r="G19" s="224" t="s">
        <v>121</v>
      </c>
      <c r="H19" s="224"/>
      <c r="I19" s="224"/>
      <c r="J19" s="224"/>
      <c r="K19" s="224"/>
      <c r="L19" s="224"/>
      <c r="M19" s="77" t="s">
        <v>55</v>
      </c>
    </row>
    <row r="20" spans="2:13" ht="12.75">
      <c r="B20" s="3"/>
      <c r="C20" s="25" t="s">
        <v>17</v>
      </c>
      <c r="D20" s="25" t="s">
        <v>18</v>
      </c>
      <c r="E20" s="26" t="s">
        <v>19</v>
      </c>
      <c r="G20" s="17"/>
      <c r="H20" s="14" t="s">
        <v>21</v>
      </c>
      <c r="I20" s="9" t="s">
        <v>22</v>
      </c>
      <c r="J20" s="9" t="s">
        <v>24</v>
      </c>
      <c r="K20" s="9" t="s">
        <v>27</v>
      </c>
      <c r="L20" s="74" t="s">
        <v>28</v>
      </c>
      <c r="M20" s="78" t="s">
        <v>56</v>
      </c>
    </row>
    <row r="21" spans="2:17" ht="13.5" thickBot="1">
      <c r="B21" s="4" t="s">
        <v>8</v>
      </c>
      <c r="C21" s="90">
        <v>0.004</v>
      </c>
      <c r="D21" s="90">
        <v>0.016</v>
      </c>
      <c r="E21" s="91">
        <v>0.082</v>
      </c>
      <c r="G21" s="18" t="s">
        <v>20</v>
      </c>
      <c r="H21" s="15" t="s">
        <v>23</v>
      </c>
      <c r="I21" s="12" t="s">
        <v>23</v>
      </c>
      <c r="J21" s="12" t="s">
        <v>23</v>
      </c>
      <c r="K21" s="12" t="s">
        <v>23</v>
      </c>
      <c r="L21" s="75" t="s">
        <v>25</v>
      </c>
      <c r="M21" s="65" t="s">
        <v>57</v>
      </c>
      <c r="P21" s="1" t="s">
        <v>113</v>
      </c>
      <c r="Q21" s="1" t="s">
        <v>114</v>
      </c>
    </row>
    <row r="22" spans="2:17" ht="12.75">
      <c r="B22" s="4" t="s">
        <v>90</v>
      </c>
      <c r="C22" s="28">
        <v>7.4</v>
      </c>
      <c r="D22" s="28">
        <v>7.4</v>
      </c>
      <c r="E22" s="29">
        <v>7.4</v>
      </c>
      <c r="G22" s="3" t="s">
        <v>99</v>
      </c>
      <c r="H22" s="128">
        <f>22000/2000</f>
        <v>11</v>
      </c>
      <c r="I22" s="128">
        <f>23000/2000</f>
        <v>11.5</v>
      </c>
      <c r="J22" s="129">
        <f aca="true" t="shared" si="0" ref="J22:J35">H22+I22</f>
        <v>22.5</v>
      </c>
      <c r="K22" s="129">
        <f aca="true" t="shared" si="1" ref="K22:K35">(H22+J22)/2</f>
        <v>16.75</v>
      </c>
      <c r="L22" s="130">
        <v>20</v>
      </c>
      <c r="M22" s="131">
        <v>312</v>
      </c>
      <c r="P22" s="138">
        <f aca="true" t="shared" si="2" ref="P22:P35">K22*L22</f>
        <v>335</v>
      </c>
      <c r="Q22">
        <f aca="true" t="shared" si="3" ref="Q22:Q35">L22*M22</f>
        <v>6240</v>
      </c>
    </row>
    <row r="23" spans="2:17" ht="13.5" thickBot="1">
      <c r="B23" s="7" t="s">
        <v>13</v>
      </c>
      <c r="C23" s="94">
        <f>K36</f>
        <v>14.644499999999999</v>
      </c>
      <c r="D23" s="94">
        <f>C23</f>
        <v>14.644499999999999</v>
      </c>
      <c r="E23" s="95">
        <f>C23</f>
        <v>14.644499999999999</v>
      </c>
      <c r="G23" s="4" t="s">
        <v>100</v>
      </c>
      <c r="H23" s="5">
        <f>23000/2000</f>
        <v>11.5</v>
      </c>
      <c r="I23" s="5">
        <f>22000/2000</f>
        <v>11</v>
      </c>
      <c r="J23" s="6">
        <f t="shared" si="0"/>
        <v>22.5</v>
      </c>
      <c r="K23" s="6">
        <f t="shared" si="1"/>
        <v>17</v>
      </c>
      <c r="L23" s="132">
        <v>4</v>
      </c>
      <c r="M23" s="133">
        <v>312</v>
      </c>
      <c r="P23" s="138">
        <f t="shared" si="2"/>
        <v>68</v>
      </c>
      <c r="Q23">
        <f t="shared" si="3"/>
        <v>1248</v>
      </c>
    </row>
    <row r="24" spans="2:17" ht="12.75">
      <c r="B24" s="36"/>
      <c r="C24" s="92"/>
      <c r="D24" s="92"/>
      <c r="E24" s="92"/>
      <c r="G24" s="4" t="s">
        <v>101</v>
      </c>
      <c r="H24" s="5">
        <f>32000/2000</f>
        <v>16</v>
      </c>
      <c r="I24" s="5">
        <f>48000/2000</f>
        <v>24</v>
      </c>
      <c r="J24" s="6">
        <f t="shared" si="0"/>
        <v>40</v>
      </c>
      <c r="K24" s="6">
        <f t="shared" si="1"/>
        <v>28</v>
      </c>
      <c r="L24" s="132">
        <v>20</v>
      </c>
      <c r="M24" s="133">
        <v>312</v>
      </c>
      <c r="P24" s="138">
        <f t="shared" si="2"/>
        <v>560</v>
      </c>
      <c r="Q24">
        <f t="shared" si="3"/>
        <v>6240</v>
      </c>
    </row>
    <row r="25" spans="3:17" ht="12.75">
      <c r="C25" s="93"/>
      <c r="D25" s="93"/>
      <c r="E25" s="93"/>
      <c r="G25" s="4" t="s">
        <v>102</v>
      </c>
      <c r="H25" s="5">
        <f>31000/2000</f>
        <v>15.5</v>
      </c>
      <c r="I25" s="5">
        <f>36000/2000</f>
        <v>18</v>
      </c>
      <c r="J25" s="6">
        <f t="shared" si="0"/>
        <v>33.5</v>
      </c>
      <c r="K25" s="6">
        <f t="shared" si="1"/>
        <v>24.5</v>
      </c>
      <c r="L25" s="132">
        <v>10</v>
      </c>
      <c r="M25" s="133">
        <v>312</v>
      </c>
      <c r="P25" s="138">
        <f t="shared" si="2"/>
        <v>245</v>
      </c>
      <c r="Q25">
        <f t="shared" si="3"/>
        <v>3120</v>
      </c>
    </row>
    <row r="26" spans="1:17" ht="13.5" thickBot="1">
      <c r="A26" s="225" t="s">
        <v>92</v>
      </c>
      <c r="B26" s="225"/>
      <c r="C26" s="225"/>
      <c r="D26" s="225"/>
      <c r="E26" s="225"/>
      <c r="G26" s="4" t="s">
        <v>103</v>
      </c>
      <c r="H26" s="5">
        <f>15000/2000</f>
        <v>7.5</v>
      </c>
      <c r="I26" s="5">
        <f>20000/2000</f>
        <v>10</v>
      </c>
      <c r="J26" s="6">
        <f t="shared" si="0"/>
        <v>17.5</v>
      </c>
      <c r="K26" s="6">
        <f t="shared" si="1"/>
        <v>12.5</v>
      </c>
      <c r="L26" s="132">
        <v>2</v>
      </c>
      <c r="M26" s="133">
        <v>312</v>
      </c>
      <c r="P26" s="138">
        <f t="shared" si="2"/>
        <v>25</v>
      </c>
      <c r="Q26">
        <f t="shared" si="3"/>
        <v>624</v>
      </c>
    </row>
    <row r="27" spans="1:17" ht="13.5" thickBot="1">
      <c r="A27" s="96" t="s">
        <v>95</v>
      </c>
      <c r="B27" s="34"/>
      <c r="C27" s="25" t="s">
        <v>17</v>
      </c>
      <c r="D27" s="25" t="s">
        <v>18</v>
      </c>
      <c r="E27" s="26" t="s">
        <v>19</v>
      </c>
      <c r="G27" s="4" t="s">
        <v>105</v>
      </c>
      <c r="H27" s="5">
        <f>18000/2000</f>
        <v>9</v>
      </c>
      <c r="I27" s="5">
        <f>6000/2000</f>
        <v>3</v>
      </c>
      <c r="J27" s="6">
        <f t="shared" si="0"/>
        <v>12</v>
      </c>
      <c r="K27" s="6">
        <f t="shared" si="1"/>
        <v>10.5</v>
      </c>
      <c r="L27" s="132">
        <v>20</v>
      </c>
      <c r="M27" s="133">
        <v>312</v>
      </c>
      <c r="P27" s="138">
        <f t="shared" si="2"/>
        <v>210</v>
      </c>
      <c r="Q27">
        <f t="shared" si="3"/>
        <v>6240</v>
      </c>
    </row>
    <row r="28" spans="1:17" ht="13.5" thickBot="1">
      <c r="A28" s="99" t="s">
        <v>94</v>
      </c>
      <c r="B28" s="99"/>
      <c r="C28" s="100">
        <v>0.5</v>
      </c>
      <c r="D28" s="101">
        <v>0.5</v>
      </c>
      <c r="E28" s="102">
        <v>0.5</v>
      </c>
      <c r="G28" s="4" t="s">
        <v>104</v>
      </c>
      <c r="H28" s="5">
        <f>12000/2000</f>
        <v>6</v>
      </c>
      <c r="I28" s="5">
        <f>4000/2000</f>
        <v>2</v>
      </c>
      <c r="J28" s="6">
        <f t="shared" si="0"/>
        <v>8</v>
      </c>
      <c r="K28" s="6">
        <f t="shared" si="1"/>
        <v>7</v>
      </c>
      <c r="L28" s="132">
        <v>20</v>
      </c>
      <c r="M28" s="133">
        <v>312</v>
      </c>
      <c r="P28" s="138">
        <f t="shared" si="2"/>
        <v>140</v>
      </c>
      <c r="Q28">
        <f t="shared" si="3"/>
        <v>6240</v>
      </c>
    </row>
    <row r="29" spans="1:17" ht="12.75">
      <c r="A29" s="36"/>
      <c r="B29" s="36"/>
      <c r="C29" s="92"/>
      <c r="D29" s="92"/>
      <c r="E29" s="92"/>
      <c r="G29" s="4" t="s">
        <v>106</v>
      </c>
      <c r="H29" s="5">
        <f>32000/2000</f>
        <v>16</v>
      </c>
      <c r="I29" s="5">
        <f>28000/2000</f>
        <v>14</v>
      </c>
      <c r="J29" s="6">
        <f t="shared" si="0"/>
        <v>30</v>
      </c>
      <c r="K29" s="6">
        <f t="shared" si="1"/>
        <v>23</v>
      </c>
      <c r="L29" s="132">
        <v>20</v>
      </c>
      <c r="M29" s="133">
        <v>312</v>
      </c>
      <c r="P29" s="138">
        <f t="shared" si="2"/>
        <v>460</v>
      </c>
      <c r="Q29">
        <f t="shared" si="3"/>
        <v>6240</v>
      </c>
    </row>
    <row r="30" spans="2:17" ht="12.75">
      <c r="B30" s="36"/>
      <c r="C30" s="93"/>
      <c r="D30" s="93"/>
      <c r="E30" s="93"/>
      <c r="G30" s="4" t="s">
        <v>107</v>
      </c>
      <c r="H30" s="5">
        <f>4200/2000</f>
        <v>2.1</v>
      </c>
      <c r="I30" s="5">
        <f>1300/2000</f>
        <v>0.65</v>
      </c>
      <c r="J30" s="6">
        <f t="shared" si="0"/>
        <v>2.75</v>
      </c>
      <c r="K30" s="6">
        <f t="shared" si="1"/>
        <v>2.425</v>
      </c>
      <c r="L30" s="132">
        <v>24</v>
      </c>
      <c r="M30" s="133">
        <v>312</v>
      </c>
      <c r="P30" s="138">
        <f t="shared" si="2"/>
        <v>58.199999999999996</v>
      </c>
      <c r="Q30">
        <f t="shared" si="3"/>
        <v>7488</v>
      </c>
    </row>
    <row r="31" spans="1:17" ht="13.5" thickBot="1">
      <c r="A31" s="229" t="s">
        <v>60</v>
      </c>
      <c r="B31" s="229"/>
      <c r="C31" s="229"/>
      <c r="D31" s="229"/>
      <c r="G31" s="4" t="s">
        <v>109</v>
      </c>
      <c r="H31" s="5">
        <f>32000/2000</f>
        <v>16</v>
      </c>
      <c r="I31" s="5">
        <f>16000/2000</f>
        <v>8</v>
      </c>
      <c r="J31" s="6">
        <f t="shared" si="0"/>
        <v>24</v>
      </c>
      <c r="K31" s="6">
        <f t="shared" si="1"/>
        <v>20</v>
      </c>
      <c r="L31" s="132">
        <v>20</v>
      </c>
      <c r="M31" s="133">
        <v>312</v>
      </c>
      <c r="P31" s="138">
        <f t="shared" si="2"/>
        <v>400</v>
      </c>
      <c r="Q31">
        <f t="shared" si="3"/>
        <v>6240</v>
      </c>
    </row>
    <row r="32" spans="1:17" ht="12.75">
      <c r="A32" s="51" t="s">
        <v>93</v>
      </c>
      <c r="B32" s="49"/>
      <c r="C32" s="141">
        <v>0</v>
      </c>
      <c r="D32" s="145" t="s">
        <v>116</v>
      </c>
      <c r="E32" s="148"/>
      <c r="G32" s="4" t="s">
        <v>108</v>
      </c>
      <c r="H32" s="5">
        <f>22000/2000</f>
        <v>11</v>
      </c>
      <c r="I32" s="5">
        <f>20000/2000</f>
        <v>10</v>
      </c>
      <c r="J32" s="6">
        <f t="shared" si="0"/>
        <v>21</v>
      </c>
      <c r="K32" s="6">
        <f t="shared" si="1"/>
        <v>16</v>
      </c>
      <c r="L32" s="132">
        <v>20</v>
      </c>
      <c r="M32" s="133">
        <v>312</v>
      </c>
      <c r="P32" s="138">
        <f t="shared" si="2"/>
        <v>320</v>
      </c>
      <c r="Q32">
        <f t="shared" si="3"/>
        <v>6240</v>
      </c>
    </row>
    <row r="33" spans="1:17" ht="12.75">
      <c r="A33" s="52" t="s">
        <v>58</v>
      </c>
      <c r="B33" s="50"/>
      <c r="C33" s="142">
        <f>L29</f>
        <v>20</v>
      </c>
      <c r="D33" s="146" t="s">
        <v>117</v>
      </c>
      <c r="E33" s="42"/>
      <c r="G33" s="4" t="s">
        <v>110</v>
      </c>
      <c r="H33" s="5">
        <f>23000/2000</f>
        <v>11.5</v>
      </c>
      <c r="I33" s="5">
        <f>9000/2000</f>
        <v>4.5</v>
      </c>
      <c r="J33" s="6">
        <f t="shared" si="0"/>
        <v>16</v>
      </c>
      <c r="K33" s="6">
        <f t="shared" si="1"/>
        <v>13.75</v>
      </c>
      <c r="L33" s="132">
        <v>6</v>
      </c>
      <c r="M33" s="133">
        <v>312</v>
      </c>
      <c r="P33" s="138">
        <f t="shared" si="2"/>
        <v>82.5</v>
      </c>
      <c r="Q33">
        <f t="shared" si="3"/>
        <v>1872</v>
      </c>
    </row>
    <row r="34" spans="1:17" ht="12.75">
      <c r="A34" s="52" t="s">
        <v>59</v>
      </c>
      <c r="B34" s="50"/>
      <c r="C34" s="143">
        <f>M29</f>
        <v>312</v>
      </c>
      <c r="D34" s="146" t="s">
        <v>118</v>
      </c>
      <c r="E34" s="42"/>
      <c r="G34" s="4" t="s">
        <v>112</v>
      </c>
      <c r="H34" s="5">
        <f>3500/2000</f>
        <v>1.75</v>
      </c>
      <c r="I34" s="5">
        <f>200/2000</f>
        <v>0.1</v>
      </c>
      <c r="J34" s="6">
        <f t="shared" si="0"/>
        <v>1.85</v>
      </c>
      <c r="K34" s="6">
        <f t="shared" si="1"/>
        <v>1.8</v>
      </c>
      <c r="L34" s="132">
        <v>4</v>
      </c>
      <c r="M34" s="133">
        <v>312</v>
      </c>
      <c r="P34" s="138">
        <f t="shared" si="2"/>
        <v>7.2</v>
      </c>
      <c r="Q34">
        <f t="shared" si="3"/>
        <v>1248</v>
      </c>
    </row>
    <row r="35" spans="1:17" ht="13.5" thickBot="1">
      <c r="A35" s="52" t="s">
        <v>30</v>
      </c>
      <c r="B35" s="50"/>
      <c r="C35" s="43">
        <f>C32/5280*2*C33</f>
        <v>0</v>
      </c>
      <c r="D35" s="146" t="s">
        <v>119</v>
      </c>
      <c r="E35" s="42"/>
      <c r="G35" s="7" t="s">
        <v>177</v>
      </c>
      <c r="H35" s="184">
        <f>3500/2000</f>
        <v>1.75</v>
      </c>
      <c r="I35" s="184">
        <f>200/2000</f>
        <v>0.1</v>
      </c>
      <c r="J35" s="135">
        <f t="shared" si="0"/>
        <v>1.85</v>
      </c>
      <c r="K35" s="135">
        <f t="shared" si="1"/>
        <v>1.8</v>
      </c>
      <c r="L35" s="136">
        <v>10</v>
      </c>
      <c r="M35" s="137">
        <v>312</v>
      </c>
      <c r="P35" s="138">
        <f t="shared" si="2"/>
        <v>18</v>
      </c>
      <c r="Q35">
        <f t="shared" si="3"/>
        <v>3120</v>
      </c>
    </row>
    <row r="36" spans="1:17" ht="13.5" thickBot="1">
      <c r="A36" s="53" t="s">
        <v>31</v>
      </c>
      <c r="B36" s="16"/>
      <c r="C36" s="124">
        <f>C35*C34</f>
        <v>0</v>
      </c>
      <c r="D36" s="147" t="s">
        <v>120</v>
      </c>
      <c r="E36" s="149"/>
      <c r="G36" s="21" t="s">
        <v>26</v>
      </c>
      <c r="H36" s="22"/>
      <c r="I36" s="23"/>
      <c r="J36" s="23"/>
      <c r="K36" s="45">
        <f>P36/L36</f>
        <v>14.644499999999999</v>
      </c>
      <c r="L36" s="76">
        <f>SUM(L22:L35)</f>
        <v>200</v>
      </c>
      <c r="M36" s="79">
        <f>Q36/L36</f>
        <v>312</v>
      </c>
      <c r="P36" s="139">
        <f>SUM(P22:P35)</f>
        <v>2928.8999999999996</v>
      </c>
      <c r="Q36" s="140">
        <f>SUM(Q22:Q35)</f>
        <v>62400</v>
      </c>
    </row>
    <row r="37" spans="6:13" ht="12.75">
      <c r="F37" s="98"/>
      <c r="G37" s="36"/>
      <c r="H37" s="36"/>
      <c r="I37" s="36"/>
      <c r="J37" s="36"/>
      <c r="K37" s="105" t="s">
        <v>96</v>
      </c>
      <c r="L37" s="81"/>
      <c r="M37" s="82"/>
    </row>
    <row r="38" spans="7:10" ht="12.75">
      <c r="G38" s="36"/>
      <c r="H38" s="56"/>
      <c r="I38" s="36"/>
      <c r="J38" s="36"/>
    </row>
    <row r="39" spans="1:5" ht="13.5" thickBot="1">
      <c r="A39" s="225" t="s">
        <v>97</v>
      </c>
      <c r="B39" s="225"/>
      <c r="C39" s="225"/>
      <c r="D39" s="225"/>
      <c r="E39" s="225"/>
    </row>
    <row r="40" spans="1:5" ht="12.75">
      <c r="A40" s="151"/>
      <c r="B40" s="152"/>
      <c r="C40" s="226" t="s">
        <v>123</v>
      </c>
      <c r="D40" s="227"/>
      <c r="E40" s="228"/>
    </row>
    <row r="41" spans="1:5" ht="12.75">
      <c r="A41" s="153"/>
      <c r="B41" s="97"/>
      <c r="C41" s="107" t="s">
        <v>17</v>
      </c>
      <c r="D41" s="107" t="s">
        <v>18</v>
      </c>
      <c r="E41" s="108" t="s">
        <v>19</v>
      </c>
    </row>
    <row r="42" spans="1:5" ht="12.75">
      <c r="A42" s="52" t="s">
        <v>48</v>
      </c>
      <c r="B42" s="112"/>
      <c r="C42" s="109">
        <f>C$21*(C$22/2)^0.65*(C$23/3)^1.5</f>
        <v>0.100976671853726</v>
      </c>
      <c r="D42" s="109">
        <f>D$21*(D$22/2)^0.65*(D$23/3)^1.5</f>
        <v>0.403906687414904</v>
      </c>
      <c r="E42" s="27">
        <f>E$21*(E$22/2)^0.65*(E$23/3)^1.5</f>
        <v>2.0700217730013826</v>
      </c>
    </row>
    <row r="43" spans="1:5" ht="13.5" thickBot="1">
      <c r="A43" s="114" t="s">
        <v>98</v>
      </c>
      <c r="B43" s="115"/>
      <c r="C43" s="116">
        <f>C42*(1-C$28)</f>
        <v>0.050488335926863</v>
      </c>
      <c r="D43" s="116">
        <f>D42*(1-D$28)</f>
        <v>0.201953343707452</v>
      </c>
      <c r="E43" s="117">
        <f>E42*(1-E$28)</f>
        <v>1.0350108865006913</v>
      </c>
    </row>
    <row r="44" spans="1:5" ht="12.75">
      <c r="A44" s="96"/>
      <c r="B44" s="34"/>
      <c r="C44" s="226" t="s">
        <v>124</v>
      </c>
      <c r="D44" s="227"/>
      <c r="E44" s="228"/>
    </row>
    <row r="45" spans="1:5" ht="12.75">
      <c r="A45" s="110"/>
      <c r="B45" s="111"/>
      <c r="C45" s="107" t="s">
        <v>17</v>
      </c>
      <c r="D45" s="107" t="s">
        <v>18</v>
      </c>
      <c r="E45" s="108" t="s">
        <v>19</v>
      </c>
    </row>
    <row r="46" spans="1:5" ht="12.75">
      <c r="A46" s="52" t="s">
        <v>48</v>
      </c>
      <c r="B46" s="112"/>
      <c r="C46" s="109">
        <f>C$21*(C$22/2)^0.65*(C$23/3)^1.5*$C$35</f>
        <v>0</v>
      </c>
      <c r="D46" s="109">
        <f>D$21*(D$22/2)^0.65*(D$23/3)^1.5*$C$35</f>
        <v>0</v>
      </c>
      <c r="E46" s="27">
        <f>E$21*(E$22/2)^0.65*(E$23/3)^1.5*$C$35</f>
        <v>0</v>
      </c>
    </row>
    <row r="47" spans="1:5" ht="13.5" thickBot="1">
      <c r="A47" s="53" t="s">
        <v>98</v>
      </c>
      <c r="B47" s="113"/>
      <c r="C47" s="154">
        <f>C46*(1-C$28)</f>
        <v>0</v>
      </c>
      <c r="D47" s="154">
        <f>D46*(1-D$28)</f>
        <v>0</v>
      </c>
      <c r="E47" s="32">
        <f>E46*(1-E$28)</f>
        <v>0</v>
      </c>
    </row>
    <row r="48" spans="1:5" ht="12.75">
      <c r="A48" s="96"/>
      <c r="B48" s="89"/>
      <c r="C48" s="226" t="s">
        <v>54</v>
      </c>
      <c r="D48" s="227"/>
      <c r="E48" s="228"/>
    </row>
    <row r="49" spans="1:5" ht="12.75">
      <c r="A49" s="110"/>
      <c r="B49" s="111"/>
      <c r="C49" s="107" t="s">
        <v>17</v>
      </c>
      <c r="D49" s="107" t="s">
        <v>18</v>
      </c>
      <c r="E49" s="108" t="s">
        <v>19</v>
      </c>
    </row>
    <row r="50" spans="1:5" ht="12.75">
      <c r="A50" s="52" t="s">
        <v>48</v>
      </c>
      <c r="B50" s="112"/>
      <c r="C50" s="118">
        <f>C$21*(C$22/2)^0.65*(C$23/3)^1.5*$C$36/2000</f>
        <v>0</v>
      </c>
      <c r="D50" s="118">
        <f>D21*(D22/2)^0.65*(D23/3)^1.5*$C$36/2000</f>
        <v>0</v>
      </c>
      <c r="E50" s="121">
        <f>E21*(E22/2)^0.65*(E23/3)^1.5*$C$36/2000</f>
        <v>0</v>
      </c>
    </row>
    <row r="51" spans="1:5" ht="13.5" thickBot="1">
      <c r="A51" s="53" t="s">
        <v>98</v>
      </c>
      <c r="B51" s="113"/>
      <c r="C51" s="119">
        <f>C50*(1-C$28)</f>
        <v>0</v>
      </c>
      <c r="D51" s="119">
        <f>D50*(1-D$28)</f>
        <v>0</v>
      </c>
      <c r="E51" s="120">
        <f>E50*(1-E$28)</f>
        <v>0</v>
      </c>
    </row>
    <row r="55" ht="12.75">
      <c r="F55" s="2"/>
    </row>
    <row r="56" spans="1:6" ht="12.75">
      <c r="A56" s="36"/>
      <c r="B56" s="97"/>
      <c r="C56" s="98"/>
      <c r="D56" s="98"/>
      <c r="E56" s="98"/>
      <c r="F56" s="1"/>
    </row>
    <row r="57" spans="1:5" ht="12.75">
      <c r="A57" s="36"/>
      <c r="B57" s="97"/>
      <c r="C57" s="106"/>
      <c r="D57" s="106"/>
      <c r="E57" s="106"/>
    </row>
    <row r="58" spans="1:5" ht="12.75">
      <c r="A58" s="36"/>
      <c r="B58" s="97"/>
      <c r="C58" s="106"/>
      <c r="D58" s="106"/>
      <c r="E58" s="106"/>
    </row>
    <row r="59" spans="1:5" ht="12.75">
      <c r="A59" s="36"/>
      <c r="B59" s="97"/>
      <c r="C59" s="106"/>
      <c r="D59" s="106"/>
      <c r="E59" s="106"/>
    </row>
    <row r="60" spans="1:5" ht="12.75">
      <c r="A60" s="36"/>
      <c r="B60" s="97"/>
      <c r="C60" s="106"/>
      <c r="D60" s="106"/>
      <c r="E60" s="106"/>
    </row>
    <row r="61" spans="1:5" ht="12.75">
      <c r="A61" s="36"/>
      <c r="B61" s="97"/>
      <c r="C61" s="106"/>
      <c r="D61" s="106"/>
      <c r="E61" s="106"/>
    </row>
    <row r="62" spans="1:5" ht="12.75">
      <c r="A62" s="36"/>
      <c r="B62" s="97"/>
      <c r="C62" s="106"/>
      <c r="D62" s="106"/>
      <c r="E62" s="106"/>
    </row>
    <row r="63" spans="1:5" ht="12.75">
      <c r="A63" s="36"/>
      <c r="B63" s="97"/>
      <c r="C63" s="106"/>
      <c r="D63" s="106"/>
      <c r="E63" s="106"/>
    </row>
    <row r="64" spans="1:5" ht="12.75">
      <c r="A64" s="36"/>
      <c r="B64" s="36"/>
      <c r="C64" s="36"/>
      <c r="D64" s="36"/>
      <c r="E64" s="36"/>
    </row>
  </sheetData>
  <mergeCells count="8">
    <mergeCell ref="C44:E44"/>
    <mergeCell ref="C40:E40"/>
    <mergeCell ref="C48:E48"/>
    <mergeCell ref="G19:L19"/>
    <mergeCell ref="B19:E19"/>
    <mergeCell ref="A31:D31"/>
    <mergeCell ref="A26:E26"/>
    <mergeCell ref="A39:E39"/>
  </mergeCells>
  <printOptions/>
  <pageMargins left="0.25" right="0.25" top="0.5" bottom="0.5" header="0.25" footer="0.25"/>
  <pageSetup horizontalDpi="600" verticalDpi="600" orientation="landscape" r:id="rId1"/>
  <rowBreaks count="1" manualBreakCount="1">
    <brk id="1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I17" sqref="I17"/>
    </sheetView>
  </sheetViews>
  <sheetFormatPr defaultColWidth="9.140625" defaultRowHeight="12.75"/>
  <cols>
    <col min="1" max="1" width="10.8515625" style="0" bestFit="1" customWidth="1"/>
    <col min="2" max="4" width="10.7109375" style="0" customWidth="1"/>
    <col min="5" max="5" width="14.7109375" style="0" bestFit="1" customWidth="1"/>
    <col min="6" max="6" width="10.8515625" style="0" bestFit="1" customWidth="1"/>
    <col min="7" max="7" width="10.00390625" style="0" bestFit="1" customWidth="1"/>
    <col min="8" max="9" width="10.7109375" style="0" customWidth="1"/>
  </cols>
  <sheetData>
    <row r="1" spans="1:9" ht="12.75">
      <c r="A1" s="230" t="s">
        <v>175</v>
      </c>
      <c r="B1" s="230"/>
      <c r="C1" s="230"/>
      <c r="D1" s="230"/>
      <c r="E1" s="230"/>
      <c r="F1" s="230"/>
      <c r="G1" s="230"/>
      <c r="H1" s="230"/>
      <c r="I1" s="230"/>
    </row>
    <row r="2" ht="13.5" thickBot="1"/>
    <row r="3" spans="1:9" ht="15.75">
      <c r="A3" s="8"/>
      <c r="B3" s="9"/>
      <c r="C3" s="9"/>
      <c r="D3" s="9"/>
      <c r="E3" s="122" t="s">
        <v>159</v>
      </c>
      <c r="F3" s="9" t="s">
        <v>162</v>
      </c>
      <c r="G3" s="9" t="s">
        <v>163</v>
      </c>
      <c r="H3" s="222" t="s">
        <v>167</v>
      </c>
      <c r="I3" s="223"/>
    </row>
    <row r="4" spans="1:9" ht="12.75">
      <c r="A4" s="10"/>
      <c r="B4" s="164" t="s">
        <v>157</v>
      </c>
      <c r="C4" s="164" t="s">
        <v>156</v>
      </c>
      <c r="D4" s="164" t="s">
        <v>155</v>
      </c>
      <c r="E4" s="164" t="s">
        <v>158</v>
      </c>
      <c r="F4" s="164" t="s">
        <v>161</v>
      </c>
      <c r="G4" s="164" t="s">
        <v>164</v>
      </c>
      <c r="H4" s="164" t="s">
        <v>165</v>
      </c>
      <c r="I4" s="66" t="s">
        <v>168</v>
      </c>
    </row>
    <row r="5" spans="1:9" ht="12.75">
      <c r="A5" s="165" t="s">
        <v>145</v>
      </c>
      <c r="B5" s="166" t="s">
        <v>152</v>
      </c>
      <c r="C5" s="167">
        <v>12</v>
      </c>
      <c r="D5" s="167">
        <v>11</v>
      </c>
      <c r="E5" s="168">
        <f>0.75*1*(C5^1.5)/(D5^1.4)</f>
        <v>1.0861339107529706</v>
      </c>
      <c r="F5" s="166">
        <v>6</v>
      </c>
      <c r="G5" s="166">
        <v>2</v>
      </c>
      <c r="H5" s="169">
        <f>E5*F5*G5</f>
        <v>13.033606929035647</v>
      </c>
      <c r="I5" s="170">
        <f>H5*312/2000</f>
        <v>2.0332426809295607</v>
      </c>
    </row>
    <row r="6" spans="1:9" ht="12.75">
      <c r="A6" s="165" t="s">
        <v>145</v>
      </c>
      <c r="B6" s="166" t="s">
        <v>153</v>
      </c>
      <c r="C6" s="167">
        <v>9</v>
      </c>
      <c r="D6" s="167">
        <v>12</v>
      </c>
      <c r="E6" s="168">
        <f>0.75*1*(C6^1.5)/(D6^1.4)</f>
        <v>0.6245558535720713</v>
      </c>
      <c r="F6" s="166">
        <v>1</v>
      </c>
      <c r="G6" s="166">
        <v>1</v>
      </c>
      <c r="H6" s="169">
        <f>E6*F6*G6</f>
        <v>0.6245558535720713</v>
      </c>
      <c r="I6" s="170">
        <f>H6*312/2000</f>
        <v>0.09743071315724314</v>
      </c>
    </row>
    <row r="7" spans="1:9" ht="12.75">
      <c r="A7" s="165" t="s">
        <v>149</v>
      </c>
      <c r="B7" s="166" t="s">
        <v>152</v>
      </c>
      <c r="C7" s="167">
        <v>12</v>
      </c>
      <c r="D7" s="167">
        <v>11</v>
      </c>
      <c r="E7" s="168">
        <f>0.75*1*(C7^1.5)/(D7^1.4)</f>
        <v>1.0861339107529706</v>
      </c>
      <c r="F7" s="166">
        <v>6</v>
      </c>
      <c r="G7" s="166">
        <v>1</v>
      </c>
      <c r="H7" s="169">
        <f>E7*F7*G7</f>
        <v>6.516803464517824</v>
      </c>
      <c r="I7" s="170">
        <f>H7*312/2000</f>
        <v>1.0166213404647804</v>
      </c>
    </row>
    <row r="8" spans="1:9" ht="12.75">
      <c r="A8" s="165" t="s">
        <v>149</v>
      </c>
      <c r="B8" s="166" t="s">
        <v>153</v>
      </c>
      <c r="C8" s="167">
        <v>9</v>
      </c>
      <c r="D8" s="167">
        <v>12</v>
      </c>
      <c r="E8" s="168">
        <f>0.75*1*(C8^1.5)/(D8^1.4)</f>
        <v>0.6245558535720713</v>
      </c>
      <c r="F8" s="166">
        <v>1</v>
      </c>
      <c r="G8" s="166">
        <v>1</v>
      </c>
      <c r="H8" s="169">
        <f>E8*F8*G8</f>
        <v>0.6245558535720713</v>
      </c>
      <c r="I8" s="170">
        <f>H8*312/2000</f>
        <v>0.09743071315724314</v>
      </c>
    </row>
    <row r="9" spans="1:9" ht="12.75">
      <c r="A9" s="10" t="s">
        <v>146</v>
      </c>
      <c r="B9" s="164" t="s">
        <v>154</v>
      </c>
      <c r="C9" s="171">
        <v>9.2</v>
      </c>
      <c r="D9" s="171">
        <v>14</v>
      </c>
      <c r="E9" s="172">
        <f>0.75*1*(C9^1.5)/(D9^1.4)</f>
        <v>0.5201921024547836</v>
      </c>
      <c r="F9" s="164">
        <v>4</v>
      </c>
      <c r="G9" s="164">
        <v>1</v>
      </c>
      <c r="H9" s="173">
        <f>E9*F9*G9</f>
        <v>2.0807684098191346</v>
      </c>
      <c r="I9" s="174">
        <f>H9*312/2000</f>
        <v>0.324599871931785</v>
      </c>
    </row>
    <row r="10" spans="1:9" ht="15.75">
      <c r="A10" s="114"/>
      <c r="B10" s="175"/>
      <c r="C10" s="175"/>
      <c r="D10" s="175"/>
      <c r="E10" s="176" t="s">
        <v>169</v>
      </c>
      <c r="F10" s="231" t="s">
        <v>172</v>
      </c>
      <c r="G10" s="231"/>
      <c r="H10" s="231" t="s">
        <v>167</v>
      </c>
      <c r="I10" s="232"/>
    </row>
    <row r="11" spans="1:9" ht="12.75">
      <c r="A11" s="110"/>
      <c r="B11" s="164" t="s">
        <v>157</v>
      </c>
      <c r="C11" s="164" t="s">
        <v>156</v>
      </c>
      <c r="D11" s="164" t="s">
        <v>155</v>
      </c>
      <c r="E11" s="164" t="s">
        <v>170</v>
      </c>
      <c r="F11" s="164" t="s">
        <v>171</v>
      </c>
      <c r="G11" s="164" t="s">
        <v>168</v>
      </c>
      <c r="H11" s="164" t="s">
        <v>165</v>
      </c>
      <c r="I11" s="66" t="s">
        <v>168</v>
      </c>
    </row>
    <row r="12" spans="1:9" ht="12.75">
      <c r="A12" s="150" t="s">
        <v>147</v>
      </c>
      <c r="B12" s="166" t="s">
        <v>152</v>
      </c>
      <c r="C12" s="167">
        <v>12</v>
      </c>
      <c r="D12" s="167">
        <v>11</v>
      </c>
      <c r="E12" s="177">
        <f>0.35*0.0032*((6/5)^1.3)/((D12/2)^1.4)</f>
        <v>0.0001305106273380263</v>
      </c>
      <c r="F12" s="178"/>
      <c r="G12" s="166">
        <v>245815</v>
      </c>
      <c r="H12" s="169">
        <f>E12*F12</f>
        <v>0</v>
      </c>
      <c r="I12" s="170">
        <f>E12*G12/2000</f>
        <v>0.016040734929548467</v>
      </c>
    </row>
    <row r="13" spans="1:9" ht="13.5" thickBot="1">
      <c r="A13" s="150" t="s">
        <v>147</v>
      </c>
      <c r="B13" s="179" t="s">
        <v>153</v>
      </c>
      <c r="C13" s="180">
        <v>9</v>
      </c>
      <c r="D13" s="180">
        <v>12</v>
      </c>
      <c r="E13" s="181">
        <f>0.35*0.0032*((6/5)^1.3)/((D13/2)^1.4)</f>
        <v>0.00011554253507349089</v>
      </c>
      <c r="F13" s="179">
        <f>F32</f>
        <v>370</v>
      </c>
      <c r="G13" s="179">
        <f>G32</f>
        <v>98560</v>
      </c>
      <c r="H13" s="182">
        <f>E13*F13</f>
        <v>0.04275073797719163</v>
      </c>
      <c r="I13" s="183">
        <f>E13*G13/2000</f>
        <v>0.00569393612842163</v>
      </c>
    </row>
    <row r="14" spans="1:9" ht="15.75">
      <c r="A14" s="96"/>
      <c r="B14" s="152"/>
      <c r="C14" s="163"/>
      <c r="D14" s="163"/>
      <c r="E14" s="34"/>
      <c r="F14" s="34"/>
      <c r="G14" s="34"/>
      <c r="H14" s="222" t="s">
        <v>167</v>
      </c>
      <c r="I14" s="223"/>
    </row>
    <row r="15" spans="1:9" ht="12.75">
      <c r="A15" s="150"/>
      <c r="B15" s="97"/>
      <c r="C15" s="159"/>
      <c r="D15" s="159"/>
      <c r="E15" s="36"/>
      <c r="F15" s="36"/>
      <c r="G15" s="36"/>
      <c r="H15" s="164" t="s">
        <v>165</v>
      </c>
      <c r="I15" s="66" t="s">
        <v>168</v>
      </c>
    </row>
    <row r="16" spans="1:9" ht="13.5" thickBot="1">
      <c r="A16" s="161" t="s">
        <v>176</v>
      </c>
      <c r="B16" s="125"/>
      <c r="C16" s="162"/>
      <c r="D16" s="162"/>
      <c r="E16" s="37"/>
      <c r="F16" s="37"/>
      <c r="G16" s="37"/>
      <c r="H16" s="182">
        <f>SUM(H5:H13)</f>
        <v>22.92304124849394</v>
      </c>
      <c r="I16" s="183">
        <f>SUM(I5:I13)</f>
        <v>3.591059990698583</v>
      </c>
    </row>
    <row r="18" ht="12.75">
      <c r="A18" t="s">
        <v>150</v>
      </c>
    </row>
    <row r="19" ht="15.75">
      <c r="A19" t="s">
        <v>148</v>
      </c>
    </row>
    <row r="21" ht="12.75">
      <c r="A21" t="s">
        <v>151</v>
      </c>
    </row>
    <row r="22" ht="15.75">
      <c r="A22" t="s">
        <v>160</v>
      </c>
    </row>
    <row r="23" ht="12.75">
      <c r="A23" t="s">
        <v>174</v>
      </c>
    </row>
    <row r="25" ht="12.75">
      <c r="A25" t="s">
        <v>173</v>
      </c>
    </row>
    <row r="28" spans="1:9" ht="12.75">
      <c r="A28" s="230" t="s">
        <v>235</v>
      </c>
      <c r="B28" s="230"/>
      <c r="C28" s="230"/>
      <c r="D28" s="230"/>
      <c r="E28" s="230"/>
      <c r="F28" s="230"/>
      <c r="G28" s="230"/>
      <c r="H28" s="230"/>
      <c r="I28" s="230"/>
    </row>
    <row r="29" ht="13.5" thickBot="1"/>
    <row r="30" spans="1:9" ht="15.75">
      <c r="A30" s="96"/>
      <c r="B30" s="14"/>
      <c r="C30" s="9"/>
      <c r="D30" s="9"/>
      <c r="E30" s="122" t="s">
        <v>169</v>
      </c>
      <c r="F30" s="222" t="s">
        <v>172</v>
      </c>
      <c r="G30" s="222"/>
      <c r="H30" s="222" t="s">
        <v>167</v>
      </c>
      <c r="I30" s="223"/>
    </row>
    <row r="31" spans="1:9" ht="12.75">
      <c r="A31" s="110" t="s">
        <v>237</v>
      </c>
      <c r="B31" s="111"/>
      <c r="C31" s="164" t="s">
        <v>156</v>
      </c>
      <c r="D31" s="164" t="s">
        <v>155</v>
      </c>
      <c r="E31" s="164" t="s">
        <v>170</v>
      </c>
      <c r="F31" s="164" t="s">
        <v>171</v>
      </c>
      <c r="G31" s="164" t="s">
        <v>168</v>
      </c>
      <c r="H31" s="164" t="s">
        <v>165</v>
      </c>
      <c r="I31" s="66" t="s">
        <v>168</v>
      </c>
    </row>
    <row r="32" spans="1:9" ht="12.75">
      <c r="A32" s="150" t="s">
        <v>236</v>
      </c>
      <c r="B32" s="166"/>
      <c r="C32" s="167">
        <v>9</v>
      </c>
      <c r="D32" s="167">
        <v>12</v>
      </c>
      <c r="E32" s="177">
        <f>0.35*0.0032*((6/5)^1.3)/((D32/2)^1.4)</f>
        <v>0.00011554253507349089</v>
      </c>
      <c r="F32" s="166">
        <v>370</v>
      </c>
      <c r="G32" s="166">
        <v>98560</v>
      </c>
      <c r="H32" s="169">
        <f>E32*F32</f>
        <v>0.04275073797719163</v>
      </c>
      <c r="I32" s="170">
        <f>E32*G32/2000</f>
        <v>0.00569393612842163</v>
      </c>
    </row>
    <row r="33" spans="1:9" ht="13.5" thickBot="1">
      <c r="A33" s="161" t="s">
        <v>238</v>
      </c>
      <c r="B33" s="179"/>
      <c r="C33" s="180">
        <v>9</v>
      </c>
      <c r="D33" s="180">
        <v>12</v>
      </c>
      <c r="E33" s="181">
        <f>0.35*0.0032*((6/5)^1.3)/((D33/2)^1.4)</f>
        <v>0.00011554253507349089</v>
      </c>
      <c r="F33" s="179">
        <f>F32</f>
        <v>370</v>
      </c>
      <c r="G33" s="179">
        <f>G32</f>
        <v>98560</v>
      </c>
      <c r="H33" s="182">
        <f>E33*F33</f>
        <v>0.04275073797719163</v>
      </c>
      <c r="I33" s="183">
        <f>E33*G33/2000</f>
        <v>0.00569393612842163</v>
      </c>
    </row>
    <row r="34" spans="1:9" ht="12.75">
      <c r="A34" s="209" t="s">
        <v>283</v>
      </c>
      <c r="H34" s="158">
        <f>H32+H33</f>
        <v>0.08550147595438326</v>
      </c>
      <c r="I34" s="157">
        <f>I32+I33</f>
        <v>0.01138787225684326</v>
      </c>
    </row>
  </sheetData>
  <mergeCells count="8">
    <mergeCell ref="A1:I1"/>
    <mergeCell ref="A28:I28"/>
    <mergeCell ref="F30:G30"/>
    <mergeCell ref="H30:I30"/>
    <mergeCell ref="H3:I3"/>
    <mergeCell ref="H10:I10"/>
    <mergeCell ref="F10:G10"/>
    <mergeCell ref="H14:I14"/>
  </mergeCells>
  <printOptions horizontalCentered="1"/>
  <pageMargins left="0.25" right="0.25" top="0.5" bottom="0.5" header="0.25" footer="0.2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71"/>
  <sheetViews>
    <sheetView workbookViewId="0" topLeftCell="A37">
      <selection activeCell="G58" sqref="G58"/>
    </sheetView>
  </sheetViews>
  <sheetFormatPr defaultColWidth="9.140625" defaultRowHeight="12.75"/>
  <cols>
    <col min="1" max="1" width="12.140625" style="0" bestFit="1" customWidth="1"/>
    <col min="6" max="6" width="3.7109375" style="0" customWidth="1"/>
    <col min="23" max="24" width="10.7109375" style="0" customWidth="1"/>
  </cols>
  <sheetData>
    <row r="1" ht="12.75">
      <c r="A1" s="185" t="s">
        <v>234</v>
      </c>
    </row>
    <row r="3" ht="12.75">
      <c r="A3" t="s">
        <v>178</v>
      </c>
    </row>
    <row r="5" ht="12.75">
      <c r="A5" t="s">
        <v>179</v>
      </c>
    </row>
    <row r="7" spans="1:2" ht="15.75">
      <c r="A7" s="1" t="s">
        <v>180</v>
      </c>
      <c r="B7" t="s">
        <v>181</v>
      </c>
    </row>
    <row r="8" spans="1:2" ht="12.75">
      <c r="A8" s="1" t="s">
        <v>182</v>
      </c>
      <c r="B8" t="s">
        <v>183</v>
      </c>
    </row>
    <row r="9" spans="1:2" ht="12.75">
      <c r="A9" s="1" t="s">
        <v>184</v>
      </c>
      <c r="B9" t="s">
        <v>185</v>
      </c>
    </row>
    <row r="10" spans="1:2" ht="15.75">
      <c r="A10" s="1" t="s">
        <v>186</v>
      </c>
      <c r="B10" t="s">
        <v>187</v>
      </c>
    </row>
    <row r="11" spans="1:2" ht="12.75">
      <c r="A11" s="1" t="s">
        <v>188</v>
      </c>
      <c r="B11" t="s">
        <v>189</v>
      </c>
    </row>
    <row r="12" spans="1:5" ht="15.75">
      <c r="A12" s="1" t="s">
        <v>190</v>
      </c>
      <c r="B12" t="s">
        <v>191</v>
      </c>
      <c r="E12" t="s">
        <v>192</v>
      </c>
    </row>
    <row r="13" spans="1:5" ht="12.75">
      <c r="A13" s="1"/>
      <c r="E13" t="s">
        <v>193</v>
      </c>
    </row>
    <row r="14" spans="1:5" ht="15.75">
      <c r="A14" s="1"/>
      <c r="E14" t="s">
        <v>284</v>
      </c>
    </row>
    <row r="15" spans="1:2" ht="15.75">
      <c r="A15" s="1" t="s">
        <v>194</v>
      </c>
      <c r="B15" t="s">
        <v>195</v>
      </c>
    </row>
    <row r="16" spans="1:2" ht="14.25">
      <c r="A16" s="1" t="s">
        <v>196</v>
      </c>
      <c r="B16" t="s">
        <v>197</v>
      </c>
    </row>
    <row r="17" spans="1:2" ht="12.75">
      <c r="A17" s="1" t="s">
        <v>198</v>
      </c>
      <c r="B17" t="s">
        <v>199</v>
      </c>
    </row>
    <row r="19" spans="1:2" ht="15.75">
      <c r="A19" t="s">
        <v>200</v>
      </c>
      <c r="B19" t="s">
        <v>201</v>
      </c>
    </row>
    <row r="20" spans="1:2" ht="15.75">
      <c r="A20" t="s">
        <v>202</v>
      </c>
      <c r="B20" t="s">
        <v>203</v>
      </c>
    </row>
    <row r="21" ht="15.75">
      <c r="B21" s="186" t="s">
        <v>204</v>
      </c>
    </row>
    <row r="22" spans="1:2" ht="15.75">
      <c r="A22" t="s">
        <v>205</v>
      </c>
      <c r="B22" t="s">
        <v>206</v>
      </c>
    </row>
    <row r="23" ht="14.25">
      <c r="B23" t="s">
        <v>207</v>
      </c>
    </row>
    <row r="24" spans="1:2" ht="12.75">
      <c r="A24" t="s">
        <v>208</v>
      </c>
      <c r="B24" t="s">
        <v>209</v>
      </c>
    </row>
    <row r="27" ht="12.75">
      <c r="A27" t="s">
        <v>241</v>
      </c>
    </row>
    <row r="28" ht="13.5" thickBot="1"/>
    <row r="29" spans="2:5" ht="13.5" thickBot="1">
      <c r="B29" s="233" t="s">
        <v>210</v>
      </c>
      <c r="C29" s="234"/>
      <c r="D29" s="234" t="s">
        <v>211</v>
      </c>
      <c r="E29" s="235"/>
    </row>
    <row r="30" spans="1:7" ht="12.75">
      <c r="A30" s="187" t="s">
        <v>212</v>
      </c>
      <c r="B30" s="208" t="s">
        <v>262</v>
      </c>
      <c r="C30" s="107" t="s">
        <v>242</v>
      </c>
      <c r="D30" s="208" t="s">
        <v>262</v>
      </c>
      <c r="E30" s="108" t="s">
        <v>242</v>
      </c>
      <c r="G30" t="s">
        <v>213</v>
      </c>
    </row>
    <row r="31" spans="1:7" ht="15.75">
      <c r="A31" s="188" t="s">
        <v>214</v>
      </c>
      <c r="B31" s="109">
        <f>(42.5*5280*12*2.54/100/3600)*LN(10/0.003)/LN(30*12*2.54/100/0.003)</f>
        <v>19.21113387127456</v>
      </c>
      <c r="C31" s="109">
        <f>B31</f>
        <v>19.21113387127456</v>
      </c>
      <c r="D31" s="109">
        <f>(42.5*5280*12*2.54/100/3600)*LN(10/0.003)/LN(30*12*2.54/100/0.003)</f>
        <v>19.21113387127456</v>
      </c>
      <c r="E31" s="27">
        <f>D31</f>
        <v>19.21113387127456</v>
      </c>
      <c r="G31" t="s">
        <v>243</v>
      </c>
    </row>
    <row r="32" spans="1:7" ht="12.75">
      <c r="A32" s="188" t="s">
        <v>215</v>
      </c>
      <c r="B32" s="118">
        <f>(0.053*B31)</f>
        <v>1.0181900951775515</v>
      </c>
      <c r="C32" s="118">
        <f>(0.053*C31)</f>
        <v>1.0181900951775515</v>
      </c>
      <c r="D32" s="118">
        <f>(0.053*D31)</f>
        <v>1.0181900951775515</v>
      </c>
      <c r="E32" s="121">
        <f>(0.053*E31)</f>
        <v>1.0181900951775515</v>
      </c>
      <c r="G32" t="s">
        <v>216</v>
      </c>
    </row>
    <row r="33" spans="1:7" ht="15.75">
      <c r="A33" s="188" t="s">
        <v>217</v>
      </c>
      <c r="B33" s="118">
        <v>1</v>
      </c>
      <c r="C33" s="118">
        <f>B33</f>
        <v>1</v>
      </c>
      <c r="D33" s="118">
        <v>1</v>
      </c>
      <c r="E33" s="121">
        <f>D33</f>
        <v>1</v>
      </c>
      <c r="G33" t="s">
        <v>293</v>
      </c>
    </row>
    <row r="34" spans="1:7" ht="15.75">
      <c r="A34" s="188" t="s">
        <v>218</v>
      </c>
      <c r="B34" s="109">
        <f>IF((B32-B33)&lt;0,0,((58*(B32-B33)^2)+(25*(B32-B33))))</f>
        <v>0.47394339406775493</v>
      </c>
      <c r="C34" s="109">
        <f>IF((C32-C33)&lt;0,0,((58*(C32-C33)^2)+(25*(C32-C33))))</f>
        <v>0.47394339406775493</v>
      </c>
      <c r="D34" s="109">
        <f>IF((D32-D33)&lt;0,0,((58*(D32-D33)^2)+(25*(D32-D33))))</f>
        <v>0.47394339406775493</v>
      </c>
      <c r="E34" s="27">
        <f>IF((E32-E33)&lt;0,0,((58*(E32-E33)^2)+(25*(E32-E33))))</f>
        <v>0.47394339406775493</v>
      </c>
      <c r="G34" t="s">
        <v>219</v>
      </c>
    </row>
    <row r="35" spans="1:7" ht="13.5" thickBot="1">
      <c r="A35" s="189" t="s">
        <v>220</v>
      </c>
      <c r="B35" s="123">
        <v>312</v>
      </c>
      <c r="C35" s="123">
        <v>1</v>
      </c>
      <c r="D35" s="123">
        <v>312</v>
      </c>
      <c r="E35" s="144">
        <v>1</v>
      </c>
      <c r="G35" t="s">
        <v>244</v>
      </c>
    </row>
    <row r="36" spans="1:7" ht="15.75">
      <c r="A36" s="97"/>
      <c r="B36" s="36"/>
      <c r="C36" s="36"/>
      <c r="G36" t="s">
        <v>294</v>
      </c>
    </row>
    <row r="38" ht="12.75">
      <c r="A38" t="s">
        <v>240</v>
      </c>
    </row>
    <row r="39" ht="13.5" thickBot="1"/>
    <row r="40" spans="1:64" ht="12.75">
      <c r="A40" s="3"/>
      <c r="B40" s="126" t="s">
        <v>221</v>
      </c>
      <c r="C40" s="126" t="s">
        <v>222</v>
      </c>
      <c r="D40" s="126" t="s">
        <v>223</v>
      </c>
      <c r="E40" s="127" t="s">
        <v>224</v>
      </c>
      <c r="F40" s="97"/>
      <c r="G40" s="36" t="s">
        <v>213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</row>
    <row r="41" spans="1:7" ht="12.75">
      <c r="A41" s="188" t="s">
        <v>225</v>
      </c>
      <c r="B41" s="190">
        <v>1</v>
      </c>
      <c r="C41" s="190">
        <v>0.6</v>
      </c>
      <c r="D41" s="190">
        <v>0.5</v>
      </c>
      <c r="E41" s="191">
        <v>0.2</v>
      </c>
      <c r="G41" t="s">
        <v>226</v>
      </c>
    </row>
    <row r="42" spans="1:7" ht="15.75">
      <c r="A42" s="188" t="s">
        <v>227</v>
      </c>
      <c r="B42" s="192">
        <f>($B$34*$B$35*B41)</f>
        <v>147.87033894913955</v>
      </c>
      <c r="C42" s="192">
        <f>($B$34*$B$35*C41)</f>
        <v>88.72220336948372</v>
      </c>
      <c r="D42" s="192">
        <f>($B$34*$B$35*D41)</f>
        <v>73.93516947456978</v>
      </c>
      <c r="E42" s="193">
        <f>($B$34*$B$35*E41)</f>
        <v>29.57406778982791</v>
      </c>
      <c r="G42" t="s">
        <v>271</v>
      </c>
    </row>
    <row r="43" spans="1:7" ht="15.75">
      <c r="A43" s="188" t="s">
        <v>263</v>
      </c>
      <c r="B43" s="192">
        <f>($C$34*$C$35*B41)</f>
        <v>0.47394339406775493</v>
      </c>
      <c r="C43" s="192">
        <f>($C$34*$C$35*C41)</f>
        <v>0.28436603644065295</v>
      </c>
      <c r="D43" s="192">
        <f>($C$34*$C$35*D41)</f>
        <v>0.23697169703387747</v>
      </c>
      <c r="E43" s="193">
        <f>($C$34*$C$35*E41)</f>
        <v>0.09478867881355099</v>
      </c>
      <c r="G43" t="s">
        <v>272</v>
      </c>
    </row>
    <row r="44" spans="1:7" ht="15.75">
      <c r="A44" s="188" t="s">
        <v>265</v>
      </c>
      <c r="B44" s="194">
        <f>600*(3^2)*(12^2)*(2.54^2)/(100^2)</f>
        <v>501.676416</v>
      </c>
      <c r="C44" s="194">
        <f>B44</f>
        <v>501.676416</v>
      </c>
      <c r="D44" s="194">
        <f>B44</f>
        <v>501.676416</v>
      </c>
      <c r="E44" s="195">
        <f>B44</f>
        <v>501.676416</v>
      </c>
      <c r="G44" t="s">
        <v>266</v>
      </c>
    </row>
    <row r="45" spans="1:7" ht="15.75">
      <c r="A45" s="188" t="s">
        <v>264</v>
      </c>
      <c r="B45" s="194">
        <f>1800*(3^2)*(12^2)*(2.54^2)/(100^2)</f>
        <v>1505.029248</v>
      </c>
      <c r="C45" s="194">
        <f>B45</f>
        <v>1505.029248</v>
      </c>
      <c r="D45" s="194">
        <f>B45</f>
        <v>1505.029248</v>
      </c>
      <c r="E45" s="195">
        <f>B45</f>
        <v>1505.029248</v>
      </c>
      <c r="G45" t="s">
        <v>267</v>
      </c>
    </row>
    <row r="46" spans="1:5" ht="12.75">
      <c r="A46" s="196" t="s">
        <v>245</v>
      </c>
      <c r="B46" s="197"/>
      <c r="C46" s="197"/>
      <c r="D46" s="197"/>
      <c r="E46" s="198"/>
    </row>
    <row r="47" spans="1:7" ht="15.75">
      <c r="A47" s="4" t="s">
        <v>228</v>
      </c>
      <c r="B47" s="194">
        <f>B42*B44</f>
        <v>74183.06167670953</v>
      </c>
      <c r="C47" s="194">
        <f>C42*C44</f>
        <v>44509.83700602572</v>
      </c>
      <c r="D47" s="194">
        <f>D42*D44</f>
        <v>37091.53083835477</v>
      </c>
      <c r="E47" s="195">
        <f>E42*E44</f>
        <v>14836.612335341908</v>
      </c>
      <c r="G47" t="s">
        <v>270</v>
      </c>
    </row>
    <row r="48" spans="1:7" ht="12.75">
      <c r="A48" s="4" t="s">
        <v>229</v>
      </c>
      <c r="B48" s="194">
        <f>B47/453.59237</f>
        <v>163.5456559304768</v>
      </c>
      <c r="C48" s="194">
        <f>C47/453.59237</f>
        <v>98.12739355828609</v>
      </c>
      <c r="D48" s="194">
        <f>D47/453.59237</f>
        <v>81.7728279652384</v>
      </c>
      <c r="E48" s="195">
        <f>E47/453.59237</f>
        <v>32.70913118609536</v>
      </c>
      <c r="G48" t="s">
        <v>230</v>
      </c>
    </row>
    <row r="49" spans="1:7" ht="12.75">
      <c r="A49" s="4" t="s">
        <v>231</v>
      </c>
      <c r="B49" s="199">
        <f>B48/2000</f>
        <v>0.08177282796523841</v>
      </c>
      <c r="C49" s="199">
        <f>C48/2000</f>
        <v>0.049063696779143046</v>
      </c>
      <c r="D49" s="199">
        <f>D48/2000</f>
        <v>0.040886413982619205</v>
      </c>
      <c r="E49" s="200">
        <f>E48/2000</f>
        <v>0.016354565593047682</v>
      </c>
      <c r="G49" t="s">
        <v>232</v>
      </c>
    </row>
    <row r="50" spans="1:5" ht="12.75">
      <c r="A50" s="196" t="s">
        <v>246</v>
      </c>
      <c r="B50" s="201"/>
      <c r="C50" s="201"/>
      <c r="D50" s="201"/>
      <c r="E50" s="202"/>
    </row>
    <row r="51" spans="1:7" ht="15.75">
      <c r="A51" s="4" t="s">
        <v>268</v>
      </c>
      <c r="B51" s="194">
        <f>B43*B45</f>
        <v>713.2986699683609</v>
      </c>
      <c r="C51" s="194">
        <f>C43*C45</f>
        <v>427.9792019810165</v>
      </c>
      <c r="D51" s="194">
        <f>D43*D45</f>
        <v>356.6493349841804</v>
      </c>
      <c r="E51" s="195">
        <f>E43*E45</f>
        <v>142.65973399367218</v>
      </c>
      <c r="G51" t="s">
        <v>274</v>
      </c>
    </row>
    <row r="52" spans="1:7" ht="13.5" thickBot="1">
      <c r="A52" s="7" t="s">
        <v>233</v>
      </c>
      <c r="B52" s="203">
        <f>B51/453.59237</f>
        <v>1.5725543839468923</v>
      </c>
      <c r="C52" s="203">
        <f>C51/453.59237</f>
        <v>0.9435326303681354</v>
      </c>
      <c r="D52" s="203">
        <f>D51/453.59237</f>
        <v>0.7862771919734461</v>
      </c>
      <c r="E52" s="204">
        <f>E51/453.59237</f>
        <v>0.31451087678937845</v>
      </c>
      <c r="G52" t="s">
        <v>273</v>
      </c>
    </row>
    <row r="53" spans="1:5" ht="12.75">
      <c r="A53" s="36"/>
      <c r="B53" s="160"/>
      <c r="C53" s="160"/>
      <c r="D53" s="160"/>
      <c r="E53" s="160"/>
    </row>
    <row r="54" spans="1:5" ht="12.75">
      <c r="A54" s="36"/>
      <c r="B54" s="160"/>
      <c r="C54" s="160"/>
      <c r="D54" s="160"/>
      <c r="E54" s="160"/>
    </row>
    <row r="57" ht="12.75">
      <c r="A57" t="s">
        <v>239</v>
      </c>
    </row>
    <row r="58" spans="22:25" ht="13.5" thickBot="1">
      <c r="V58" s="2"/>
      <c r="W58" t="s">
        <v>252</v>
      </c>
      <c r="X58" t="s">
        <v>253</v>
      </c>
      <c r="Y58" s="2" t="s">
        <v>257</v>
      </c>
    </row>
    <row r="59" spans="1:25" ht="12.75">
      <c r="A59" s="3"/>
      <c r="B59" s="126" t="s">
        <v>221</v>
      </c>
      <c r="C59" s="126" t="s">
        <v>222</v>
      </c>
      <c r="D59" s="126" t="s">
        <v>223</v>
      </c>
      <c r="E59" s="127" t="s">
        <v>224</v>
      </c>
      <c r="F59" s="97"/>
      <c r="G59" s="36" t="s">
        <v>213</v>
      </c>
      <c r="H59" s="36"/>
      <c r="U59" s="1" t="s">
        <v>260</v>
      </c>
      <c r="V59" s="2" t="s">
        <v>250</v>
      </c>
      <c r="W59" s="2" t="s">
        <v>248</v>
      </c>
      <c r="X59" s="2" t="s">
        <v>249</v>
      </c>
      <c r="Y59" s="2" t="s">
        <v>256</v>
      </c>
    </row>
    <row r="60" spans="1:26" ht="12.75">
      <c r="A60" s="188" t="s">
        <v>225</v>
      </c>
      <c r="B60" s="190">
        <v>1</v>
      </c>
      <c r="C60" s="190">
        <v>0.6</v>
      </c>
      <c r="D60" s="190">
        <v>0.5</v>
      </c>
      <c r="E60" s="191">
        <v>0.2</v>
      </c>
      <c r="G60" t="s">
        <v>226</v>
      </c>
      <c r="S60" t="s">
        <v>247</v>
      </c>
      <c r="U60">
        <v>50000</v>
      </c>
      <c r="V60" s="2">
        <v>7</v>
      </c>
      <c r="W60" s="156">
        <f>(U60/5*3/3.141593/V60)^0.5</f>
        <v>36.9348761481477</v>
      </c>
      <c r="X60" s="207">
        <f>5*3.141593*W60*(W60^2+V60^2)^0.5</f>
        <v>21810.021474528345</v>
      </c>
      <c r="Y60" s="2">
        <v>3250</v>
      </c>
      <c r="Z60" t="s">
        <v>251</v>
      </c>
    </row>
    <row r="61" spans="1:25" ht="15.75">
      <c r="A61" s="188" t="s">
        <v>227</v>
      </c>
      <c r="B61" s="192">
        <f>($D$34*$D$35*B60)</f>
        <v>147.87033894913955</v>
      </c>
      <c r="C61" s="192">
        <f>($D$34*$D$35*C60)</f>
        <v>88.72220336948372</v>
      </c>
      <c r="D61" s="192">
        <f>($D$34*$D$35*D60)</f>
        <v>73.93516947456978</v>
      </c>
      <c r="E61" s="193">
        <f>($D$34*$D$35*E60)</f>
        <v>29.57406778982791</v>
      </c>
      <c r="G61" t="s">
        <v>271</v>
      </c>
      <c r="S61" t="s">
        <v>259</v>
      </c>
      <c r="U61" s="138">
        <f>100000/312</f>
        <v>320.5128205128205</v>
      </c>
      <c r="V61" s="2">
        <v>7</v>
      </c>
      <c r="W61" s="156">
        <f>(U61*3/3.141593/V61)^0.5</f>
        <v>6.612403545123211</v>
      </c>
      <c r="X61" s="156">
        <f>3.141593*W61*(W61^2+V61^2)^0.5</f>
        <v>200.03457611927846</v>
      </c>
      <c r="Y61" s="2">
        <v>45</v>
      </c>
    </row>
    <row r="62" spans="1:25" ht="15.75">
      <c r="A62" s="188" t="s">
        <v>263</v>
      </c>
      <c r="B62" s="192">
        <f>($E$34*$E$35*B60)</f>
        <v>0.47394339406775493</v>
      </c>
      <c r="C62" s="192">
        <f>($E$34*$E$35*C60)</f>
        <v>0.28436603644065295</v>
      </c>
      <c r="D62" s="192">
        <f>($E$34*$E$35*D60)</f>
        <v>0.23697169703387747</v>
      </c>
      <c r="E62" s="193">
        <f>($E$34*$E$35*E60)</f>
        <v>0.09478867881355099</v>
      </c>
      <c r="G62" t="s">
        <v>272</v>
      </c>
      <c r="S62" t="s">
        <v>258</v>
      </c>
      <c r="U62" s="138">
        <v>1100</v>
      </c>
      <c r="V62" s="2">
        <v>7</v>
      </c>
      <c r="W62" s="156">
        <f>(U62*3/3.141593/V62)^0.5</f>
        <v>12.249912586165303</v>
      </c>
      <c r="X62" s="156">
        <f>3.141593*W62*(W62^2+V62^2)^0.5</f>
        <v>542.969332705986</v>
      </c>
      <c r="Y62" s="2"/>
    </row>
    <row r="63" spans="1:25" ht="15.75">
      <c r="A63" s="188" t="s">
        <v>265</v>
      </c>
      <c r="B63" s="194">
        <f>200*(3^2)*(12^2)*(2.54^2)/(100^2)</f>
        <v>167.225472</v>
      </c>
      <c r="C63" s="194">
        <f>B63</f>
        <v>167.225472</v>
      </c>
      <c r="D63" s="194">
        <f>B63</f>
        <v>167.225472</v>
      </c>
      <c r="E63" s="195">
        <f>B63</f>
        <v>167.225472</v>
      </c>
      <c r="G63" t="s">
        <v>261</v>
      </c>
      <c r="U63" s="138"/>
      <c r="V63" s="2"/>
      <c r="W63" s="156"/>
      <c r="X63" s="156"/>
      <c r="Y63" s="2"/>
    </row>
    <row r="64" spans="1:21" ht="15.75">
      <c r="A64" s="188" t="s">
        <v>264</v>
      </c>
      <c r="B64" s="194">
        <f>543*(3^2)*(12^2)*(2.54^2)/(100^2)</f>
        <v>454.01715648</v>
      </c>
      <c r="C64" s="194">
        <f>B64</f>
        <v>454.01715648</v>
      </c>
      <c r="D64" s="194">
        <f>B64</f>
        <v>454.01715648</v>
      </c>
      <c r="E64" s="195">
        <f>B64</f>
        <v>454.01715648</v>
      </c>
      <c r="G64" t="s">
        <v>269</v>
      </c>
      <c r="S64" t="s">
        <v>255</v>
      </c>
      <c r="U64" t="s">
        <v>254</v>
      </c>
    </row>
    <row r="65" spans="1:5" ht="12.75">
      <c r="A65" s="196" t="s">
        <v>245</v>
      </c>
      <c r="B65" s="197"/>
      <c r="C65" s="197"/>
      <c r="D65" s="197"/>
      <c r="E65" s="198"/>
    </row>
    <row r="66" spans="1:7" ht="15.75">
      <c r="A66" s="4" t="s">
        <v>228</v>
      </c>
      <c r="B66" s="194">
        <f>B61*B63</f>
        <v>24727.687225569844</v>
      </c>
      <c r="C66" s="194">
        <f>C61*C63</f>
        <v>14836.612335341906</v>
      </c>
      <c r="D66" s="194">
        <f>D61*D63</f>
        <v>12363.843612784922</v>
      </c>
      <c r="E66" s="195">
        <f>E61*E63</f>
        <v>4945.537445113969</v>
      </c>
      <c r="G66" t="s">
        <v>270</v>
      </c>
    </row>
    <row r="67" spans="1:7" ht="12.75">
      <c r="A67" s="4" t="s">
        <v>229</v>
      </c>
      <c r="B67" s="194">
        <f>B66/453.59237</f>
        <v>54.51521864349227</v>
      </c>
      <c r="C67" s="194">
        <f>C66/453.59237</f>
        <v>32.70913118609536</v>
      </c>
      <c r="D67" s="194">
        <f>D66/453.59237</f>
        <v>27.257609321746134</v>
      </c>
      <c r="E67" s="195">
        <f>E66/453.59237</f>
        <v>10.903043728698453</v>
      </c>
      <c r="G67" t="s">
        <v>230</v>
      </c>
    </row>
    <row r="68" spans="1:7" ht="12.75">
      <c r="A68" s="4" t="s">
        <v>231</v>
      </c>
      <c r="B68" s="199">
        <f>B67/2000</f>
        <v>0.027257609321746135</v>
      </c>
      <c r="C68" s="199">
        <f>C67/2000</f>
        <v>0.016354565593047682</v>
      </c>
      <c r="D68" s="199">
        <f>D67/2000</f>
        <v>0.013628804660873068</v>
      </c>
      <c r="E68" s="200">
        <f>E67/2000</f>
        <v>0.005451521864349227</v>
      </c>
      <c r="G68" t="s">
        <v>232</v>
      </c>
    </row>
    <row r="69" spans="1:5" ht="12.75">
      <c r="A69" s="196" t="s">
        <v>246</v>
      </c>
      <c r="B69" s="201"/>
      <c r="C69" s="201"/>
      <c r="D69" s="201"/>
      <c r="E69" s="202"/>
    </row>
    <row r="70" spans="1:7" ht="15.75">
      <c r="A70" s="4" t="s">
        <v>268</v>
      </c>
      <c r="B70" s="194">
        <f>B62*B64</f>
        <v>215.17843210712218</v>
      </c>
      <c r="C70" s="194">
        <f>C62*C64</f>
        <v>129.10705926427332</v>
      </c>
      <c r="D70" s="194">
        <f>D62*D64</f>
        <v>107.58921605356109</v>
      </c>
      <c r="E70" s="195">
        <f>E62*E64</f>
        <v>43.03568642142444</v>
      </c>
      <c r="G70" t="s">
        <v>274</v>
      </c>
    </row>
    <row r="71" spans="1:7" ht="13.5" thickBot="1">
      <c r="A71" s="7" t="s">
        <v>233</v>
      </c>
      <c r="B71" s="203">
        <f>B70/453.59237</f>
        <v>0.47438723915731246</v>
      </c>
      <c r="C71" s="203">
        <f>C70/453.59237</f>
        <v>0.2846323434943875</v>
      </c>
      <c r="D71" s="203">
        <f>D70/453.59237</f>
        <v>0.23719361957865623</v>
      </c>
      <c r="E71" s="204">
        <f>E70/453.59237</f>
        <v>0.0948774478314625</v>
      </c>
      <c r="G71" t="s">
        <v>273</v>
      </c>
    </row>
  </sheetData>
  <mergeCells count="2">
    <mergeCell ref="B29:C29"/>
    <mergeCell ref="D29:E29"/>
  </mergeCells>
  <printOptions horizontalCentered="1"/>
  <pageMargins left="0.25" right="0.25" top="0.5" bottom="0.5" header="0.25" footer="0.25"/>
  <pageSetup horizontalDpi="600" verticalDpi="600" orientation="landscape" r:id="rId1"/>
  <rowBreaks count="1" manualBreakCount="1">
    <brk id="3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C23"/>
  <sheetViews>
    <sheetView workbookViewId="0" topLeftCell="A1">
      <selection activeCell="A17" sqref="A17"/>
    </sheetView>
  </sheetViews>
  <sheetFormatPr defaultColWidth="9.140625" defaultRowHeight="12.75"/>
  <cols>
    <col min="1" max="1" width="35.7109375" style="0" customWidth="1"/>
    <col min="2" max="3" width="12.7109375" style="0" customWidth="1"/>
  </cols>
  <sheetData>
    <row r="2" spans="1:3" ht="19.5" customHeight="1" thickBot="1">
      <c r="A2" s="236" t="s">
        <v>291</v>
      </c>
      <c r="B2" s="236"/>
      <c r="C2" s="236"/>
    </row>
    <row r="3" spans="1:3" ht="12.75">
      <c r="A3" s="8"/>
      <c r="B3" s="234" t="s">
        <v>166</v>
      </c>
      <c r="C3" s="235"/>
    </row>
    <row r="4" spans="1:3" ht="13.5" thickBot="1">
      <c r="A4" s="11" t="s">
        <v>281</v>
      </c>
      <c r="B4" s="212" t="s">
        <v>165</v>
      </c>
      <c r="C4" s="213" t="s">
        <v>168</v>
      </c>
    </row>
    <row r="5" spans="1:3" ht="12.75">
      <c r="A5" s="10" t="s">
        <v>276</v>
      </c>
      <c r="B5" s="214">
        <f>off_gravel!$D$63</f>
        <v>375.3367563460945</v>
      </c>
      <c r="C5" s="215">
        <f>off_gravel!$D$73</f>
        <v>58.552533989990735</v>
      </c>
    </row>
    <row r="6" spans="1:3" ht="12.75">
      <c r="A6" s="4" t="s">
        <v>277</v>
      </c>
      <c r="B6" s="109">
        <f>off_dirt!$D$63</f>
        <v>1157.7672518338143</v>
      </c>
      <c r="C6" s="121">
        <f>off_dirt!$D$73</f>
        <v>180.61169128607503</v>
      </c>
    </row>
    <row r="7" spans="1:3" ht="12.75">
      <c r="A7" s="4" t="s">
        <v>278</v>
      </c>
      <c r="B7" s="109">
        <f>on_dirt!$D$63</f>
        <v>106.03577597852704</v>
      </c>
      <c r="C7" s="121">
        <f>on_dirt!$D$73</f>
        <v>16.541581052650216</v>
      </c>
    </row>
    <row r="8" spans="1:3" ht="12.75">
      <c r="A8" s="4" t="s">
        <v>279</v>
      </c>
      <c r="B8" s="109">
        <f>Paved!$D$46</f>
        <v>0</v>
      </c>
      <c r="C8" s="121">
        <f>Paved!$D$50</f>
        <v>0</v>
      </c>
    </row>
    <row r="9" spans="1:3" ht="12.75">
      <c r="A9" s="4" t="s">
        <v>275</v>
      </c>
      <c r="B9" s="109">
        <f>construction!$H$16</f>
        <v>22.92304124849394</v>
      </c>
      <c r="C9" s="121">
        <f>construction!$I$16</f>
        <v>3.591059990698583</v>
      </c>
    </row>
    <row r="10" spans="1:3" ht="13.5" thickBot="1">
      <c r="A10" s="7" t="s">
        <v>287</v>
      </c>
      <c r="B10" s="154">
        <f>erosion!$D$52</f>
        <v>0.7862771919734461</v>
      </c>
      <c r="C10" s="120">
        <f>erosion!$D$49</f>
        <v>0.040886413982619205</v>
      </c>
    </row>
    <row r="11" spans="1:3" ht="13.5" thickBot="1">
      <c r="A11" s="218" t="s">
        <v>280</v>
      </c>
      <c r="B11" s="219">
        <f>SUM(B5:B10)</f>
        <v>1662.849102598903</v>
      </c>
      <c r="C11" s="220">
        <f>SUM(C5:C10)</f>
        <v>259.33775273339717</v>
      </c>
    </row>
    <row r="12" spans="1:3" ht="12.75">
      <c r="A12" s="10" t="s">
        <v>288</v>
      </c>
      <c r="B12" s="216">
        <v>2300</v>
      </c>
      <c r="C12" s="217">
        <f>(800+550)*365</f>
        <v>492750</v>
      </c>
    </row>
    <row r="13" spans="1:3" ht="13.5" thickBot="1">
      <c r="A13" s="7" t="s">
        <v>289</v>
      </c>
      <c r="B13" s="119">
        <f>B11/B12</f>
        <v>0.7229778706951753</v>
      </c>
      <c r="C13" s="120">
        <f>C11*2000/C12</f>
        <v>1.052613912667264</v>
      </c>
    </row>
    <row r="16" spans="1:3" ht="19.5" customHeight="1" thickBot="1">
      <c r="A16" s="236" t="s">
        <v>292</v>
      </c>
      <c r="B16" s="236"/>
      <c r="C16" s="236"/>
    </row>
    <row r="17" spans="1:3" ht="12.75">
      <c r="A17" s="8"/>
      <c r="B17" s="234" t="s">
        <v>166</v>
      </c>
      <c r="C17" s="235"/>
    </row>
    <row r="18" spans="1:3" ht="13.5" thickBot="1">
      <c r="A18" s="11" t="s">
        <v>281</v>
      </c>
      <c r="B18" s="212" t="s">
        <v>165</v>
      </c>
      <c r="C18" s="213" t="s">
        <v>168</v>
      </c>
    </row>
    <row r="19" spans="1:3" ht="12.75">
      <c r="A19" s="10" t="s">
        <v>285</v>
      </c>
      <c r="B19" s="210">
        <f>construction!$H$34</f>
        <v>0.08550147595438326</v>
      </c>
      <c r="C19" s="211">
        <f>construction!$I$34</f>
        <v>0.01138787225684326</v>
      </c>
    </row>
    <row r="20" spans="1:3" ht="13.5" thickBot="1">
      <c r="A20" s="7" t="s">
        <v>286</v>
      </c>
      <c r="B20" s="154">
        <f>erosion!$D$71</f>
        <v>0.23719361957865623</v>
      </c>
      <c r="C20" s="120">
        <f>erosion!$D$68</f>
        <v>0.013628804660873068</v>
      </c>
    </row>
    <row r="21" spans="1:3" ht="13.5" thickBot="1">
      <c r="A21" s="218" t="s">
        <v>282</v>
      </c>
      <c r="B21" s="219">
        <f>SUM(B19:B20)</f>
        <v>0.3226950955330395</v>
      </c>
      <c r="C21" s="220">
        <f>SUM(C19:C20)</f>
        <v>0.025016676917716328</v>
      </c>
    </row>
    <row r="22" spans="1:3" ht="12.75">
      <c r="A22" s="10" t="s">
        <v>290</v>
      </c>
      <c r="B22" s="216">
        <v>1060</v>
      </c>
      <c r="C22" s="217">
        <v>105300</v>
      </c>
    </row>
    <row r="23" spans="1:3" ht="13.5" thickBot="1">
      <c r="A23" s="7" t="s">
        <v>289</v>
      </c>
      <c r="B23" s="205">
        <f>B21/B22</f>
        <v>0.0003044293354085278</v>
      </c>
      <c r="C23" s="206">
        <f>C21*2000/C22</f>
        <v>0.00047515055874105085</v>
      </c>
    </row>
  </sheetData>
  <mergeCells count="4">
    <mergeCell ref="B3:C3"/>
    <mergeCell ref="B17:C17"/>
    <mergeCell ref="A2:C2"/>
    <mergeCell ref="A16:C16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baaqmd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Stirling Allen</dc:creator>
  <cp:keywords/>
  <dc:description/>
  <cp:lastModifiedBy>May Leung</cp:lastModifiedBy>
  <cp:lastPrinted>2002-08-28T15:39:01Z</cp:lastPrinted>
  <dcterms:created xsi:type="dcterms:W3CDTF">1999-11-23T17:09:02Z</dcterms:created>
  <dcterms:modified xsi:type="dcterms:W3CDTF">2003-09-24T20:59:56Z</dcterms:modified>
  <cp:category/>
  <cp:version/>
  <cp:contentType/>
  <cp:contentStatus/>
</cp:coreProperties>
</file>