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06" windowWidth="14430" windowHeight="8295" activeTab="0"/>
  </bookViews>
  <sheets>
    <sheet name="Salinity" sheetId="1" r:id="rId1"/>
    <sheet name="Data" sheetId="2" r:id="rId2"/>
    <sheet name="Sheet2" sheetId="3" r:id="rId3"/>
    <sheet name="cost est." sheetId="4" r:id="rId4"/>
  </sheets>
  <definedNames>
    <definedName name="_xlnm.Print_Area" localSheetId="3">'cost est.'!$A$1:$I$56</definedName>
    <definedName name="_xlnm.Print_Area" localSheetId="0">'Salinity'!$A$1:$L$47</definedName>
  </definedNames>
  <calcPr fullCalcOnLoad="1"/>
</workbook>
</file>

<file path=xl/comments1.xml><?xml version="1.0" encoding="utf-8"?>
<comments xmlns="http://schemas.openxmlformats.org/spreadsheetml/2006/main">
  <authors>
    <author>donna.rasmussen</author>
  </authors>
  <commentList>
    <comment ref="A8" authorId="0">
      <text>
        <r>
          <rPr>
            <b/>
            <sz val="8"/>
            <rFont val="Tahoma"/>
            <family val="2"/>
          </rPr>
          <t>Select up to 4 and enter percent in rotation .
NOTE:  MUST EQUAL 100%</t>
        </r>
      </text>
    </comment>
    <comment ref="A21" authorId="0">
      <text>
        <r>
          <rPr>
            <b/>
            <sz val="8"/>
            <rFont val="Tahoma"/>
            <family val="2"/>
          </rPr>
          <t xml:space="preserve">UF </t>
        </r>
        <r>
          <rPr>
            <sz val="8"/>
            <rFont val="Tahoma"/>
            <family val="0"/>
          </rPr>
          <t xml:space="preserve">- Unimproved flood - earthen ditches, dirt or sod turnouts, poor or no field corrugations, undulating topography, uneven irrigation flows, poor water control.  Typically about a 20-25% application efficiency.
</t>
        </r>
        <r>
          <rPr>
            <b/>
            <sz val="8"/>
            <rFont val="Tahoma"/>
            <family val="2"/>
          </rPr>
          <t>IF</t>
        </r>
        <r>
          <rPr>
            <sz val="8"/>
            <rFont val="Tahoma"/>
            <family val="0"/>
          </rPr>
          <t xml:space="preserve"> - Improved flood - earthen ditch to siphon tube, flexible temporary distribution pipe, marginal field corrugations, cross slopes and irrigation slopes are variable, some water control.  Typically about a 30-35% application efficiency.
</t>
        </r>
        <r>
          <rPr>
            <b/>
            <sz val="8"/>
            <rFont val="Tahoma"/>
            <family val="2"/>
          </rPr>
          <t>IF+</t>
        </r>
        <r>
          <rPr>
            <sz val="8"/>
            <rFont val="Tahoma"/>
            <family val="0"/>
          </rPr>
          <t xml:space="preserve"> -  Improved Flood system with limited irrigation water management - gated pipe w/pipeline, concrete ditch w/ports or siphon tubes, with little or no change in IWM expected. Typically about 40-45% application efficiency.
</t>
        </r>
        <r>
          <rPr>
            <b/>
            <sz val="8"/>
            <rFont val="Tahoma"/>
            <family val="2"/>
          </rPr>
          <t>IFM</t>
        </r>
        <r>
          <rPr>
            <sz val="8"/>
            <rFont val="Tahoma"/>
            <family val="0"/>
          </rPr>
          <t xml:space="preserve"> - Improved flood system with irrigation water management being practiced - pipeline to gated pipe, concrete ditch w/ports or siphon tubes, etc., with IWM practice being applied per acceptable standard. Typically about 50-55% application efficiency.
</t>
        </r>
        <r>
          <rPr>
            <b/>
            <sz val="8"/>
            <rFont val="Tahoma"/>
            <family val="2"/>
          </rPr>
          <t>SR</t>
        </r>
        <r>
          <rPr>
            <sz val="8"/>
            <rFont val="Tahoma"/>
            <family val="0"/>
          </rPr>
          <t xml:space="preserve"> - Siderolll sprinklers, hand line solid set sprinklers, gated pipe with surge valve, etc., and IWM being applied.  Typically about 60-65% application efficiency.
</t>
        </r>
        <r>
          <rPr>
            <b/>
            <sz val="8"/>
            <rFont val="Tahoma"/>
            <family val="2"/>
          </rPr>
          <t>CP</t>
        </r>
        <r>
          <rPr>
            <sz val="8"/>
            <rFont val="Tahoma"/>
            <family val="0"/>
          </rPr>
          <t xml:space="preserve"> - Center Pivot with standard nozzles and with IWM being applied.  Typically about 70-75% efficiency.
</t>
        </r>
        <r>
          <rPr>
            <b/>
            <sz val="8"/>
            <rFont val="Tahoma"/>
            <family val="2"/>
          </rPr>
          <t>MS</t>
        </r>
        <r>
          <rPr>
            <sz val="8"/>
            <rFont val="Tahoma"/>
            <family val="0"/>
          </rPr>
          <t xml:space="preserve"> - Micro Spray, Subsurface Drip, Center pivot with high efficiency and lowered nozzles (MESA, LEPA, etc.), with IWM being applied.  Typically over 80-85% application efficiency.</t>
        </r>
      </text>
    </comment>
    <comment ref="B21" authorId="0">
      <text>
        <r>
          <rPr>
            <b/>
            <sz val="8"/>
            <rFont val="Tahoma"/>
            <family val="2"/>
          </rPr>
          <t>UF</t>
        </r>
        <r>
          <rPr>
            <sz val="8"/>
            <rFont val="Tahoma"/>
            <family val="0"/>
          </rPr>
          <t xml:space="preserve"> - Unimproved flood - earthen ditches, dirt or sod turnouts, poor or no field corrugations, undulating topography, uneven irrigation flows, poor water control.  Typically about a 20-25% application efficiency.
</t>
        </r>
        <r>
          <rPr>
            <b/>
            <sz val="8"/>
            <rFont val="Tahoma"/>
            <family val="2"/>
          </rPr>
          <t>IF</t>
        </r>
        <r>
          <rPr>
            <sz val="8"/>
            <rFont val="Tahoma"/>
            <family val="0"/>
          </rPr>
          <t xml:space="preserve"> - Improved flood - earthen ditch to siphon tube, flexible temporary distribution pipe, marginal field corrugations, cross slopes and irrigation slopes are variable, some water control.  Typically about a 30-35% application efficiency.
</t>
        </r>
        <r>
          <rPr>
            <b/>
            <sz val="8"/>
            <rFont val="Tahoma"/>
            <family val="2"/>
          </rPr>
          <t>IF+</t>
        </r>
        <r>
          <rPr>
            <sz val="8"/>
            <rFont val="Tahoma"/>
            <family val="0"/>
          </rPr>
          <t xml:space="preserve"> -  Improved Flood system with limited irrigation water management - gated pipe w/pipeline, concrete ditch w/ports or siphon tubes, with little or no change in IWM expected. Typically about 40-45% application efficiency.
</t>
        </r>
        <r>
          <rPr>
            <b/>
            <sz val="8"/>
            <rFont val="Tahoma"/>
            <family val="2"/>
          </rPr>
          <t>IFM</t>
        </r>
        <r>
          <rPr>
            <sz val="8"/>
            <rFont val="Tahoma"/>
            <family val="0"/>
          </rPr>
          <t xml:space="preserve"> - Improved flood system with irrigation water management being practiced - pipeline to gated pipe, concrete ditch w/ports or siphon tubes, etc., with IWM practice being applied per acceptable standard. Typically about 50-55% application efficiency.
</t>
        </r>
        <r>
          <rPr>
            <b/>
            <sz val="8"/>
            <rFont val="Tahoma"/>
            <family val="2"/>
          </rPr>
          <t>SR</t>
        </r>
        <r>
          <rPr>
            <sz val="8"/>
            <rFont val="Tahoma"/>
            <family val="0"/>
          </rPr>
          <t xml:space="preserve"> - Siderolll sprinklers, hand line solid set sprinklers, gated pipe with surge valve, etc., and IWM being applied.  Typically about 60-65% application efficiency.
</t>
        </r>
        <r>
          <rPr>
            <b/>
            <sz val="8"/>
            <rFont val="Tahoma"/>
            <family val="2"/>
          </rPr>
          <t xml:space="preserve">CP </t>
        </r>
        <r>
          <rPr>
            <sz val="8"/>
            <rFont val="Tahoma"/>
            <family val="0"/>
          </rPr>
          <t xml:space="preserve">- Center Pivot with standard nozzles and with IWM being applied.  Typically about 70-75% efficiency.
</t>
        </r>
        <r>
          <rPr>
            <b/>
            <sz val="8"/>
            <rFont val="Tahoma"/>
            <family val="2"/>
          </rPr>
          <t xml:space="preserve">MS </t>
        </r>
        <r>
          <rPr>
            <sz val="8"/>
            <rFont val="Tahoma"/>
            <family val="0"/>
          </rPr>
          <t>- Micro Spray, Subsurface Drip, Center pivot with high efficiency and lowered nozzles (MESA, LEPA, etc.), with IWM being applied.  Typically over 80-85% application efficiency.</t>
        </r>
      </text>
    </comment>
    <comment ref="H5" authorId="0">
      <text>
        <r>
          <rPr>
            <b/>
            <sz val="8"/>
            <rFont val="Tahoma"/>
            <family val="2"/>
          </rPr>
          <t>Insert Current Fiscal Year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<sst xmlns="http://schemas.openxmlformats.org/spreadsheetml/2006/main" count="928" uniqueCount="321">
  <si>
    <t>Client:</t>
  </si>
  <si>
    <t>Date:</t>
  </si>
  <si>
    <t>Service Area:</t>
  </si>
  <si>
    <t>Planner:</t>
  </si>
  <si>
    <t>Salinity Project Area</t>
  </si>
  <si>
    <t>McElmo</t>
  </si>
  <si>
    <t>Grand Valley</t>
  </si>
  <si>
    <t>Lower Gunnison</t>
  </si>
  <si>
    <t>Mancos</t>
  </si>
  <si>
    <t>Crops</t>
  </si>
  <si>
    <t>% In Rotation</t>
  </si>
  <si>
    <t>alfalfa</t>
  </si>
  <si>
    <t>pasture grass</t>
  </si>
  <si>
    <t>corn, silage</t>
  </si>
  <si>
    <t>grain, spring</t>
  </si>
  <si>
    <t>wheat, winter</t>
  </si>
  <si>
    <t>beans, dry</t>
  </si>
  <si>
    <t>corn, grain</t>
  </si>
  <si>
    <t>vegetable</t>
  </si>
  <si>
    <t>sugar beets</t>
  </si>
  <si>
    <t>orchards w/cover</t>
  </si>
  <si>
    <t>orchards wo/cover</t>
  </si>
  <si>
    <t>System Before</t>
  </si>
  <si>
    <t>System After</t>
  </si>
  <si>
    <t>Acres</t>
  </si>
  <si>
    <t>IF</t>
  </si>
  <si>
    <t>IFM</t>
  </si>
  <si>
    <t>Alfalfa</t>
  </si>
  <si>
    <t>Corn, Silage</t>
  </si>
  <si>
    <t>Grain, Spring</t>
  </si>
  <si>
    <t>Wheat, Winter</t>
  </si>
  <si>
    <t>SR</t>
  </si>
  <si>
    <t>grass,pasture</t>
  </si>
  <si>
    <t>grass, pasture</t>
  </si>
  <si>
    <t>Pasture</t>
  </si>
  <si>
    <t xml:space="preserve">Pasture </t>
  </si>
  <si>
    <t>alfalfa zone 1</t>
  </si>
  <si>
    <t>alfalfa zone 2</t>
  </si>
  <si>
    <t>corn, silage/grain</t>
  </si>
  <si>
    <t>orchard w/ cover 1</t>
  </si>
  <si>
    <t>orchard wo/cover 2</t>
  </si>
  <si>
    <t>Weighted Average</t>
  </si>
  <si>
    <t>ET</t>
  </si>
  <si>
    <t>UF</t>
  </si>
  <si>
    <t>IF+</t>
  </si>
  <si>
    <t>CP</t>
  </si>
  <si>
    <t>MS</t>
  </si>
  <si>
    <t>Adjustment for Water Shortage</t>
  </si>
  <si>
    <t>Irrigation Requirement</t>
  </si>
  <si>
    <t>Adjusted Irrigation Requirement</t>
  </si>
  <si>
    <t>Effective Precip.</t>
  </si>
  <si>
    <t>Ditch Seepage, Ref. Earl Hess, Water Conservation Worksheet</t>
  </si>
  <si>
    <t>Irrig. Conveyance</t>
  </si>
  <si>
    <t>Length</t>
  </si>
  <si>
    <t>*Wetted Surface</t>
  </si>
  <si>
    <t>Days per year</t>
  </si>
  <si>
    <t>Select Appropriate Soil Type</t>
  </si>
  <si>
    <t>Seepage</t>
  </si>
  <si>
    <t>Salt Load</t>
  </si>
  <si>
    <t>Salt Savings</t>
  </si>
  <si>
    <t>Reach</t>
  </si>
  <si>
    <t>Q</t>
  </si>
  <si>
    <t>(ft.)</t>
  </si>
  <si>
    <t>(sq. ft/ln ft)</t>
  </si>
  <si>
    <t>(days)</t>
  </si>
  <si>
    <t>Ac-in.</t>
  </si>
  <si>
    <t>ton/ ac ft</t>
  </si>
  <si>
    <t>tons/year</t>
  </si>
  <si>
    <t>Reach 1, Before</t>
  </si>
  <si>
    <t>Reach 1, After</t>
  </si>
  <si>
    <t>Reach 2, Before</t>
  </si>
  <si>
    <t>Reach 2, After</t>
  </si>
  <si>
    <t>Reach 3, Before</t>
  </si>
  <si>
    <t>Reach 3, After</t>
  </si>
  <si>
    <t>* See Instructions for estimates if not known</t>
  </si>
  <si>
    <t xml:space="preserve"> Total Ditch Salt Saved, Tons/year</t>
  </si>
  <si>
    <t>TOTAL SALT SAVED</t>
  </si>
  <si>
    <t>Cost</t>
  </si>
  <si>
    <t>USDA  Cost share (FA)</t>
  </si>
  <si>
    <t>Total Project Cost ÷ Total Tons Salt Saved</t>
  </si>
  <si>
    <t>amortized cost per ton of salt</t>
  </si>
  <si>
    <t>Conversion Factor</t>
  </si>
  <si>
    <t>Conversion Factor (2000)  ÷ amortized cost per ton of salt = points</t>
  </si>
  <si>
    <t>POINTS</t>
  </si>
  <si>
    <t>TA Cost (FA*.67)+FA</t>
  </si>
  <si>
    <t>Total Cost (FA+TA)</t>
  </si>
  <si>
    <t xml:space="preserve">Tons         Salt </t>
  </si>
  <si>
    <t>before</t>
  </si>
  <si>
    <t>after</t>
  </si>
  <si>
    <t>FACTOR\</t>
  </si>
  <si>
    <t>before code</t>
  </si>
  <si>
    <t>after code</t>
  </si>
  <si>
    <t>code sum</t>
  </si>
  <si>
    <t>before/after from "Salinity" sheet</t>
  </si>
  <si>
    <t>ERROR</t>
  </si>
  <si>
    <t>Factor</t>
  </si>
  <si>
    <t>Generalized Soil Seepage Rate (ft3/ft2/day)</t>
  </si>
  <si>
    <t xml:space="preserve">   Soil Texture</t>
  </si>
  <si>
    <t>sandy loam, loamy sand</t>
  </si>
  <si>
    <t>loam, silty loam</t>
  </si>
  <si>
    <t>sandy clay loam, clay loam</t>
  </si>
  <si>
    <t>silty clay or silty clay loam</t>
  </si>
  <si>
    <t>Sandy clay</t>
  </si>
  <si>
    <t>Clay</t>
  </si>
  <si>
    <t>Concrete lining = 15% of earth ditch rate</t>
  </si>
  <si>
    <t>System Totals</t>
  </si>
  <si>
    <t>(cfs)</t>
  </si>
  <si>
    <t>Concrete Ditch Linig</t>
  </si>
  <si>
    <t>check if applies</t>
  </si>
  <si>
    <t>Irrigation System Changes</t>
  </si>
  <si>
    <t>Crop Data</t>
  </si>
  <si>
    <t>System Changes Computations</t>
  </si>
  <si>
    <t>Salt Loading Factors</t>
  </si>
  <si>
    <t>Salinity Area, Crops, and Corresponding ET Rates</t>
  </si>
  <si>
    <t>Seepage Rate</t>
  </si>
  <si>
    <t>Item No.</t>
  </si>
  <si>
    <t>System</t>
  </si>
  <si>
    <t>Before code</t>
  </si>
  <si>
    <t>After code</t>
  </si>
  <si>
    <t>Adjustment for Restricted Irrigation Season Due to Delivery or Water Short Areas</t>
  </si>
  <si>
    <t>(25yr @5.625)/ salt saved</t>
  </si>
  <si>
    <t>Delivery
Efficiency</t>
  </si>
  <si>
    <t>Salt
Savings
T/Acre</t>
  </si>
  <si>
    <t>Irrigation
Requirement
In.</t>
  </si>
  <si>
    <t>Delivery
Requirement
In.</t>
  </si>
  <si>
    <t>Excess
Delivery
In.</t>
  </si>
  <si>
    <t>Evap &amp;
Runoff
In.</t>
  </si>
  <si>
    <t>Deep
Perc
In.</t>
  </si>
  <si>
    <t>Phry.
Use
In.</t>
  </si>
  <si>
    <t>Return to
River
In.</t>
  </si>
  <si>
    <t>Return to
River
Ft.</t>
  </si>
  <si>
    <t>Salt
Factor
T/AcFt</t>
  </si>
  <si>
    <t>Salt Load
Tons/
Acre</t>
  </si>
  <si>
    <t>1a</t>
  </si>
  <si>
    <t>1b</t>
  </si>
  <si>
    <t>2a</t>
  </si>
  <si>
    <t>2b</t>
  </si>
  <si>
    <t>3a</t>
  </si>
  <si>
    <t>3b</t>
  </si>
  <si>
    <t>4a</t>
  </si>
  <si>
    <t>4b</t>
  </si>
  <si>
    <t>System Efficiency</t>
  </si>
  <si>
    <t>System
Status</t>
  </si>
  <si>
    <t>Deep
Perc
Red, In.</t>
  </si>
  <si>
    <t>Salinity
Area</t>
  </si>
  <si>
    <t>Salt
Loading
Factor</t>
  </si>
  <si>
    <t>Adjustment
Water
Shortage</t>
  </si>
  <si>
    <t>Effective
Precip</t>
  </si>
  <si>
    <t>Alfalfa zone 1</t>
  </si>
  <si>
    <t>Alfalfa zone 2</t>
  </si>
  <si>
    <t>Beans, dry</t>
  </si>
  <si>
    <t>Corn, grain</t>
  </si>
  <si>
    <t>Orchard w/cover 1</t>
  </si>
  <si>
    <t>Orchard wo/cover 2</t>
  </si>
  <si>
    <t>Pasture/Grass</t>
  </si>
  <si>
    <t>Sugar beets</t>
  </si>
  <si>
    <t>Vegetable</t>
  </si>
  <si>
    <t>Calculated CU for Season, In.</t>
  </si>
  <si>
    <t>Crops Grown by Area</t>
  </si>
  <si>
    <t>Deep Percolation Reduction, In.</t>
  </si>
  <si>
    <t xml:space="preserve">           WATER AND SALT  WORKSHEET</t>
  </si>
  <si>
    <t>Pipeline</t>
  </si>
  <si>
    <t>Delivery Ditch Losses - Upstream from the Field Boundary</t>
  </si>
  <si>
    <t>Delivery Factor</t>
  </si>
  <si>
    <t>Salt Loading Value</t>
  </si>
  <si>
    <t>Salt load Value</t>
  </si>
  <si>
    <t>Fiscal Yr.</t>
  </si>
  <si>
    <t>FY</t>
  </si>
  <si>
    <t>Amor. Factor</t>
  </si>
  <si>
    <t>COST ESTIMATE</t>
  </si>
  <si>
    <t>Component</t>
  </si>
  <si>
    <t>Unit Type</t>
  </si>
  <si>
    <t>Unit Cost</t>
  </si>
  <si>
    <t>Cost Type</t>
  </si>
  <si>
    <t>Share Rate</t>
  </si>
  <si>
    <t>Anaerobic Digestor System</t>
  </si>
  <si>
    <t>Ea</t>
  </si>
  <si>
    <t>AM</t>
  </si>
  <si>
    <t>Brush Mgt Root Plow/Roller Chop</t>
  </si>
  <si>
    <t>Ac</t>
  </si>
  <si>
    <t>Brush Mgt, Chaining</t>
  </si>
  <si>
    <t>AC</t>
  </si>
  <si>
    <t>LANDOWNER:</t>
  </si>
  <si>
    <t xml:space="preserve">Alt.# </t>
  </si>
  <si>
    <t>Brush Mgt, Chemical Treatment</t>
  </si>
  <si>
    <t>Brush Mgt, Dixie Harrow</t>
  </si>
  <si>
    <t>ALTERNATIVE:</t>
  </si>
  <si>
    <t>Field#</t>
  </si>
  <si>
    <t>Brush Mgt, Dozing</t>
  </si>
  <si>
    <t>Brush Mgt, Hydroaxe</t>
  </si>
  <si>
    <t xml:space="preserve"> </t>
  </si>
  <si>
    <t>TOTAL</t>
  </si>
  <si>
    <t>%</t>
  </si>
  <si>
    <t>PROPOSED</t>
  </si>
  <si>
    <t>Brush Mgt, Invasive Species, Mechanical Treatment</t>
  </si>
  <si>
    <t>COMPONENT</t>
  </si>
  <si>
    <t>UNIT</t>
  </si>
  <si>
    <t>AMT.</t>
  </si>
  <si>
    <t>COST</t>
  </si>
  <si>
    <t>PARTICIPANT</t>
  </si>
  <si>
    <t>Brush Mgt, Rotary Mower</t>
  </si>
  <si>
    <t>SHARE</t>
  </si>
  <si>
    <t>Comp. Nutrient Mgmt. Plan, Incentive EQIP ONLY</t>
  </si>
  <si>
    <t>FR</t>
  </si>
  <si>
    <t>Select a Componet</t>
  </si>
  <si>
    <t>Concrete Formed &amp; Non-Reinforced</t>
  </si>
  <si>
    <t>CY</t>
  </si>
  <si>
    <t>Concrete, Formed &amp; Reinforced</t>
  </si>
  <si>
    <t>Conservation Crop Rotation, EQIP - GSWC ONLY</t>
  </si>
  <si>
    <t>Contour Farming, Cross Slope Planting, EQIP ONLY</t>
  </si>
  <si>
    <t>Crop, Cover or Green Manure, EQIP ONLY</t>
  </si>
  <si>
    <t>Cross Wind Ridges, EQIP ONLY</t>
  </si>
  <si>
    <t>Cross Wind Trap Strips, EQIP ONLY</t>
  </si>
  <si>
    <t>Earth Borrow, Offsite</t>
  </si>
  <si>
    <t>Earthwork,  Adverse Conditions</t>
  </si>
  <si>
    <t>Earthwork, Earth Moved</t>
  </si>
  <si>
    <t>Earthwork, Land Leveling</t>
  </si>
  <si>
    <t>Earthwork, Pothole Blasting (per charge)</t>
  </si>
  <si>
    <t>Fencing, Barbed Wire</t>
  </si>
  <si>
    <t>Ft</t>
  </si>
  <si>
    <t>Fencing, High Tension</t>
  </si>
  <si>
    <t>Fencing, Permanent Electric</t>
  </si>
  <si>
    <t>Fencing, Smooth Wire</t>
  </si>
  <si>
    <t>Fencing, Witness Post for Conservation Easement</t>
  </si>
  <si>
    <t>Fencing, Woven Wire</t>
  </si>
  <si>
    <t>Gate, Head</t>
  </si>
  <si>
    <t>DiaIn</t>
  </si>
  <si>
    <t>Gate, Slide</t>
  </si>
  <si>
    <t>Hydrant, Frost Free</t>
  </si>
  <si>
    <t>Irrigation System, Micro, Orchards and Vineyards</t>
  </si>
  <si>
    <t>Irrigation System, Sprinkler, Big Gun</t>
  </si>
  <si>
    <t>Irrigation System, Sprinkler, Big Gun Cart</t>
  </si>
  <si>
    <t>Irrigation System, Sprinkler, Big Gun Hose</t>
  </si>
  <si>
    <t>Irrigation System, Sprinkler, Center Pivot</t>
  </si>
  <si>
    <t>Irrigation System, Sprinkler, Hand Set</t>
  </si>
  <si>
    <t>Irrigation System, Sprinkler, Sideroll</t>
  </si>
  <si>
    <t>Irrigation Water Management, EQIP ONLY</t>
  </si>
  <si>
    <t>Lining, Bentonite</t>
  </si>
  <si>
    <t>Ton</t>
  </si>
  <si>
    <t>Lining, Compacted Soil, Offsite Borrow</t>
  </si>
  <si>
    <t>Lining, Compacted Soil, Onsite Borrow</t>
  </si>
  <si>
    <t>Lining, Flexible Membrane</t>
  </si>
  <si>
    <t>SF</t>
  </si>
  <si>
    <t>Lumber, Redwood</t>
  </si>
  <si>
    <t>BdFt</t>
  </si>
  <si>
    <t>Metal, Structural, Mild Steel Fabrication</t>
  </si>
  <si>
    <t>Nutrient Management, EQIP ONLY</t>
  </si>
  <si>
    <t>Pest Management, EQIP ONLY</t>
  </si>
  <si>
    <t>Pipe, Concrete</t>
  </si>
  <si>
    <t>Di/Ft</t>
  </si>
  <si>
    <t>Pipe, Erosion Control Socks</t>
  </si>
  <si>
    <t>Pipe, PE Corrugated &lt;=12in</t>
  </si>
  <si>
    <t>Pipe, PE Corrugated &gt;=15in</t>
  </si>
  <si>
    <t>Pipe, Plastic Irr. &gt;=80psi, &lt;=12in</t>
  </si>
  <si>
    <t>Pipe, Plastic Irr. &gt;=80psi, &gt;=15in</t>
  </si>
  <si>
    <t>Pipe, Polyethylene, PE3408, &lt;=250 psi</t>
  </si>
  <si>
    <t>DI-LF</t>
  </si>
  <si>
    <t>TOTALS</t>
  </si>
  <si>
    <t>Pipe, PVC, Stockwater &gt;160psi</t>
  </si>
  <si>
    <t>Pipe, Rigid Gated</t>
  </si>
  <si>
    <t>Pipe, Rigid, Nongated</t>
  </si>
  <si>
    <t>Pipe, Road Crossing, Gravel-Trenching</t>
  </si>
  <si>
    <t>Pipe, Road Crossing, Jack or Bore</t>
  </si>
  <si>
    <t>Pipe, Road Crossing, Surfaced-Trenching</t>
  </si>
  <si>
    <t>Pipe, Welded Steel &lt;=10in</t>
  </si>
  <si>
    <t>Planting, Pole &amp; Stake, Hand Planting</t>
  </si>
  <si>
    <t>Planting, Seed &amp; Seeding, Critical Area</t>
  </si>
  <si>
    <t>Planting, Seed &amp; Seeding, Interseeding</t>
  </si>
  <si>
    <t>Planting, Seed &amp; Seeding, Irrigated</t>
  </si>
  <si>
    <t>Planting, Seed &amp; Seeding, Nonirrigated</t>
  </si>
  <si>
    <t>Planting, Seed &amp; Seeding, Rangeland</t>
  </si>
  <si>
    <t>Planting, Tree Guards</t>
  </si>
  <si>
    <t>Planting, Trees and Shrubs</t>
  </si>
  <si>
    <t>Planting, Trees and Shrubs, Plastic Rabbit Guards</t>
  </si>
  <si>
    <t>Planting, Trees and Shrubs, with Weed Barrier</t>
  </si>
  <si>
    <t>LF</t>
  </si>
  <si>
    <t>Planting, Trees and Shrubs, without Weed Barrier</t>
  </si>
  <si>
    <t>Polyacrylamide Erosion Control, EQIP ONLY</t>
  </si>
  <si>
    <t>Prescribed Grazing, EQIP ONLY</t>
  </si>
  <si>
    <t>Pumping Plant, Irrigation</t>
  </si>
  <si>
    <t>HP</t>
  </si>
  <si>
    <t>Residue Management, EQIP ONLY</t>
  </si>
  <si>
    <t>Residue Management, EQIP ONLY (Pheasant)</t>
  </si>
  <si>
    <t>Rock Instream Structures (Barbs, J Hooks)</t>
  </si>
  <si>
    <t>Rock, Gravel Filter Material</t>
  </si>
  <si>
    <t>Rock, Rip-Rap</t>
  </si>
  <si>
    <t>Rock, Rock Drops, Loose</t>
  </si>
  <si>
    <t>Screens, Stainless Steel Vibrating</t>
  </si>
  <si>
    <t>Spring Development</t>
  </si>
  <si>
    <t>Stripcropping, EQIP ONLY</t>
  </si>
  <si>
    <t>Tech. Assist. Reimbursement, Application</t>
  </si>
  <si>
    <t>No</t>
  </si>
  <si>
    <t>Tech. Assist. Reimbursement, Design</t>
  </si>
  <si>
    <t>Tech. Assist. Reimbursement, Installation</t>
  </si>
  <si>
    <t>Tech. Assist. Reimbursement, Planning, WRP &amp; CRP</t>
  </si>
  <si>
    <t>Valve, Alfalfa, w/Riser, High</t>
  </si>
  <si>
    <t>Valve, Alfalfa, w/Riser, Low</t>
  </si>
  <si>
    <t>Valve, Butterfly, Above Ground</t>
  </si>
  <si>
    <t>Valve, Butterfly, Tee</t>
  </si>
  <si>
    <t>Valve, Hydrant, High Pressure</t>
  </si>
  <si>
    <t>Valve, Hydrant, Low Pressure</t>
  </si>
  <si>
    <t>Valve, Inline, High Pressure, &lt;=8in</t>
  </si>
  <si>
    <t>Valve, Inline, High Pressure, &gt;8in</t>
  </si>
  <si>
    <t>Valve, Inline, Low Pressure</t>
  </si>
  <si>
    <t>Valve, Pressure Relief</t>
  </si>
  <si>
    <t>Valve, Surge</t>
  </si>
  <si>
    <t>Valve, Surge Controller</t>
  </si>
  <si>
    <t>Water Measurement, Flow Meter Inline - 10 inch</t>
  </si>
  <si>
    <t>Water Measurement, Flow Meter Inline - 12 inch</t>
  </si>
  <si>
    <t>Water Measurement, Flow Meter Inline - 3 inch</t>
  </si>
  <si>
    <t>Water Measurement, Flow Meter Inline - 4 inch</t>
  </si>
  <si>
    <t>Water Measurement, Flow Meter Inline - 6 inch</t>
  </si>
  <si>
    <t>Water Measurement, Flow Meter Inline - 8 inch</t>
  </si>
  <si>
    <t>Water Measurement, Flow Meter Inline,  &gt;12inch</t>
  </si>
  <si>
    <t>Water Measurement, Weir, Concrete, Broad Crested</t>
  </si>
  <si>
    <t>Water Well, Drilling, Casing, Gravel, Grouting</t>
  </si>
  <si>
    <t>Watering Facility, Trough, Frost Free Drinking</t>
  </si>
  <si>
    <t>Watering Facility, Trough, Steel Rim, Steel Bottom</t>
  </si>
  <si>
    <t>Wildlife Habitat Management, EQIP ONLY</t>
  </si>
  <si>
    <t>Wildlife Habitat Management, EQIP ONLY (Cranes)</t>
  </si>
  <si>
    <t xml:space="preserve">            FY 2005 EQIP COLORADO RIVER SALINITY RANKING CRITERIA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</si>
</sst>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yy;@"/>
    <numFmt numFmtId="167" formatCode="m/d/yy;@"/>
    <numFmt numFmtId="168" formatCode="0.000"/>
    <numFmt numFmtId="169" formatCode="0.0%"/>
    <numFmt numFmtId="170" formatCode="0.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sz val="30"/>
      <color indexed="8"/>
      <name val="Arial"/>
      <family val="2"/>
    </font>
    <font>
      <b/>
      <sz val="30"/>
      <name val="Arial"/>
      <family val="2"/>
    </font>
    <font>
      <sz val="8"/>
      <color indexed="8"/>
      <name val="Courier"/>
      <family val="3"/>
    </font>
    <font>
      <sz val="6"/>
      <color indexed="8"/>
      <name val="Courier"/>
      <family val="3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1" fillId="0" borderId="7" xfId="0" applyFont="1" applyBorder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5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3" borderId="9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2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0" fontId="3" fillId="5" borderId="23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6" fontId="0" fillId="2" borderId="26" xfId="0" applyNumberFormat="1" applyFill="1" applyBorder="1" applyAlignment="1">
      <alignment horizontal="right"/>
    </xf>
    <xf numFmtId="6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/>
    </xf>
    <xf numFmtId="8" fontId="0" fillId="2" borderId="26" xfId="0" applyNumberFormat="1" applyFill="1" applyBorder="1" applyAlignment="1">
      <alignment/>
    </xf>
    <xf numFmtId="2" fontId="2" fillId="2" borderId="27" xfId="0" applyNumberFormat="1" applyFont="1" applyFill="1" applyBorder="1" applyAlignment="1">
      <alignment horizontal="center"/>
    </xf>
    <xf numFmtId="6" fontId="0" fillId="2" borderId="21" xfId="0" applyNumberForma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5" borderId="23" xfId="0" applyFill="1" applyBorder="1" applyAlignment="1">
      <alignment wrapText="1"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 wrapText="1"/>
    </xf>
    <xf numFmtId="0" fontId="2" fillId="5" borderId="2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6" borderId="0" xfId="0" applyFill="1" applyAlignment="1">
      <alignment/>
    </xf>
    <xf numFmtId="168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1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164" fontId="0" fillId="6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/>
    </xf>
    <xf numFmtId="0" fontId="3" fillId="3" borderId="33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3" fillId="3" borderId="34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5" borderId="25" xfId="0" applyFont="1" applyFill="1" applyBorder="1" applyAlignment="1" applyProtection="1">
      <alignment horizontal="center" wrapText="1"/>
      <protection locked="0"/>
    </xf>
    <xf numFmtId="0" fontId="3" fillId="5" borderId="23" xfId="0" applyFont="1" applyFill="1" applyBorder="1" applyAlignment="1" applyProtection="1">
      <alignment horizontal="center" wrapText="1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4" borderId="34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4" borderId="35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6" fontId="0" fillId="3" borderId="23" xfId="0" applyNumberFormat="1" applyFill="1" applyBorder="1" applyAlignment="1" applyProtection="1">
      <alignment horizontal="right"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5" borderId="36" xfId="0" applyFill="1" applyBorder="1" applyAlignment="1" applyProtection="1">
      <alignment horizontal="center" wrapText="1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36" xfId="0" applyFill="1" applyBorder="1" applyAlignment="1" applyProtection="1">
      <alignment horizontal="center"/>
      <protection/>
    </xf>
    <xf numFmtId="1" fontId="0" fillId="2" borderId="37" xfId="0" applyNumberFormat="1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 horizontal="center"/>
      <protection/>
    </xf>
    <xf numFmtId="164" fontId="0" fillId="2" borderId="37" xfId="0" applyNumberFormat="1" applyFill="1" applyBorder="1" applyAlignment="1" applyProtection="1">
      <alignment horizontal="center"/>
      <protection/>
    </xf>
    <xf numFmtId="1" fontId="0" fillId="2" borderId="38" xfId="0" applyNumberFormat="1" applyFill="1" applyBorder="1" applyAlignment="1" applyProtection="1">
      <alignment horizontal="center"/>
      <protection/>
    </xf>
    <xf numFmtId="0" fontId="0" fillId="2" borderId="38" xfId="0" applyFill="1" applyBorder="1" applyAlignment="1" applyProtection="1">
      <alignment horizontal="center"/>
      <protection/>
    </xf>
    <xf numFmtId="164" fontId="0" fillId="2" borderId="38" xfId="0" applyNumberFormat="1" applyFill="1" applyBorder="1" applyAlignment="1" applyProtection="1">
      <alignment horizontal="center"/>
      <protection/>
    </xf>
    <xf numFmtId="1" fontId="0" fillId="2" borderId="39" xfId="0" applyNumberFormat="1" applyFill="1" applyBorder="1" applyAlignment="1" applyProtection="1">
      <alignment horizontal="center"/>
      <protection/>
    </xf>
    <xf numFmtId="0" fontId="0" fillId="2" borderId="39" xfId="0" applyFill="1" applyBorder="1" applyAlignment="1" applyProtection="1">
      <alignment horizontal="center"/>
      <protection/>
    </xf>
    <xf numFmtId="164" fontId="0" fillId="2" borderId="39" xfId="0" applyNumberFormat="1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 horizontal="right"/>
      <protection/>
    </xf>
    <xf numFmtId="164" fontId="0" fillId="2" borderId="36" xfId="0" applyNumberFormat="1" applyFill="1" applyBorder="1" applyAlignment="1" applyProtection="1">
      <alignment horizontal="center"/>
      <protection/>
    </xf>
    <xf numFmtId="164" fontId="0" fillId="2" borderId="20" xfId="0" applyNumberFormat="1" applyFill="1" applyBorder="1" applyAlignment="1" applyProtection="1">
      <alignment horizontal="center"/>
      <protection/>
    </xf>
    <xf numFmtId="164" fontId="0" fillId="2" borderId="43" xfId="0" applyNumberFormat="1" applyFill="1" applyBorder="1" applyAlignment="1" applyProtection="1">
      <alignment horizontal="center"/>
      <protection/>
    </xf>
    <xf numFmtId="164" fontId="10" fillId="2" borderId="2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13" xfId="0" applyFont="1" applyBorder="1" applyAlignment="1" applyProtection="1">
      <alignment horizontal="right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left"/>
      <protection locked="0"/>
    </xf>
    <xf numFmtId="9" fontId="18" fillId="0" borderId="20" xfId="0" applyNumberFormat="1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44" xfId="0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/>
      <protection locked="0"/>
    </xf>
    <xf numFmtId="9" fontId="18" fillId="0" borderId="9" xfId="0" applyNumberFormat="1" applyFont="1" applyBorder="1" applyAlignment="1" applyProtection="1">
      <alignment horizontal="center"/>
      <protection locked="0"/>
    </xf>
    <xf numFmtId="9" fontId="18" fillId="0" borderId="45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7" fontId="18" fillId="0" borderId="43" xfId="0" applyNumberFormat="1" applyFont="1" applyBorder="1" applyAlignment="1" applyProtection="1">
      <alignment/>
      <protection locked="0"/>
    </xf>
    <xf numFmtId="7" fontId="18" fillId="0" borderId="0" xfId="0" applyNumberFormat="1" applyFont="1" applyBorder="1" applyAlignment="1" applyProtection="1">
      <alignment/>
      <protection locked="0"/>
    </xf>
    <xf numFmtId="9" fontId="18" fillId="0" borderId="0" xfId="0" applyNumberFormat="1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left"/>
      <protection/>
    </xf>
    <xf numFmtId="0" fontId="19" fillId="0" borderId="9" xfId="0" applyFont="1" applyBorder="1" applyAlignment="1" applyProtection="1">
      <alignment horizontal="left"/>
      <protection/>
    </xf>
    <xf numFmtId="7" fontId="18" fillId="0" borderId="44" xfId="0" applyNumberFormat="1" applyFont="1" applyBorder="1" applyAlignment="1" applyProtection="1">
      <alignment/>
      <protection/>
    </xf>
    <xf numFmtId="7" fontId="18" fillId="0" borderId="9" xfId="0" applyNumberFormat="1" applyFont="1" applyBorder="1" applyAlignment="1" applyProtection="1">
      <alignment/>
      <protection/>
    </xf>
    <xf numFmtId="7" fontId="18" fillId="0" borderId="45" xfId="0" applyNumberFormat="1" applyFont="1" applyBorder="1" applyAlignment="1" applyProtection="1">
      <alignment/>
      <protection/>
    </xf>
    <xf numFmtId="7" fontId="18" fillId="0" borderId="20" xfId="0" applyNumberFormat="1" applyFont="1" applyBorder="1" applyAlignment="1" applyProtection="1">
      <alignment/>
      <protection/>
    </xf>
    <xf numFmtId="7" fontId="18" fillId="0" borderId="46" xfId="0" applyNumberFormat="1" applyFont="1" applyBorder="1" applyAlignment="1" applyProtection="1">
      <alignment/>
      <protection/>
    </xf>
    <xf numFmtId="7" fontId="18" fillId="0" borderId="47" xfId="0" applyNumberFormat="1" applyFont="1" applyBorder="1" applyAlignment="1" applyProtection="1">
      <alignment/>
      <protection/>
    </xf>
    <xf numFmtId="7" fontId="18" fillId="0" borderId="48" xfId="0" applyNumberFormat="1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/>
      <protection locked="0"/>
    </xf>
    <xf numFmtId="7" fontId="18" fillId="0" borderId="26" xfId="0" applyNumberFormat="1" applyFont="1" applyBorder="1" applyAlignment="1" applyProtection="1">
      <alignment/>
      <protection/>
    </xf>
    <xf numFmtId="0" fontId="3" fillId="5" borderId="31" xfId="0" applyFont="1" applyFill="1" applyBorder="1" applyAlignment="1" applyProtection="1">
      <alignment horizontal="center"/>
      <protection locked="0"/>
    </xf>
    <xf numFmtId="0" fontId="0" fillId="3" borderId="49" xfId="0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0" fillId="3" borderId="50" xfId="0" applyFill="1" applyBorder="1" applyAlignment="1" applyProtection="1">
      <alignment/>
      <protection locked="0"/>
    </xf>
    <xf numFmtId="0" fontId="0" fillId="3" borderId="51" xfId="0" applyFill="1" applyBorder="1" applyAlignment="1" applyProtection="1">
      <alignment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53" xfId="0" applyNumberFormat="1" applyFill="1" applyBorder="1" applyAlignment="1">
      <alignment horizontal="center"/>
    </xf>
    <xf numFmtId="0" fontId="3" fillId="3" borderId="49" xfId="0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3" fillId="3" borderId="54" xfId="0" applyFont="1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" fillId="5" borderId="18" xfId="0" applyFont="1" applyFill="1" applyBorder="1" applyAlignment="1" applyProtection="1">
      <alignment horizontal="center"/>
      <protection locked="0"/>
    </xf>
    <xf numFmtId="0" fontId="0" fillId="5" borderId="55" xfId="0" applyFill="1" applyBorder="1" applyAlignment="1" applyProtection="1">
      <alignment horizontal="center"/>
      <protection locked="0"/>
    </xf>
    <xf numFmtId="0" fontId="3" fillId="3" borderId="53" xfId="0" applyFont="1" applyFill="1" applyBorder="1" applyAlignment="1" applyProtection="1">
      <alignment/>
      <protection locked="0"/>
    </xf>
    <xf numFmtId="14" fontId="0" fillId="3" borderId="49" xfId="0" applyNumberFormat="1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0" fillId="3" borderId="49" xfId="0" applyFill="1" applyBorder="1" applyAlignment="1" applyProtection="1">
      <alignment horizontal="right"/>
      <protection locked="0"/>
    </xf>
    <xf numFmtId="0" fontId="0" fillId="3" borderId="51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 wrapText="1"/>
    </xf>
    <xf numFmtId="0" fontId="3" fillId="5" borderId="55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3" fillId="3" borderId="49" xfId="0" applyFont="1" applyFill="1" applyBorder="1" applyAlignment="1" applyProtection="1">
      <alignment horizontal="center"/>
      <protection locked="0"/>
    </xf>
    <xf numFmtId="0" fontId="3" fillId="3" borderId="51" xfId="0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5" borderId="23" xfId="0" applyFill="1" applyBorder="1" applyAlignment="1">
      <alignment wrapText="1"/>
    </xf>
    <xf numFmtId="0" fontId="0" fillId="5" borderId="23" xfId="0" applyFill="1" applyBorder="1" applyAlignment="1">
      <alignment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59" xfId="0" applyFill="1" applyBorder="1" applyAlignment="1" applyProtection="1">
      <alignment/>
      <protection locked="0"/>
    </xf>
    <xf numFmtId="0" fontId="0" fillId="3" borderId="60" xfId="0" applyFill="1" applyBorder="1" applyAlignment="1" applyProtection="1">
      <alignment/>
      <protection locked="0"/>
    </xf>
    <xf numFmtId="0" fontId="0" fillId="3" borderId="61" xfId="0" applyFill="1" applyBorder="1" applyAlignment="1" applyProtection="1">
      <alignment/>
      <protection locked="0"/>
    </xf>
    <xf numFmtId="0" fontId="12" fillId="3" borderId="6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0" fillId="3" borderId="61" xfId="0" applyFill="1" applyBorder="1" applyAlignment="1">
      <alignment/>
    </xf>
    <xf numFmtId="0" fontId="0" fillId="3" borderId="51" xfId="0" applyFill="1" applyBorder="1" applyAlignment="1">
      <alignment/>
    </xf>
    <xf numFmtId="0" fontId="12" fillId="3" borderId="6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8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251"/>
  <sheetViews>
    <sheetView showGridLines="0" tabSelected="1" workbookViewId="0" topLeftCell="A1">
      <selection activeCell="A9" sqref="A9:B9"/>
    </sheetView>
  </sheetViews>
  <sheetFormatPr defaultColWidth="9.140625" defaultRowHeight="12.75" outlineLevelRow="1" outlineLevelCol="1"/>
  <cols>
    <col min="1" max="1" width="14.8515625" style="0" customWidth="1"/>
    <col min="2" max="2" width="8.28125" style="0" customWidth="1"/>
    <col min="4" max="4" width="9.8515625" style="0" customWidth="1"/>
    <col min="5" max="5" width="8.140625" style="0" customWidth="1"/>
    <col min="6" max="6" width="11.421875" style="0" customWidth="1"/>
    <col min="7" max="7" width="10.8515625" style="0" customWidth="1"/>
    <col min="8" max="8" width="12.28125" style="0" customWidth="1"/>
    <col min="9" max="9" width="9.421875" style="0" customWidth="1"/>
    <col min="10" max="10" width="10.7109375" style="0" customWidth="1"/>
    <col min="11" max="11" width="11.140625" style="0" customWidth="1"/>
    <col min="12" max="12" width="11.00390625" style="0" customWidth="1"/>
    <col min="13" max="25" width="0" style="0" hidden="1" customWidth="1" outlineLevel="1"/>
    <col min="26" max="26" width="9.140625" style="0" customWidth="1" collapsed="1"/>
  </cols>
  <sheetData>
    <row r="1" spans="1:12" ht="24.75" customHeight="1">
      <c r="A1" s="233" t="s">
        <v>320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1.75" customHeight="1">
      <c r="A2" s="236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12" s="3" customFormat="1" ht="17.25" customHeight="1">
      <c r="A3" s="120" t="s">
        <v>0</v>
      </c>
      <c r="B3" s="241" t="s">
        <v>190</v>
      </c>
      <c r="C3" s="242"/>
      <c r="D3" s="242"/>
      <c r="E3" s="242"/>
      <c r="F3" s="243"/>
      <c r="G3" s="121" t="s">
        <v>1</v>
      </c>
      <c r="H3" s="249" t="s">
        <v>190</v>
      </c>
      <c r="I3" s="250"/>
      <c r="J3" s="58"/>
      <c r="K3" s="2"/>
      <c r="L3" s="59"/>
    </row>
    <row r="4" spans="1:12" s="5" customFormat="1" ht="12.75">
      <c r="A4" s="122" t="s">
        <v>2</v>
      </c>
      <c r="B4" s="230" t="s">
        <v>190</v>
      </c>
      <c r="C4" s="230"/>
      <c r="D4" s="230"/>
      <c r="E4" s="230"/>
      <c r="F4" s="231"/>
      <c r="G4" s="121" t="s">
        <v>3</v>
      </c>
      <c r="H4" s="251" t="s">
        <v>190</v>
      </c>
      <c r="I4" s="252"/>
      <c r="J4" s="58"/>
      <c r="K4" s="4"/>
      <c r="L4" s="60"/>
    </row>
    <row r="5" spans="1:12" ht="12.75">
      <c r="A5" s="244" t="s">
        <v>4</v>
      </c>
      <c r="B5" s="245"/>
      <c r="C5" s="123"/>
      <c r="D5" s="266"/>
      <c r="E5" s="245"/>
      <c r="F5" s="123"/>
      <c r="G5" s="121" t="s">
        <v>166</v>
      </c>
      <c r="H5" s="271">
        <v>2005</v>
      </c>
      <c r="I5" s="272"/>
      <c r="J5" s="1"/>
      <c r="K5" s="1"/>
      <c r="L5" s="27"/>
    </row>
    <row r="6" spans="1:12" ht="12.75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27"/>
    </row>
    <row r="7" spans="1:12" ht="16.5" thickBot="1">
      <c r="A7" s="61" t="s">
        <v>110</v>
      </c>
      <c r="B7" s="1"/>
      <c r="C7" s="1"/>
      <c r="D7" s="1"/>
      <c r="E7" s="1"/>
      <c r="F7" s="1"/>
      <c r="G7" s="1"/>
      <c r="H7" s="1"/>
      <c r="I7" s="1"/>
      <c r="J7" s="1"/>
      <c r="K7" s="1"/>
      <c r="L7" s="27"/>
    </row>
    <row r="8" spans="1:12" ht="24.75" customHeight="1" thickBot="1">
      <c r="A8" s="246" t="s">
        <v>9</v>
      </c>
      <c r="B8" s="247"/>
      <c r="C8" s="232" t="s">
        <v>10</v>
      </c>
      <c r="D8" s="226"/>
      <c r="E8" s="1"/>
      <c r="F8" s="1"/>
      <c r="G8" s="76" t="s">
        <v>42</v>
      </c>
      <c r="H8" s="74" t="s">
        <v>41</v>
      </c>
      <c r="I8" s="75" t="s">
        <v>50</v>
      </c>
      <c r="J8" s="1"/>
      <c r="K8" s="1"/>
      <c r="L8" s="27"/>
    </row>
    <row r="9" spans="1:12" ht="12.75">
      <c r="A9" s="244"/>
      <c r="B9" s="248"/>
      <c r="C9" s="264" t="s">
        <v>190</v>
      </c>
      <c r="D9" s="265"/>
      <c r="E9" s="1"/>
      <c r="F9" s="1"/>
      <c r="G9" s="72">
        <f>IF(A9="",0,IF(D5="McElmo",VLOOKUP(A9,Sheet2!A38:B42,2),IF(D5="Grand Valley",VLOOKUP(A9,Sheet2!A45:B55,2),IF(D5="Lower Gunnison",VLOOKUP(A9,Sheet2!A58:B66,2),IF(D5="Mancos",VLOOKUP(A9,Sheet2!A69:B71,2))))))</f>
        <v>0</v>
      </c>
      <c r="H9" s="72" t="e">
        <f>SUM(G9*C9/100)</f>
        <v>#VALUE!</v>
      </c>
      <c r="I9" s="4"/>
      <c r="J9" s="1"/>
      <c r="K9" s="1"/>
      <c r="L9" s="27"/>
    </row>
    <row r="10" spans="1:12" ht="12.75">
      <c r="A10" s="244"/>
      <c r="B10" s="248"/>
      <c r="C10" s="227"/>
      <c r="D10" s="250"/>
      <c r="E10" s="1"/>
      <c r="F10" s="1"/>
      <c r="G10" s="66">
        <f>IF(A10="",0,IF(D5="McElmo",VLOOKUP(A10,Sheet2!A38:B42,2),IF(D5="Grand Valley",VLOOKUP(A10,Sheet2!A45:B55,2),IF(D5="Lower Gunnison",VLOOKUP(A10,Sheet2!A58:B66,2),IF(D5="Mancos",VLOOKUP(A10,Sheet2!A69:B71,2))))))</f>
        <v>0</v>
      </c>
      <c r="H10" s="66">
        <f>SUM(G10*C10/100)</f>
        <v>0</v>
      </c>
      <c r="I10" s="4"/>
      <c r="J10" s="1"/>
      <c r="K10" s="1"/>
      <c r="L10" s="27"/>
    </row>
    <row r="11" spans="1:12" ht="12.75">
      <c r="A11" s="244"/>
      <c r="B11" s="248"/>
      <c r="C11" s="227"/>
      <c r="D11" s="250"/>
      <c r="E11" s="1"/>
      <c r="F11" s="1"/>
      <c r="G11" s="66">
        <f>IF(A11="",0,IF(D5="McElmo",VLOOKUP(A11,Sheet2!A38:B42,2),IF(D5="Grand Valley",VLOOKUP(A11,Sheet2!A45:B55,2),IF(D5="Lower Gunnison",VLOOKUP(A11,Sheet2!A58:B66,2),IF(D5="Mancos",VLOOKUP(A11,Sheet2!A69:B71,2))))))</f>
        <v>0</v>
      </c>
      <c r="H11" s="66">
        <f>SUM(G11*C11/100)</f>
        <v>0</v>
      </c>
      <c r="I11" s="4"/>
      <c r="J11" s="1"/>
      <c r="K11" s="1"/>
      <c r="L11" s="27"/>
    </row>
    <row r="12" spans="1:12" ht="13.5" thickBot="1">
      <c r="A12" s="244"/>
      <c r="B12" s="248"/>
      <c r="C12" s="279"/>
      <c r="D12" s="280"/>
      <c r="E12" s="1"/>
      <c r="F12" s="1"/>
      <c r="G12" s="66">
        <f>IF(A12="",0,IF(A9="",0,IF(D5="McElmo",VLOOKUP(A12,Sheet2!A38:B42,2),IF(D5="Grand Valley",VLOOKUP(A12,Sheet2!A45:B55,2),IF(D5="Lower Gunnison",VLOOKUP(A12,Sheet2!A58:B66,2),IF(D5="Mancos",VLOOKUP(A12,Sheet2!A69:B71,2)))))))</f>
        <v>0</v>
      </c>
      <c r="H12" s="67">
        <f>SUM(G12*C12/100)</f>
        <v>0</v>
      </c>
      <c r="I12" s="4"/>
      <c r="J12" s="1"/>
      <c r="K12" s="1"/>
      <c r="L12" s="27"/>
    </row>
    <row r="13" spans="1:12" ht="13.5" thickBot="1">
      <c r="A13" s="6"/>
      <c r="B13" s="1"/>
      <c r="C13" s="256">
        <f>SUM(C9:D12)</f>
        <v>0</v>
      </c>
      <c r="D13" s="257"/>
      <c r="E13" s="255" t="str">
        <f>IF(C13=100,"","Not 100, Please re-enter!")</f>
        <v>Not 100, Please re-enter!</v>
      </c>
      <c r="F13" s="255"/>
      <c r="G13" s="30"/>
      <c r="H13" s="68" t="e">
        <f>SUM(H9:H12)</f>
        <v>#VALUE!</v>
      </c>
      <c r="I13" s="69" t="e">
        <f>VLOOKUP(D5,Data!A24:D27,4)</f>
        <v>#N/A</v>
      </c>
      <c r="J13" s="1"/>
      <c r="K13" s="1"/>
      <c r="L13" s="27"/>
    </row>
    <row r="14" spans="1:12" ht="13.5" thickBot="1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27"/>
    </row>
    <row r="15" spans="1:12" ht="13.5" thickBot="1">
      <c r="A15" s="6"/>
      <c r="B15" s="1"/>
      <c r="C15" s="1"/>
      <c r="D15" s="1"/>
      <c r="E15" s="1"/>
      <c r="F15" s="262" t="s">
        <v>48</v>
      </c>
      <c r="G15" s="263"/>
      <c r="H15" s="18"/>
      <c r="I15" s="70" t="e">
        <f>H13-I13</f>
        <v>#VALUE!</v>
      </c>
      <c r="J15" s="1"/>
      <c r="K15" s="1"/>
      <c r="L15" s="27"/>
    </row>
    <row r="16" spans="1:12" ht="35.25" customHeight="1" thickBot="1">
      <c r="A16" s="69" t="e">
        <f>VLOOKUP(D5,Data!A24:C27,3)</f>
        <v>#N/A</v>
      </c>
      <c r="B16" s="260" t="s">
        <v>119</v>
      </c>
      <c r="C16" s="261"/>
      <c r="D16" s="261"/>
      <c r="E16" s="261"/>
      <c r="F16" s="262" t="s">
        <v>49</v>
      </c>
      <c r="G16" s="263"/>
      <c r="H16" s="263"/>
      <c r="I16" s="70" t="e">
        <f>I15*A16</f>
        <v>#VALUE!</v>
      </c>
      <c r="J16" s="1"/>
      <c r="K16" s="1"/>
      <c r="L16" s="27"/>
    </row>
    <row r="17" spans="1:12" ht="12.7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27"/>
    </row>
    <row r="18" spans="1:12" ht="12.7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27"/>
    </row>
    <row r="19" spans="1:12" ht="18" customHeight="1" thickBot="1">
      <c r="A19" s="61" t="s">
        <v>109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7"/>
    </row>
    <row r="20" spans="1:12" ht="42" customHeight="1" thickBot="1">
      <c r="A20" s="124" t="s">
        <v>22</v>
      </c>
      <c r="B20" s="125" t="s">
        <v>23</v>
      </c>
      <c r="C20" s="126" t="s">
        <v>24</v>
      </c>
      <c r="D20" s="258" t="s">
        <v>159</v>
      </c>
      <c r="E20" s="259"/>
      <c r="F20" s="125" t="s">
        <v>163</v>
      </c>
      <c r="G20" s="74" t="s">
        <v>164</v>
      </c>
      <c r="H20" s="75" t="s">
        <v>86</v>
      </c>
      <c r="I20" s="1"/>
      <c r="J20" s="1"/>
      <c r="K20" s="1"/>
      <c r="L20" s="27"/>
    </row>
    <row r="21" spans="1:12" ht="15.75">
      <c r="A21" s="127" t="s">
        <v>44</v>
      </c>
      <c r="B21" s="128" t="s">
        <v>26</v>
      </c>
      <c r="C21" s="129"/>
      <c r="D21" s="239" t="e">
        <f>IF(A21="",0,Data!O3)</f>
        <v>#VALUE!</v>
      </c>
      <c r="E21" s="240"/>
      <c r="F21" s="134">
        <v>0.5</v>
      </c>
      <c r="G21" s="72" t="e">
        <f>Data!L2</f>
        <v>#N/A</v>
      </c>
      <c r="H21" s="73" t="e">
        <f>IF(B21="",0,C21*D21/12*F21*G21)</f>
        <v>#VALUE!</v>
      </c>
      <c r="I21" s="1"/>
      <c r="J21" s="1"/>
      <c r="K21" s="1"/>
      <c r="L21" s="27"/>
    </row>
    <row r="22" spans="1:12" ht="15.75">
      <c r="A22" s="130"/>
      <c r="B22" s="131"/>
      <c r="C22" s="132"/>
      <c r="D22" s="239">
        <f>IF(A22="",0,Data!O5)</f>
        <v>0</v>
      </c>
      <c r="E22" s="240"/>
      <c r="F22" s="134">
        <v>0.5</v>
      </c>
      <c r="G22" s="72" t="e">
        <f>Data!L4</f>
        <v>#N/A</v>
      </c>
      <c r="H22" s="73">
        <f>IF(B22="",0,C22*D22/12*F22*G22)</f>
        <v>0</v>
      </c>
      <c r="I22" s="1"/>
      <c r="J22" s="1"/>
      <c r="K22" s="1"/>
      <c r="L22" s="27"/>
    </row>
    <row r="23" spans="1:12" ht="15.75">
      <c r="A23" s="130"/>
      <c r="B23" s="131"/>
      <c r="C23" s="132"/>
      <c r="D23" s="239">
        <f>IF(A23="",0,Data!O7)</f>
        <v>0</v>
      </c>
      <c r="E23" s="240"/>
      <c r="F23" s="134">
        <v>0.5</v>
      </c>
      <c r="G23" s="72" t="e">
        <f>Data!L6</f>
        <v>#N/A</v>
      </c>
      <c r="H23" s="73">
        <f>IF(B23="",0,C23*D23/12*F23*G23)</f>
        <v>0</v>
      </c>
      <c r="I23" s="1"/>
      <c r="J23" s="1"/>
      <c r="K23" s="1"/>
      <c r="L23" s="27"/>
    </row>
    <row r="24" spans="1:12" ht="16.5" thickBot="1">
      <c r="A24" s="133"/>
      <c r="B24" s="131"/>
      <c r="C24" s="132"/>
      <c r="D24" s="239">
        <f>IF(A24="",0,Data!O9)</f>
        <v>0</v>
      </c>
      <c r="E24" s="240"/>
      <c r="F24" s="134">
        <v>0.5</v>
      </c>
      <c r="G24" s="72" t="e">
        <f>Data!L8</f>
        <v>#N/A</v>
      </c>
      <c r="H24" s="73">
        <f>IF(B24="",0,C24*D24/12*F24*G24)</f>
        <v>0</v>
      </c>
      <c r="I24" s="1"/>
      <c r="J24" s="1"/>
      <c r="K24" s="1"/>
      <c r="L24" s="27"/>
    </row>
    <row r="25" spans="1:12" ht="13.5" thickBot="1">
      <c r="A25" s="6"/>
      <c r="B25" s="1"/>
      <c r="C25" s="1"/>
      <c r="D25" s="1"/>
      <c r="E25" s="1"/>
      <c r="F25" s="228" t="s">
        <v>105</v>
      </c>
      <c r="G25" s="229"/>
      <c r="H25" s="71" t="e">
        <f>SUM(H21:H24)</f>
        <v>#VALUE!</v>
      </c>
      <c r="I25" s="1"/>
      <c r="J25" s="1"/>
      <c r="K25" s="1"/>
      <c r="L25" s="27"/>
    </row>
    <row r="26" spans="1:12" ht="12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27"/>
    </row>
    <row r="27" spans="1:12" ht="12.7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27"/>
    </row>
    <row r="28" spans="1:12" ht="15.75">
      <c r="A28" s="61" t="s">
        <v>162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27"/>
    </row>
    <row r="29" spans="1:12" ht="13.5" thickBot="1">
      <c r="A29" s="6" t="s">
        <v>51</v>
      </c>
      <c r="B29" s="1"/>
      <c r="C29" s="1"/>
      <c r="D29" s="1"/>
      <c r="E29" s="18"/>
      <c r="F29" s="1"/>
      <c r="G29" s="1"/>
      <c r="H29" s="1"/>
      <c r="I29" s="1"/>
      <c r="J29" s="1"/>
      <c r="K29" s="1"/>
      <c r="L29" s="27"/>
    </row>
    <row r="30" spans="1:12" ht="38.25">
      <c r="A30" s="135" t="s">
        <v>52</v>
      </c>
      <c r="B30" s="136" t="s">
        <v>61</v>
      </c>
      <c r="C30" s="136" t="s">
        <v>53</v>
      </c>
      <c r="D30" s="165" t="s">
        <v>54</v>
      </c>
      <c r="E30" s="144" t="s">
        <v>55</v>
      </c>
      <c r="F30" s="144" t="s">
        <v>107</v>
      </c>
      <c r="G30" s="267" t="s">
        <v>56</v>
      </c>
      <c r="H30" s="268"/>
      <c r="I30" s="167" t="s">
        <v>57</v>
      </c>
      <c r="J30" s="165" t="s">
        <v>165</v>
      </c>
      <c r="K30" s="167" t="s">
        <v>58</v>
      </c>
      <c r="L30" s="167" t="s">
        <v>59</v>
      </c>
    </row>
    <row r="31" spans="1:12" ht="13.5" thickBot="1">
      <c r="A31" s="137" t="s">
        <v>60</v>
      </c>
      <c r="B31" s="138" t="s">
        <v>106</v>
      </c>
      <c r="C31" s="138" t="s">
        <v>62</v>
      </c>
      <c r="D31" s="166" t="s">
        <v>63</v>
      </c>
      <c r="E31" s="137" t="s">
        <v>64</v>
      </c>
      <c r="F31" s="145" t="s">
        <v>108</v>
      </c>
      <c r="G31" s="269"/>
      <c r="H31" s="270"/>
      <c r="I31" s="166" t="s">
        <v>65</v>
      </c>
      <c r="J31" s="166" t="s">
        <v>66</v>
      </c>
      <c r="K31" s="166" t="s">
        <v>67</v>
      </c>
      <c r="L31" s="166" t="s">
        <v>67</v>
      </c>
    </row>
    <row r="32" spans="1:17" s="162" customFormat="1" ht="15" customHeight="1">
      <c r="A32" s="139" t="s">
        <v>68</v>
      </c>
      <c r="B32" s="140" t="s">
        <v>190</v>
      </c>
      <c r="C32" s="140" t="s">
        <v>190</v>
      </c>
      <c r="D32" s="170" t="e">
        <f aca="true" t="shared" si="0" ref="D32:D37">3*(B32/3*PI())^0.5</f>
        <v>#VALUE!</v>
      </c>
      <c r="E32" s="140" t="s">
        <v>190</v>
      </c>
      <c r="F32" s="146"/>
      <c r="G32" s="147"/>
      <c r="H32" s="148"/>
      <c r="I32" s="168" t="e">
        <f aca="true" t="shared" si="1" ref="I32:I37">IF(Q32=TRUE,0.15*C32*D32*E32*O32*0.00028,C32*D32*E32*O32*0.00028)</f>
        <v>#VALUE!</v>
      </c>
      <c r="J32" s="169" t="e">
        <f>VLOOKUP($D$5,Sheet2!$A$87:$B$90,2)</f>
        <v>#N/A</v>
      </c>
      <c r="K32" s="170" t="e">
        <f aca="true" t="shared" si="2" ref="K32:K37">(J32*I32)/12</f>
        <v>#N/A</v>
      </c>
      <c r="L32" s="180"/>
      <c r="O32" s="162">
        <f>VLOOKUP(P32,Data!$D$14:$G$20,4)</f>
        <v>0.3</v>
      </c>
      <c r="P32" s="162">
        <v>4</v>
      </c>
      <c r="Q32" s="162" t="b">
        <v>1</v>
      </c>
    </row>
    <row r="33" spans="1:17" s="162" customFormat="1" ht="15" customHeight="1" thickBot="1">
      <c r="A33" s="141" t="s">
        <v>69</v>
      </c>
      <c r="B33" s="142" t="s">
        <v>190</v>
      </c>
      <c r="C33" s="142" t="s">
        <v>190</v>
      </c>
      <c r="D33" s="173" t="e">
        <f t="shared" si="0"/>
        <v>#VALUE!</v>
      </c>
      <c r="E33" s="142" t="s">
        <v>190</v>
      </c>
      <c r="F33" s="146"/>
      <c r="G33" s="149"/>
      <c r="H33" s="148"/>
      <c r="I33" s="171" t="e">
        <f t="shared" si="1"/>
        <v>#VALUE!</v>
      </c>
      <c r="J33" s="172" t="e">
        <f>VLOOKUP($D$5,Sheet2!$A$87:$B$90,2)</f>
        <v>#N/A</v>
      </c>
      <c r="K33" s="173" t="e">
        <f t="shared" si="2"/>
        <v>#N/A</v>
      </c>
      <c r="L33" s="181" t="e">
        <f>K32-K33</f>
        <v>#N/A</v>
      </c>
      <c r="O33" s="162">
        <f>VLOOKUP(P33,Data!$D$14:$G$20,4)</f>
        <v>0</v>
      </c>
      <c r="P33" s="162">
        <v>7</v>
      </c>
      <c r="Q33" s="162" t="b">
        <v>0</v>
      </c>
    </row>
    <row r="34" spans="1:17" s="162" customFormat="1" ht="15" customHeight="1">
      <c r="A34" s="139" t="s">
        <v>70</v>
      </c>
      <c r="B34" s="143"/>
      <c r="C34" s="143"/>
      <c r="D34" s="176">
        <f t="shared" si="0"/>
        <v>0</v>
      </c>
      <c r="E34" s="143"/>
      <c r="F34" s="146"/>
      <c r="G34" s="149"/>
      <c r="H34" s="148"/>
      <c r="I34" s="174">
        <f t="shared" si="1"/>
        <v>0</v>
      </c>
      <c r="J34" s="175" t="e">
        <f>VLOOKUP($D$5,Sheet2!$A$87:$B$90,2)</f>
        <v>#N/A</v>
      </c>
      <c r="K34" s="176" t="e">
        <f t="shared" si="2"/>
        <v>#N/A</v>
      </c>
      <c r="L34" s="182"/>
      <c r="O34" s="162">
        <f>VLOOKUP(P34,Data!$D$14:$G$20,4)</f>
        <v>0.3</v>
      </c>
      <c r="P34" s="162">
        <v>4</v>
      </c>
      <c r="Q34" s="162" t="b">
        <v>0</v>
      </c>
    </row>
    <row r="35" spans="1:17" s="162" customFormat="1" ht="15" customHeight="1" thickBot="1">
      <c r="A35" s="141" t="s">
        <v>71</v>
      </c>
      <c r="B35" s="142"/>
      <c r="C35" s="142"/>
      <c r="D35" s="173">
        <f t="shared" si="0"/>
        <v>0</v>
      </c>
      <c r="E35" s="142"/>
      <c r="F35" s="146"/>
      <c r="G35" s="149"/>
      <c r="H35" s="148"/>
      <c r="I35" s="171">
        <f t="shared" si="1"/>
        <v>0</v>
      </c>
      <c r="J35" s="172" t="e">
        <f>VLOOKUP($D$5,Sheet2!$A$87:$B$90,2)</f>
        <v>#N/A</v>
      </c>
      <c r="K35" s="173" t="e">
        <f t="shared" si="2"/>
        <v>#N/A</v>
      </c>
      <c r="L35" s="181" t="e">
        <f>K34-K35</f>
        <v>#N/A</v>
      </c>
      <c r="O35" s="162">
        <f>VLOOKUP(P35,Data!$D$14:$G$20,4)</f>
        <v>0</v>
      </c>
      <c r="P35" s="162">
        <v>7</v>
      </c>
      <c r="Q35" s="162" t="b">
        <v>0</v>
      </c>
    </row>
    <row r="36" spans="1:25" s="162" customFormat="1" ht="15" customHeight="1">
      <c r="A36" s="139" t="s">
        <v>72</v>
      </c>
      <c r="B36" s="143"/>
      <c r="C36" s="143"/>
      <c r="D36" s="176">
        <f t="shared" si="0"/>
        <v>0</v>
      </c>
      <c r="E36" s="143"/>
      <c r="F36" s="146"/>
      <c r="G36" s="149"/>
      <c r="H36" s="148"/>
      <c r="I36" s="174">
        <f t="shared" si="1"/>
        <v>0</v>
      </c>
      <c r="J36" s="175" t="e">
        <f>VLOOKUP($D$5,Sheet2!$A$87:$B$90,2)</f>
        <v>#N/A</v>
      </c>
      <c r="K36" s="176" t="e">
        <f t="shared" si="2"/>
        <v>#N/A</v>
      </c>
      <c r="L36" s="182"/>
      <c r="O36" s="162">
        <f>VLOOKUP(P36,Data!$D$14:$G$20,4)</f>
        <v>0.3</v>
      </c>
      <c r="P36" s="162">
        <v>4</v>
      </c>
      <c r="Q36" s="162" t="b">
        <v>0</v>
      </c>
      <c r="Y36" s="162" t="b">
        <v>1</v>
      </c>
    </row>
    <row r="37" spans="1:17" s="162" customFormat="1" ht="15" customHeight="1" thickBot="1">
      <c r="A37" s="141" t="s">
        <v>73</v>
      </c>
      <c r="B37" s="142"/>
      <c r="C37" s="142"/>
      <c r="D37" s="173">
        <f t="shared" si="0"/>
        <v>0</v>
      </c>
      <c r="E37" s="142"/>
      <c r="F37" s="150"/>
      <c r="G37" s="151"/>
      <c r="H37" s="152"/>
      <c r="I37" s="171">
        <f t="shared" si="1"/>
        <v>0</v>
      </c>
      <c r="J37" s="172" t="e">
        <f>VLOOKUP($D$5,Sheet2!$A$87:$B$90,2)</f>
        <v>#N/A</v>
      </c>
      <c r="K37" s="173" t="e">
        <f t="shared" si="2"/>
        <v>#N/A</v>
      </c>
      <c r="L37" s="181" t="e">
        <f>K36-K37</f>
        <v>#N/A</v>
      </c>
      <c r="O37" s="162">
        <f>VLOOKUP(P37,Data!$D$14:$G$20,4)</f>
        <v>0</v>
      </c>
      <c r="P37" s="162">
        <v>7</v>
      </c>
      <c r="Q37" s="162" t="b">
        <v>0</v>
      </c>
    </row>
    <row r="38" spans="1:12" s="162" customFormat="1" ht="18.75" thickBot="1">
      <c r="A38" s="163"/>
      <c r="B38" s="164"/>
      <c r="C38" s="153"/>
      <c r="D38" s="153" t="s">
        <v>74</v>
      </c>
      <c r="E38" s="153"/>
      <c r="F38" s="123"/>
      <c r="G38" s="123"/>
      <c r="H38" s="148"/>
      <c r="I38" s="177"/>
      <c r="J38" s="178"/>
      <c r="K38" s="179" t="s">
        <v>75</v>
      </c>
      <c r="L38" s="183" t="e">
        <f>SUM(L33:L37)</f>
        <v>#N/A</v>
      </c>
    </row>
    <row r="39" spans="1:12" ht="12.75">
      <c r="A39" s="35"/>
      <c r="B39" s="33"/>
      <c r="C39" s="36"/>
      <c r="D39" s="36"/>
      <c r="E39" s="36"/>
      <c r="F39" s="4"/>
      <c r="G39" s="4"/>
      <c r="H39" s="1"/>
      <c r="I39" s="37"/>
      <c r="J39" s="29"/>
      <c r="K39" s="38"/>
      <c r="L39" s="39"/>
    </row>
    <row r="40" spans="1:12" ht="13.5" thickBot="1">
      <c r="A40" s="35"/>
      <c r="B40" s="33"/>
      <c r="C40" s="36"/>
      <c r="D40" s="36"/>
      <c r="E40" s="36"/>
      <c r="F40" s="4"/>
      <c r="G40" s="4"/>
      <c r="H40" s="1"/>
      <c r="I40" s="37"/>
      <c r="J40" s="29"/>
      <c r="K40" s="38"/>
      <c r="L40" s="39"/>
    </row>
    <row r="41" spans="1:12" ht="18.75" thickBot="1">
      <c r="A41" s="35"/>
      <c r="B41" s="33"/>
      <c r="C41" s="36"/>
      <c r="D41" s="36"/>
      <c r="E41" s="36"/>
      <c r="F41" s="4"/>
      <c r="G41" s="4"/>
      <c r="H41" s="4"/>
      <c r="I41" s="65"/>
      <c r="J41" s="63"/>
      <c r="K41" s="64" t="s">
        <v>76</v>
      </c>
      <c r="L41" s="40" t="e">
        <f>L38+H25</f>
        <v>#N/A</v>
      </c>
    </row>
    <row r="42" spans="1:12" ht="12.75">
      <c r="A42" s="35"/>
      <c r="B42" s="33"/>
      <c r="C42" s="36"/>
      <c r="D42" s="36"/>
      <c r="E42" s="36"/>
      <c r="F42" s="4"/>
      <c r="G42" s="4"/>
      <c r="H42" s="1"/>
      <c r="I42" s="37"/>
      <c r="J42" s="29"/>
      <c r="K42" s="38"/>
      <c r="L42" s="39"/>
    </row>
    <row r="43" spans="1:12" ht="16.5" thickBot="1">
      <c r="A43" s="100" t="s">
        <v>77</v>
      </c>
      <c r="B43" s="28"/>
      <c r="C43" s="1"/>
      <c r="D43" s="1"/>
      <c r="E43" s="1"/>
      <c r="F43" s="1"/>
      <c r="G43" s="1"/>
      <c r="H43" s="1"/>
      <c r="I43" s="1"/>
      <c r="J43" s="1"/>
      <c r="K43" s="1"/>
      <c r="L43" s="27"/>
    </row>
    <row r="44" spans="1:12" ht="65.25" thickBot="1">
      <c r="A44" s="253" t="s">
        <v>78</v>
      </c>
      <c r="B44" s="254"/>
      <c r="C44" s="154" t="s">
        <v>190</v>
      </c>
      <c r="D44" s="88" t="s">
        <v>79</v>
      </c>
      <c r="E44" s="88" t="s">
        <v>120</v>
      </c>
      <c r="F44" s="89"/>
      <c r="G44" s="88" t="s">
        <v>80</v>
      </c>
      <c r="H44" s="90" t="s">
        <v>81</v>
      </c>
      <c r="I44" s="277" t="s">
        <v>82</v>
      </c>
      <c r="J44" s="278"/>
      <c r="K44" s="91" t="s">
        <v>83</v>
      </c>
      <c r="L44" s="27"/>
    </row>
    <row r="45" spans="1:12" ht="14.25" customHeight="1">
      <c r="A45" s="273" t="s">
        <v>84</v>
      </c>
      <c r="B45" s="274"/>
      <c r="C45" s="83" t="e">
        <f>C44*0.67</f>
        <v>#VALUE!</v>
      </c>
      <c r="D45" s="84"/>
      <c r="E45" s="84"/>
      <c r="F45" s="84"/>
      <c r="G45" s="84"/>
      <c r="H45" s="42"/>
      <c r="I45" s="85"/>
      <c r="J45" s="86"/>
      <c r="K45" s="87"/>
      <c r="L45" s="27"/>
    </row>
    <row r="46" spans="1:12" ht="15" customHeight="1" thickBot="1">
      <c r="A46" s="275" t="s">
        <v>85</v>
      </c>
      <c r="B46" s="276"/>
      <c r="C46" s="78" t="e">
        <f>C44+C45</f>
        <v>#VALUE!</v>
      </c>
      <c r="D46" s="79" t="e">
        <f>C46/L41</f>
        <v>#VALUE!</v>
      </c>
      <c r="E46" s="80">
        <f>VLOOKUP($H$5,Data!A69:B74,2)</f>
        <v>0</v>
      </c>
      <c r="F46" s="77"/>
      <c r="G46" s="81" t="e">
        <f>D46*E46</f>
        <v>#VALUE!</v>
      </c>
      <c r="H46" s="155">
        <v>2000</v>
      </c>
      <c r="I46" s="152"/>
      <c r="J46" s="156"/>
      <c r="K46" s="82" t="e">
        <f>H46/G46</f>
        <v>#VALUE!</v>
      </c>
      <c r="L46" s="27"/>
    </row>
    <row r="47" spans="1:12" ht="13.5" thickBot="1">
      <c r="A47" s="12"/>
      <c r="B47" s="31"/>
      <c r="C47" s="31"/>
      <c r="D47" s="31"/>
      <c r="E47" s="31"/>
      <c r="F47" s="31"/>
      <c r="G47" s="43"/>
      <c r="H47" s="31"/>
      <c r="I47" s="31"/>
      <c r="J47" s="31"/>
      <c r="K47" s="31"/>
      <c r="L47" s="32"/>
    </row>
    <row r="48" spans="16:25" ht="12.75">
      <c r="P48">
        <v>1</v>
      </c>
      <c r="Y48" t="b">
        <v>1</v>
      </c>
    </row>
    <row r="49" spans="16:25" ht="12.75">
      <c r="P49">
        <v>2</v>
      </c>
      <c r="Y49" t="b">
        <v>0</v>
      </c>
    </row>
    <row r="50" spans="16:25" ht="12.75">
      <c r="P50">
        <v>3</v>
      </c>
      <c r="Y50" t="b">
        <v>1</v>
      </c>
    </row>
    <row r="51" spans="16:25" ht="12.75">
      <c r="P51">
        <v>4</v>
      </c>
      <c r="Y51" t="b">
        <v>1</v>
      </c>
    </row>
    <row r="52" spans="16:25" ht="12.75">
      <c r="P52">
        <v>5</v>
      </c>
      <c r="Y52" t="b">
        <v>1</v>
      </c>
    </row>
    <row r="53" spans="16:25" ht="12.75">
      <c r="P53">
        <v>6</v>
      </c>
      <c r="Y53" t="b">
        <v>0</v>
      </c>
    </row>
    <row r="181" ht="12.75" outlineLevel="1">
      <c r="A181" t="s">
        <v>5</v>
      </c>
    </row>
    <row r="182" ht="12.75" outlineLevel="1">
      <c r="A182" t="s">
        <v>6</v>
      </c>
    </row>
    <row r="183" ht="12.75" outlineLevel="1">
      <c r="A183" t="s">
        <v>7</v>
      </c>
    </row>
    <row r="184" ht="12.75" outlineLevel="1">
      <c r="A184" t="s">
        <v>8</v>
      </c>
    </row>
    <row r="185" ht="12.75" outlineLevel="1"/>
    <row r="186" ht="13.5" outlineLevel="1" thickBot="1"/>
    <row r="187" spans="1:2" ht="12.75" outlineLevel="1">
      <c r="A187" s="6" t="s">
        <v>5</v>
      </c>
      <c r="B187" s="7" t="s">
        <v>11</v>
      </c>
    </row>
    <row r="188" spans="1:2" ht="12.75" outlineLevel="1">
      <c r="A188" s="6" t="s">
        <v>5</v>
      </c>
      <c r="B188" s="8" t="s">
        <v>35</v>
      </c>
    </row>
    <row r="189" spans="1:2" ht="12.75" outlineLevel="1">
      <c r="A189" s="6" t="s">
        <v>5</v>
      </c>
      <c r="B189" s="8" t="s">
        <v>13</v>
      </c>
    </row>
    <row r="190" spans="1:2" ht="12.75" outlineLevel="1">
      <c r="A190" s="6" t="s">
        <v>5</v>
      </c>
      <c r="B190" s="8" t="s">
        <v>14</v>
      </c>
    </row>
    <row r="191" spans="1:2" ht="12.75" outlineLevel="1">
      <c r="A191" s="6" t="s">
        <v>5</v>
      </c>
      <c r="B191" s="8" t="s">
        <v>15</v>
      </c>
    </row>
    <row r="192" spans="1:2" ht="12.75" outlineLevel="1">
      <c r="A192" s="9" t="s">
        <v>6</v>
      </c>
      <c r="B192" s="8" t="s">
        <v>36</v>
      </c>
    </row>
    <row r="193" spans="1:2" ht="12.75" outlineLevel="1">
      <c r="A193" s="9" t="s">
        <v>6</v>
      </c>
      <c r="B193" s="8" t="s">
        <v>37</v>
      </c>
    </row>
    <row r="194" spans="1:2" ht="12.75" outlineLevel="1">
      <c r="A194" s="6" t="s">
        <v>6</v>
      </c>
      <c r="B194" s="8" t="s">
        <v>33</v>
      </c>
    </row>
    <row r="195" spans="1:2" ht="12.75" outlineLevel="1">
      <c r="A195" s="9" t="s">
        <v>6</v>
      </c>
      <c r="B195" s="8" t="s">
        <v>16</v>
      </c>
    </row>
    <row r="196" spans="1:2" ht="12.75" outlineLevel="1">
      <c r="A196" s="6" t="s">
        <v>6</v>
      </c>
      <c r="B196" s="8" t="s">
        <v>38</v>
      </c>
    </row>
    <row r="197" spans="1:2" ht="12.75" outlineLevel="1">
      <c r="A197" s="6" t="s">
        <v>6</v>
      </c>
      <c r="B197" s="8" t="s">
        <v>14</v>
      </c>
    </row>
    <row r="198" spans="1:2" ht="12.75" outlineLevel="1">
      <c r="A198" s="6" t="s">
        <v>6</v>
      </c>
      <c r="B198" s="8" t="s">
        <v>39</v>
      </c>
    </row>
    <row r="199" spans="1:2" ht="12.75" outlineLevel="1">
      <c r="A199" s="6" t="s">
        <v>6</v>
      </c>
      <c r="B199" s="8" t="s">
        <v>40</v>
      </c>
    </row>
    <row r="200" spans="1:2" ht="12.75" outlineLevel="1">
      <c r="A200" s="6" t="s">
        <v>6</v>
      </c>
      <c r="B200" s="10" t="s">
        <v>18</v>
      </c>
    </row>
    <row r="201" spans="1:2" ht="12.75" outlineLevel="1">
      <c r="A201" s="6" t="s">
        <v>6</v>
      </c>
      <c r="B201" s="10" t="s">
        <v>19</v>
      </c>
    </row>
    <row r="202" spans="1:2" ht="12.75" outlineLevel="1">
      <c r="A202" s="6" t="s">
        <v>6</v>
      </c>
      <c r="B202" s="10" t="s">
        <v>15</v>
      </c>
    </row>
    <row r="203" spans="1:2" ht="12.75" outlineLevel="1">
      <c r="A203" s="9" t="s">
        <v>7</v>
      </c>
      <c r="B203" s="10" t="s">
        <v>11</v>
      </c>
    </row>
    <row r="204" spans="1:2" ht="12.75" outlineLevel="1">
      <c r="A204" s="6" t="s">
        <v>7</v>
      </c>
      <c r="B204" s="10" t="s">
        <v>12</v>
      </c>
    </row>
    <row r="205" spans="1:2" ht="12.75" outlineLevel="1">
      <c r="A205" s="6" t="s">
        <v>7</v>
      </c>
      <c r="B205" s="10" t="s">
        <v>17</v>
      </c>
    </row>
    <row r="206" spans="1:2" ht="12.75" outlineLevel="1">
      <c r="A206" s="6" t="s">
        <v>7</v>
      </c>
      <c r="B206" s="10" t="s">
        <v>13</v>
      </c>
    </row>
    <row r="207" spans="1:2" ht="12.75" outlineLevel="1">
      <c r="A207" s="6" t="s">
        <v>7</v>
      </c>
      <c r="B207" s="10" t="s">
        <v>20</v>
      </c>
    </row>
    <row r="208" spans="1:2" ht="12.75" outlineLevel="1">
      <c r="A208" s="6" t="s">
        <v>7</v>
      </c>
      <c r="B208" s="10" t="s">
        <v>21</v>
      </c>
    </row>
    <row r="209" spans="1:2" ht="12.75" outlineLevel="1">
      <c r="A209" s="6" t="s">
        <v>7</v>
      </c>
      <c r="B209" s="10" t="s">
        <v>18</v>
      </c>
    </row>
    <row r="210" spans="1:2" ht="12.75" outlineLevel="1">
      <c r="A210" s="6" t="s">
        <v>7</v>
      </c>
      <c r="B210" s="10" t="s">
        <v>14</v>
      </c>
    </row>
    <row r="211" spans="1:2" ht="12.75" outlineLevel="1">
      <c r="A211" s="6" t="s">
        <v>7</v>
      </c>
      <c r="B211" s="10" t="s">
        <v>19</v>
      </c>
    </row>
    <row r="212" spans="1:2" ht="12.75" outlineLevel="1">
      <c r="A212" s="11" t="s">
        <v>8</v>
      </c>
      <c r="B212" s="10" t="s">
        <v>11</v>
      </c>
    </row>
    <row r="213" spans="1:2" ht="12.75" outlineLevel="1">
      <c r="A213" s="6" t="s">
        <v>8</v>
      </c>
      <c r="B213" s="10" t="s">
        <v>12</v>
      </c>
    </row>
    <row r="214" spans="1:2" ht="13.5" outlineLevel="1" thickBot="1">
      <c r="A214" s="12" t="s">
        <v>8</v>
      </c>
      <c r="B214" s="13" t="s">
        <v>14</v>
      </c>
    </row>
    <row r="215" ht="12.75" outlineLevel="1"/>
    <row r="216" ht="12.75" outlineLevel="1"/>
    <row r="217" ht="12.75" outlineLevel="1"/>
    <row r="218" ht="12.75" outlineLevel="1"/>
    <row r="219" ht="12.75" outlineLevel="1">
      <c r="B219" s="14"/>
    </row>
    <row r="220" ht="12.75" outlineLevel="1"/>
    <row r="221" ht="12.75" outlineLevel="1"/>
    <row r="222" ht="12.75" outlineLevel="1"/>
    <row r="223" ht="12.75" outlineLevel="1"/>
    <row r="224" ht="12.75" outlineLevel="1">
      <c r="A224" t="s">
        <v>6</v>
      </c>
    </row>
    <row r="225" spans="1:2" ht="12.75" outlineLevel="1">
      <c r="A225" s="15" t="s">
        <v>36</v>
      </c>
      <c r="B225">
        <v>40.28</v>
      </c>
    </row>
    <row r="226" spans="1:2" ht="12.75" outlineLevel="1">
      <c r="A226" s="15" t="s">
        <v>37</v>
      </c>
      <c r="B226">
        <v>33.99</v>
      </c>
    </row>
    <row r="227" spans="1:2" ht="12.75" outlineLevel="1">
      <c r="A227" s="15" t="s">
        <v>33</v>
      </c>
      <c r="B227">
        <v>31.35</v>
      </c>
    </row>
    <row r="228" spans="1:2" ht="12.75" outlineLevel="1">
      <c r="A228" s="15" t="s">
        <v>16</v>
      </c>
      <c r="B228">
        <v>21.7</v>
      </c>
    </row>
    <row r="229" spans="1:2" ht="12.75" outlineLevel="1">
      <c r="A229" s="15" t="s">
        <v>38</v>
      </c>
      <c r="B229">
        <v>23.59</v>
      </c>
    </row>
    <row r="230" spans="1:2" ht="12.75" outlineLevel="1">
      <c r="A230" s="15" t="s">
        <v>14</v>
      </c>
      <c r="B230">
        <v>15.19</v>
      </c>
    </row>
    <row r="231" spans="1:2" ht="12.75" outlineLevel="1">
      <c r="A231" s="15" t="s">
        <v>39</v>
      </c>
      <c r="B231">
        <v>37.69</v>
      </c>
    </row>
    <row r="232" spans="1:2" ht="12.75" outlineLevel="1">
      <c r="A232" s="15" t="s">
        <v>40</v>
      </c>
      <c r="B232">
        <v>29.64</v>
      </c>
    </row>
    <row r="233" spans="1:2" ht="12.75" outlineLevel="1">
      <c r="A233" s="17" t="s">
        <v>18</v>
      </c>
      <c r="B233">
        <v>24</v>
      </c>
    </row>
    <row r="234" spans="1:2" ht="12.75" outlineLevel="1">
      <c r="A234" s="17" t="s">
        <v>19</v>
      </c>
      <c r="B234">
        <v>34.18</v>
      </c>
    </row>
    <row r="235" spans="1:2" ht="12.75" outlineLevel="1">
      <c r="A235" s="17" t="s">
        <v>15</v>
      </c>
      <c r="B235">
        <v>17.01</v>
      </c>
    </row>
    <row r="236" ht="12.75" outlineLevel="1"/>
    <row r="237" ht="13.5" outlineLevel="1" thickBot="1">
      <c r="A237" t="s">
        <v>5</v>
      </c>
    </row>
    <row r="238" spans="1:2" ht="12.75" outlineLevel="1">
      <c r="A238" s="7" t="s">
        <v>11</v>
      </c>
      <c r="B238" s="14">
        <v>29.36</v>
      </c>
    </row>
    <row r="239" spans="1:2" ht="12.75" outlineLevel="1">
      <c r="A239" s="8" t="s">
        <v>35</v>
      </c>
      <c r="B239" s="14">
        <v>24.74</v>
      </c>
    </row>
    <row r="240" spans="1:2" ht="12.75" outlineLevel="1">
      <c r="A240" s="8" t="s">
        <v>13</v>
      </c>
      <c r="B240" s="14">
        <v>17.98</v>
      </c>
    </row>
    <row r="241" spans="1:2" ht="12.75" outlineLevel="1">
      <c r="A241" s="8" t="s">
        <v>14</v>
      </c>
      <c r="B241" s="14">
        <v>14.79</v>
      </c>
    </row>
    <row r="242" spans="1:2" ht="12.75" outlineLevel="1">
      <c r="A242" s="8" t="s">
        <v>15</v>
      </c>
      <c r="B242" s="14">
        <v>20.13</v>
      </c>
    </row>
    <row r="243" ht="12.75" outlineLevel="1"/>
    <row r="244" ht="12.75" outlineLevel="1"/>
    <row r="245" ht="12.75" outlineLevel="1">
      <c r="A245" t="s">
        <v>43</v>
      </c>
    </row>
    <row r="246" ht="12.75" outlineLevel="1">
      <c r="A246" t="s">
        <v>25</v>
      </c>
    </row>
    <row r="247" ht="12.75" outlineLevel="1">
      <c r="A247" t="s">
        <v>44</v>
      </c>
    </row>
    <row r="248" ht="12.75" outlineLevel="1">
      <c r="A248" t="s">
        <v>26</v>
      </c>
    </row>
    <row r="249" ht="12.75" outlineLevel="1">
      <c r="A249" t="s">
        <v>31</v>
      </c>
    </row>
    <row r="250" ht="12.75" outlineLevel="1">
      <c r="A250" t="s">
        <v>45</v>
      </c>
    </row>
    <row r="251" ht="12.75" outlineLevel="1">
      <c r="A251" t="s">
        <v>46</v>
      </c>
    </row>
  </sheetData>
  <sheetProtection password="C7C2" sheet="1" objects="1" scenarios="1" selectLockedCells="1"/>
  <mergeCells count="35">
    <mergeCell ref="G30:H31"/>
    <mergeCell ref="H5:I5"/>
    <mergeCell ref="A45:B45"/>
    <mergeCell ref="A46:B46"/>
    <mergeCell ref="I44:J44"/>
    <mergeCell ref="A10:B10"/>
    <mergeCell ref="A11:B11"/>
    <mergeCell ref="A12:B12"/>
    <mergeCell ref="C12:D12"/>
    <mergeCell ref="C11:D11"/>
    <mergeCell ref="F25:G25"/>
    <mergeCell ref="B4:F4"/>
    <mergeCell ref="C8:D8"/>
    <mergeCell ref="C10:D10"/>
    <mergeCell ref="C9:D9"/>
    <mergeCell ref="D5:E5"/>
    <mergeCell ref="A44:B44"/>
    <mergeCell ref="E13:F13"/>
    <mergeCell ref="C13:D13"/>
    <mergeCell ref="D20:E20"/>
    <mergeCell ref="B16:E16"/>
    <mergeCell ref="F15:G15"/>
    <mergeCell ref="F16:H16"/>
    <mergeCell ref="D22:E22"/>
    <mergeCell ref="D24:E24"/>
    <mergeCell ref="D23:E23"/>
    <mergeCell ref="A1:L1"/>
    <mergeCell ref="A2:L2"/>
    <mergeCell ref="D21:E21"/>
    <mergeCell ref="B3:F3"/>
    <mergeCell ref="A5:B5"/>
    <mergeCell ref="A8:B8"/>
    <mergeCell ref="A9:B9"/>
    <mergeCell ref="H3:I3"/>
    <mergeCell ref="H4:I4"/>
  </mergeCells>
  <dataValidations count="6">
    <dataValidation type="list" allowBlank="1" showInputMessage="1" showErrorMessage="1" sqref="B22:B24">
      <formula1>"UI, IF, IF+, IFM, SR, CP, MS"</formula1>
    </dataValidation>
    <dataValidation type="list" allowBlank="1" showInputMessage="1" showErrorMessage="1" sqref="M2">
      <formula1>$B$318:$B$322</formula1>
    </dataValidation>
    <dataValidation type="list" allowBlank="1" showInputMessage="1" showErrorMessage="1" sqref="D5:E5">
      <formula1>$A$181:$A$184</formula1>
    </dataValidation>
    <dataValidation type="list" allowBlank="1" showInputMessage="1" showErrorMessage="1" sqref="A21:A24 B21">
      <formula1>$A$245:$A$251</formula1>
    </dataValidation>
    <dataValidation type="list" allowBlank="1" showInputMessage="1" showErrorMessage="1" sqref="A9:B12">
      <formula1>IF($D$5="McElmo",$B$187:$B$191,IF($D$5="Grand Valley",$B$192:$B$202,IF($D$5="Lower Gunnison",$B$203:$B$211,IF($D$5="Mancos",$B$212:$B$214))))</formula1>
    </dataValidation>
    <dataValidation type="list" allowBlank="1" showInputMessage="1" showErrorMessage="1" sqref="H5:I5">
      <formula1>"2002, 2003, 2004, 2005, 2006"</formula1>
    </dataValidation>
  </dataValidations>
  <printOptions/>
  <pageMargins left="0.4" right="0.08" top="1" bottom="0.76" header="0.5" footer="0.5"/>
  <pageSetup fitToHeight="1" fitToWidth="1" horizontalDpi="600" verticalDpi="600" orientation="portrait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74"/>
  <sheetViews>
    <sheetView workbookViewId="0" topLeftCell="A53">
      <selection activeCell="E14" sqref="E14:F14"/>
    </sheetView>
  </sheetViews>
  <sheetFormatPr defaultColWidth="9.140625" defaultRowHeight="12.75"/>
  <cols>
    <col min="1" max="1" width="14.140625" style="0" customWidth="1"/>
    <col min="2" max="3" width="11.28125" style="0" customWidth="1"/>
    <col min="5" max="5" width="11.57421875" style="0" customWidth="1"/>
  </cols>
  <sheetData>
    <row r="1" spans="1:15" ht="51">
      <c r="A1" s="114">
        <f>Salinity!D5</f>
        <v>0</v>
      </c>
      <c r="B1" s="115" t="s">
        <v>123</v>
      </c>
      <c r="C1" s="115" t="s">
        <v>142</v>
      </c>
      <c r="D1" s="115" t="s">
        <v>121</v>
      </c>
      <c r="E1" s="115" t="s">
        <v>124</v>
      </c>
      <c r="F1" s="115" t="s">
        <v>125</v>
      </c>
      <c r="G1" s="115" t="s">
        <v>126</v>
      </c>
      <c r="H1" s="115" t="s">
        <v>127</v>
      </c>
      <c r="I1" s="115" t="s">
        <v>128</v>
      </c>
      <c r="J1" s="115" t="s">
        <v>129</v>
      </c>
      <c r="K1" s="115" t="s">
        <v>130</v>
      </c>
      <c r="L1" s="115" t="s">
        <v>131</v>
      </c>
      <c r="M1" s="115" t="s">
        <v>132</v>
      </c>
      <c r="N1" s="115" t="s">
        <v>122</v>
      </c>
      <c r="O1" s="115" t="s">
        <v>143</v>
      </c>
    </row>
    <row r="2" spans="1:15" ht="12.75">
      <c r="A2" s="104" t="s">
        <v>133</v>
      </c>
      <c r="B2" s="116" t="e">
        <f>Salinity!I16</f>
        <v>#VALUE!</v>
      </c>
      <c r="C2" s="116" t="str">
        <f>Salinity!A21</f>
        <v>IF+</v>
      </c>
      <c r="D2" s="117">
        <f>LOOKUP(C2,Data!$A$12:$B$20)</f>
        <v>0.45</v>
      </c>
      <c r="E2" s="116" t="e">
        <f aca="true" t="shared" si="0" ref="E2:E9">B2/D2</f>
        <v>#VALUE!</v>
      </c>
      <c r="F2" s="116" t="e">
        <f aca="true" t="shared" si="1" ref="F2:F9">E2-B2</f>
        <v>#VALUE!</v>
      </c>
      <c r="G2" s="116" t="e">
        <f aca="true" t="shared" si="2" ref="G2:G9">0.5*F2</f>
        <v>#VALUE!</v>
      </c>
      <c r="H2" s="116" t="e">
        <f aca="true" t="shared" si="3" ref="H2:H9">G2</f>
        <v>#VALUE!</v>
      </c>
      <c r="I2" s="116" t="e">
        <f aca="true" t="shared" si="4" ref="I2:I9">0.5*H2</f>
        <v>#VALUE!</v>
      </c>
      <c r="J2" s="116" t="e">
        <f aca="true" t="shared" si="5" ref="J2:J9">0.5*H2</f>
        <v>#VALUE!</v>
      </c>
      <c r="K2" s="105" t="e">
        <f aca="true" t="shared" si="6" ref="K2:K9">J2/12</f>
        <v>#VALUE!</v>
      </c>
      <c r="L2" s="116" t="e">
        <f>VLOOKUP(A1,A24:B27,2)</f>
        <v>#N/A</v>
      </c>
      <c r="M2" s="118" t="e">
        <f aca="true" t="shared" si="7" ref="M2:M9">L2*K2</f>
        <v>#N/A</v>
      </c>
      <c r="N2" s="106"/>
      <c r="O2" s="104"/>
    </row>
    <row r="3" spans="1:15" ht="12.75">
      <c r="A3" s="104" t="s">
        <v>134</v>
      </c>
      <c r="B3" s="116" t="e">
        <f>$B$2</f>
        <v>#VALUE!</v>
      </c>
      <c r="C3" s="116" t="str">
        <f>Salinity!B21</f>
        <v>IFM</v>
      </c>
      <c r="D3" s="117">
        <f>LOOKUP(C3,Data!$A$12:$B$20)</f>
        <v>0.55</v>
      </c>
      <c r="E3" s="116" t="e">
        <f t="shared" si="0"/>
        <v>#VALUE!</v>
      </c>
      <c r="F3" s="116" t="e">
        <f t="shared" si="1"/>
        <v>#VALUE!</v>
      </c>
      <c r="G3" s="116" t="e">
        <f t="shared" si="2"/>
        <v>#VALUE!</v>
      </c>
      <c r="H3" s="116" t="e">
        <f t="shared" si="3"/>
        <v>#VALUE!</v>
      </c>
      <c r="I3" s="116" t="e">
        <f t="shared" si="4"/>
        <v>#VALUE!</v>
      </c>
      <c r="J3" s="116" t="e">
        <f t="shared" si="5"/>
        <v>#VALUE!</v>
      </c>
      <c r="K3" s="105" t="e">
        <f t="shared" si="6"/>
        <v>#VALUE!</v>
      </c>
      <c r="L3" s="116" t="e">
        <f>$L$2</f>
        <v>#N/A</v>
      </c>
      <c r="M3" s="118" t="e">
        <f t="shared" si="7"/>
        <v>#N/A</v>
      </c>
      <c r="N3" s="118" t="e">
        <f>M2-M3</f>
        <v>#N/A</v>
      </c>
      <c r="O3" s="119" t="e">
        <f>G2-G3</f>
        <v>#VALUE!</v>
      </c>
    </row>
    <row r="4" spans="1:15" ht="12.75">
      <c r="A4" s="104" t="s">
        <v>135</v>
      </c>
      <c r="B4" s="116" t="e">
        <f aca="true" t="shared" si="8" ref="B4:B9">$B$2</f>
        <v>#VALUE!</v>
      </c>
      <c r="C4" s="116">
        <f>Salinity!A22</f>
        <v>0</v>
      </c>
      <c r="D4" s="117">
        <f>LOOKUP(C4,Data!$A$12:$B$20)</f>
        <v>1</v>
      </c>
      <c r="E4" s="116" t="e">
        <f t="shared" si="0"/>
        <v>#VALUE!</v>
      </c>
      <c r="F4" s="116" t="e">
        <f t="shared" si="1"/>
        <v>#VALUE!</v>
      </c>
      <c r="G4" s="116" t="e">
        <f t="shared" si="2"/>
        <v>#VALUE!</v>
      </c>
      <c r="H4" s="116" t="e">
        <f t="shared" si="3"/>
        <v>#VALUE!</v>
      </c>
      <c r="I4" s="116" t="e">
        <f t="shared" si="4"/>
        <v>#VALUE!</v>
      </c>
      <c r="J4" s="116" t="e">
        <f t="shared" si="5"/>
        <v>#VALUE!</v>
      </c>
      <c r="K4" s="105" t="e">
        <f t="shared" si="6"/>
        <v>#VALUE!</v>
      </c>
      <c r="L4" s="116" t="e">
        <f aca="true" t="shared" si="9" ref="L4:L9">$L$2</f>
        <v>#N/A</v>
      </c>
      <c r="M4" s="118" t="e">
        <f t="shared" si="7"/>
        <v>#N/A</v>
      </c>
      <c r="N4" s="106"/>
      <c r="O4" s="104"/>
    </row>
    <row r="5" spans="1:15" ht="12.75">
      <c r="A5" s="104" t="s">
        <v>136</v>
      </c>
      <c r="B5" s="116" t="e">
        <f t="shared" si="8"/>
        <v>#VALUE!</v>
      </c>
      <c r="C5" s="116">
        <f>Salinity!B22</f>
        <v>0</v>
      </c>
      <c r="D5" s="117">
        <f>LOOKUP(C5,Data!$A$12:$B$20)</f>
        <v>1</v>
      </c>
      <c r="E5" s="116" t="e">
        <f t="shared" si="0"/>
        <v>#VALUE!</v>
      </c>
      <c r="F5" s="116" t="e">
        <f t="shared" si="1"/>
        <v>#VALUE!</v>
      </c>
      <c r="G5" s="116" t="e">
        <f t="shared" si="2"/>
        <v>#VALUE!</v>
      </c>
      <c r="H5" s="116" t="e">
        <f t="shared" si="3"/>
        <v>#VALUE!</v>
      </c>
      <c r="I5" s="116" t="e">
        <f t="shared" si="4"/>
        <v>#VALUE!</v>
      </c>
      <c r="J5" s="116" t="e">
        <f t="shared" si="5"/>
        <v>#VALUE!</v>
      </c>
      <c r="K5" s="105" t="e">
        <f t="shared" si="6"/>
        <v>#VALUE!</v>
      </c>
      <c r="L5" s="116" t="e">
        <f t="shared" si="9"/>
        <v>#N/A</v>
      </c>
      <c r="M5" s="118" t="e">
        <f t="shared" si="7"/>
        <v>#N/A</v>
      </c>
      <c r="N5" s="118" t="e">
        <f>M4-M5</f>
        <v>#N/A</v>
      </c>
      <c r="O5" s="119" t="e">
        <f>G4-G5</f>
        <v>#VALUE!</v>
      </c>
    </row>
    <row r="6" spans="1:15" ht="12.75">
      <c r="A6" s="104" t="s">
        <v>137</v>
      </c>
      <c r="B6" s="116" t="e">
        <f t="shared" si="8"/>
        <v>#VALUE!</v>
      </c>
      <c r="C6" s="116">
        <f>Salinity!A23</f>
        <v>0</v>
      </c>
      <c r="D6" s="117">
        <f>LOOKUP(C6,Data!$A$12:$B$20)</f>
        <v>1</v>
      </c>
      <c r="E6" s="116" t="e">
        <f t="shared" si="0"/>
        <v>#VALUE!</v>
      </c>
      <c r="F6" s="116" t="e">
        <f t="shared" si="1"/>
        <v>#VALUE!</v>
      </c>
      <c r="G6" s="116" t="e">
        <f t="shared" si="2"/>
        <v>#VALUE!</v>
      </c>
      <c r="H6" s="116" t="e">
        <f t="shared" si="3"/>
        <v>#VALUE!</v>
      </c>
      <c r="I6" s="116" t="e">
        <f t="shared" si="4"/>
        <v>#VALUE!</v>
      </c>
      <c r="J6" s="116" t="e">
        <f t="shared" si="5"/>
        <v>#VALUE!</v>
      </c>
      <c r="K6" s="105" t="e">
        <f t="shared" si="6"/>
        <v>#VALUE!</v>
      </c>
      <c r="L6" s="116" t="e">
        <f t="shared" si="9"/>
        <v>#N/A</v>
      </c>
      <c r="M6" s="118" t="e">
        <f t="shared" si="7"/>
        <v>#N/A</v>
      </c>
      <c r="N6" s="106"/>
      <c r="O6" s="104"/>
    </row>
    <row r="7" spans="1:15" ht="12.75">
      <c r="A7" s="104" t="s">
        <v>138</v>
      </c>
      <c r="B7" s="116" t="e">
        <f t="shared" si="8"/>
        <v>#VALUE!</v>
      </c>
      <c r="C7" s="116">
        <f>Salinity!B23</f>
        <v>0</v>
      </c>
      <c r="D7" s="117">
        <f>LOOKUP(C7,Data!$A$12:$B$20)</f>
        <v>1</v>
      </c>
      <c r="E7" s="116" t="e">
        <f t="shared" si="0"/>
        <v>#VALUE!</v>
      </c>
      <c r="F7" s="116" t="e">
        <f t="shared" si="1"/>
        <v>#VALUE!</v>
      </c>
      <c r="G7" s="116" t="e">
        <f t="shared" si="2"/>
        <v>#VALUE!</v>
      </c>
      <c r="H7" s="116" t="e">
        <f t="shared" si="3"/>
        <v>#VALUE!</v>
      </c>
      <c r="I7" s="116" t="e">
        <f t="shared" si="4"/>
        <v>#VALUE!</v>
      </c>
      <c r="J7" s="116" t="e">
        <f t="shared" si="5"/>
        <v>#VALUE!</v>
      </c>
      <c r="K7" s="105" t="e">
        <f t="shared" si="6"/>
        <v>#VALUE!</v>
      </c>
      <c r="L7" s="116" t="e">
        <f t="shared" si="9"/>
        <v>#N/A</v>
      </c>
      <c r="M7" s="118" t="e">
        <f t="shared" si="7"/>
        <v>#N/A</v>
      </c>
      <c r="N7" s="118" t="e">
        <f>M6-M7</f>
        <v>#N/A</v>
      </c>
      <c r="O7" s="119" t="e">
        <f>G6-G7</f>
        <v>#VALUE!</v>
      </c>
    </row>
    <row r="8" spans="1:15" ht="12.75">
      <c r="A8" s="104" t="s">
        <v>139</v>
      </c>
      <c r="B8" s="116" t="e">
        <f t="shared" si="8"/>
        <v>#VALUE!</v>
      </c>
      <c r="C8" s="116">
        <f>Salinity!A24</f>
        <v>0</v>
      </c>
      <c r="D8" s="117">
        <f>LOOKUP(C8,Data!$A$12:$B$20)</f>
        <v>1</v>
      </c>
      <c r="E8" s="116" t="e">
        <f t="shared" si="0"/>
        <v>#VALUE!</v>
      </c>
      <c r="F8" s="116" t="e">
        <f t="shared" si="1"/>
        <v>#VALUE!</v>
      </c>
      <c r="G8" s="116" t="e">
        <f t="shared" si="2"/>
        <v>#VALUE!</v>
      </c>
      <c r="H8" s="116" t="e">
        <f t="shared" si="3"/>
        <v>#VALUE!</v>
      </c>
      <c r="I8" s="116" t="e">
        <f t="shared" si="4"/>
        <v>#VALUE!</v>
      </c>
      <c r="J8" s="116" t="e">
        <f t="shared" si="5"/>
        <v>#VALUE!</v>
      </c>
      <c r="K8" s="105" t="e">
        <f t="shared" si="6"/>
        <v>#VALUE!</v>
      </c>
      <c r="L8" s="116" t="e">
        <f t="shared" si="9"/>
        <v>#N/A</v>
      </c>
      <c r="M8" s="118" t="e">
        <f t="shared" si="7"/>
        <v>#N/A</v>
      </c>
      <c r="N8" s="106"/>
      <c r="O8" s="104"/>
    </row>
    <row r="9" spans="1:15" ht="12.75">
      <c r="A9" s="104" t="s">
        <v>140</v>
      </c>
      <c r="B9" s="116" t="e">
        <f t="shared" si="8"/>
        <v>#VALUE!</v>
      </c>
      <c r="C9" s="116">
        <f>Salinity!B24</f>
        <v>0</v>
      </c>
      <c r="D9" s="117">
        <f>LOOKUP(C9,Data!$A$12:$B$20)</f>
        <v>1</v>
      </c>
      <c r="E9" s="116" t="e">
        <f t="shared" si="0"/>
        <v>#VALUE!</v>
      </c>
      <c r="F9" s="116" t="e">
        <f t="shared" si="1"/>
        <v>#VALUE!</v>
      </c>
      <c r="G9" s="116" t="e">
        <f t="shared" si="2"/>
        <v>#VALUE!</v>
      </c>
      <c r="H9" s="116" t="e">
        <f t="shared" si="3"/>
        <v>#VALUE!</v>
      </c>
      <c r="I9" s="116" t="e">
        <f t="shared" si="4"/>
        <v>#VALUE!</v>
      </c>
      <c r="J9" s="116" t="e">
        <f t="shared" si="5"/>
        <v>#VALUE!</v>
      </c>
      <c r="K9" s="105" t="e">
        <f t="shared" si="6"/>
        <v>#VALUE!</v>
      </c>
      <c r="L9" s="116" t="e">
        <f t="shared" si="9"/>
        <v>#N/A</v>
      </c>
      <c r="M9" s="118" t="e">
        <f t="shared" si="7"/>
        <v>#N/A</v>
      </c>
      <c r="N9" s="118" t="e">
        <f>M8-M9</f>
        <v>#N/A</v>
      </c>
      <c r="O9" s="119" t="e">
        <f>G8-G9</f>
        <v>#VALUE!</v>
      </c>
    </row>
    <row r="11" ht="13.5" thickBot="1"/>
    <row r="12" spans="1:7" ht="12.75">
      <c r="A12" s="281" t="s">
        <v>141</v>
      </c>
      <c r="B12" s="281"/>
      <c r="C12" s="102"/>
      <c r="E12" s="51" t="s">
        <v>96</v>
      </c>
      <c r="F12" s="52"/>
      <c r="G12" s="53"/>
    </row>
    <row r="13" spans="1:7" ht="13.5" thickBot="1">
      <c r="A13" s="102">
        <v>0</v>
      </c>
      <c r="B13" s="103">
        <v>1</v>
      </c>
      <c r="C13" s="102"/>
      <c r="E13" s="11" t="s">
        <v>97</v>
      </c>
      <c r="F13" s="18"/>
      <c r="G13" s="54"/>
    </row>
    <row r="14" spans="1:8" ht="12.75">
      <c r="A14" s="102" t="s">
        <v>45</v>
      </c>
      <c r="B14" s="102">
        <v>0.75</v>
      </c>
      <c r="C14" s="102"/>
      <c r="D14" s="162">
        <v>1</v>
      </c>
      <c r="E14" s="282" t="s">
        <v>98</v>
      </c>
      <c r="F14" s="283"/>
      <c r="G14" s="157">
        <v>0.6</v>
      </c>
      <c r="H14" s="162"/>
    </row>
    <row r="15" spans="1:8" ht="12.75">
      <c r="A15" s="102" t="s">
        <v>25</v>
      </c>
      <c r="B15" s="102">
        <v>0.35</v>
      </c>
      <c r="C15" s="102"/>
      <c r="D15" s="162">
        <v>2</v>
      </c>
      <c r="E15" s="284" t="s">
        <v>99</v>
      </c>
      <c r="F15" s="231"/>
      <c r="G15" s="158">
        <v>0.5</v>
      </c>
      <c r="H15" s="162"/>
    </row>
    <row r="16" spans="1:8" ht="12.75">
      <c r="A16" s="102" t="s">
        <v>44</v>
      </c>
      <c r="B16" s="102">
        <v>0.45</v>
      </c>
      <c r="C16" s="102"/>
      <c r="D16" s="162">
        <v>3</v>
      </c>
      <c r="E16" s="284" t="s">
        <v>100</v>
      </c>
      <c r="F16" s="231"/>
      <c r="G16" s="158">
        <v>0.4</v>
      </c>
      <c r="H16" s="162"/>
    </row>
    <row r="17" spans="1:8" ht="12.75">
      <c r="A17" s="102" t="s">
        <v>26</v>
      </c>
      <c r="B17" s="102">
        <v>0.55</v>
      </c>
      <c r="C17" s="102"/>
      <c r="D17" s="162">
        <v>4</v>
      </c>
      <c r="E17" s="284" t="s">
        <v>101</v>
      </c>
      <c r="F17" s="231"/>
      <c r="G17" s="158">
        <v>0.3</v>
      </c>
      <c r="H17" s="162"/>
    </row>
    <row r="18" spans="1:8" ht="12.75">
      <c r="A18" s="102" t="s">
        <v>46</v>
      </c>
      <c r="B18" s="102">
        <v>0.85</v>
      </c>
      <c r="C18" s="102"/>
      <c r="D18" s="162">
        <v>5</v>
      </c>
      <c r="E18" s="284" t="s">
        <v>102</v>
      </c>
      <c r="F18" s="231"/>
      <c r="G18" s="158">
        <v>0.2</v>
      </c>
      <c r="H18" s="162"/>
    </row>
    <row r="19" spans="1:8" ht="12.75">
      <c r="A19" s="102" t="s">
        <v>31</v>
      </c>
      <c r="B19" s="102">
        <v>0.65</v>
      </c>
      <c r="C19" s="102"/>
      <c r="D19" s="162">
        <v>6</v>
      </c>
      <c r="E19" s="284" t="s">
        <v>103</v>
      </c>
      <c r="F19" s="231"/>
      <c r="G19" s="158">
        <v>0.1</v>
      </c>
      <c r="H19" s="162"/>
    </row>
    <row r="20" spans="1:8" ht="12.75">
      <c r="A20" s="102" t="s">
        <v>43</v>
      </c>
      <c r="B20" s="102">
        <v>0.25</v>
      </c>
      <c r="C20" s="102"/>
      <c r="D20" s="162">
        <v>7</v>
      </c>
      <c r="E20" s="285" t="s">
        <v>161</v>
      </c>
      <c r="F20" s="231"/>
      <c r="G20" s="158">
        <v>0</v>
      </c>
      <c r="H20" s="162"/>
    </row>
    <row r="21" spans="4:8" ht="13.5" thickBot="1">
      <c r="D21" s="162"/>
      <c r="E21" s="159" t="s">
        <v>104</v>
      </c>
      <c r="F21" s="160"/>
      <c r="G21" s="161"/>
      <c r="H21" s="162"/>
    </row>
    <row r="23" spans="1:12" ht="38.25">
      <c r="A23" s="110" t="s">
        <v>144</v>
      </c>
      <c r="B23" s="111" t="s">
        <v>145</v>
      </c>
      <c r="C23" s="112" t="s">
        <v>146</v>
      </c>
      <c r="D23" s="111" t="s">
        <v>147</v>
      </c>
      <c r="E23" s="108"/>
      <c r="H23" s="108"/>
      <c r="I23" s="108"/>
      <c r="J23" s="108"/>
      <c r="K23" s="108"/>
      <c r="L23" s="108"/>
    </row>
    <row r="24" spans="1:4" ht="12.75">
      <c r="A24" t="s">
        <v>6</v>
      </c>
      <c r="B24" s="102">
        <v>4.1</v>
      </c>
      <c r="C24" s="102">
        <v>1</v>
      </c>
      <c r="D24" s="103">
        <v>4.59</v>
      </c>
    </row>
    <row r="25" spans="1:4" ht="12.75">
      <c r="A25" t="s">
        <v>7</v>
      </c>
      <c r="B25" s="102">
        <v>3.2</v>
      </c>
      <c r="C25" s="102">
        <v>1</v>
      </c>
      <c r="D25" s="103">
        <v>4.07</v>
      </c>
    </row>
    <row r="26" spans="1:4" ht="12.75">
      <c r="A26" t="s">
        <v>8</v>
      </c>
      <c r="B26" s="102">
        <v>2.9</v>
      </c>
      <c r="C26" s="102">
        <v>0.5</v>
      </c>
      <c r="D26" s="103">
        <v>8.34</v>
      </c>
    </row>
    <row r="27" spans="1:4" ht="12.75">
      <c r="A27" t="s">
        <v>5</v>
      </c>
      <c r="B27" s="102">
        <v>4.2</v>
      </c>
      <c r="C27" s="102">
        <v>1</v>
      </c>
      <c r="D27" s="109">
        <v>5.09</v>
      </c>
    </row>
    <row r="36" ht="12.75">
      <c r="A36" s="1"/>
    </row>
    <row r="37" spans="1:5" ht="12.75">
      <c r="A37" s="107" t="s">
        <v>157</v>
      </c>
      <c r="B37" s="107"/>
      <c r="C37" s="107"/>
      <c r="D37" s="107"/>
      <c r="E37" s="107"/>
    </row>
    <row r="38" spans="2:5" ht="25.5">
      <c r="B38" s="111" t="s">
        <v>6</v>
      </c>
      <c r="C38" s="111" t="s">
        <v>7</v>
      </c>
      <c r="D38" s="111" t="s">
        <v>8</v>
      </c>
      <c r="E38" s="111" t="s">
        <v>5</v>
      </c>
    </row>
    <row r="39" spans="1:5" ht="12.75">
      <c r="A39" t="s">
        <v>27</v>
      </c>
      <c r="B39" s="102"/>
      <c r="C39" s="109">
        <v>35.33</v>
      </c>
      <c r="D39" s="109">
        <v>27.49</v>
      </c>
      <c r="E39" s="102">
        <v>29.36</v>
      </c>
    </row>
    <row r="40" spans="1:5" ht="12.75">
      <c r="A40" s="21" t="s">
        <v>148</v>
      </c>
      <c r="B40" s="113">
        <v>40.28</v>
      </c>
      <c r="C40" s="102"/>
      <c r="D40" s="102"/>
      <c r="E40" s="102"/>
    </row>
    <row r="41" spans="1:5" ht="12.75">
      <c r="A41" s="21" t="s">
        <v>149</v>
      </c>
      <c r="B41" s="113">
        <v>33.99</v>
      </c>
      <c r="C41" s="102"/>
      <c r="D41" s="102"/>
      <c r="E41" s="102"/>
    </row>
    <row r="42" spans="1:5" ht="12.75">
      <c r="A42" s="21" t="s">
        <v>150</v>
      </c>
      <c r="B42" s="113">
        <v>21.7</v>
      </c>
      <c r="C42" s="102"/>
      <c r="D42" s="102"/>
      <c r="E42" s="102"/>
    </row>
    <row r="43" spans="1:5" ht="12.75">
      <c r="A43" s="17" t="s">
        <v>151</v>
      </c>
      <c r="B43" s="102"/>
      <c r="C43" s="109">
        <v>25.88</v>
      </c>
      <c r="D43" s="102"/>
      <c r="E43" s="102"/>
    </row>
    <row r="44" spans="1:5" ht="12.75">
      <c r="A44" t="s">
        <v>28</v>
      </c>
      <c r="B44" s="113">
        <v>23.59</v>
      </c>
      <c r="C44" s="109">
        <v>24.96</v>
      </c>
      <c r="D44" s="102"/>
      <c r="E44" s="102">
        <v>17.98</v>
      </c>
    </row>
    <row r="45" spans="1:5" ht="12.75">
      <c r="A45" t="s">
        <v>29</v>
      </c>
      <c r="B45" s="113">
        <v>15.19</v>
      </c>
      <c r="C45" s="109">
        <v>18.14</v>
      </c>
      <c r="D45" s="109">
        <v>16.06</v>
      </c>
      <c r="E45" s="102">
        <v>14.79</v>
      </c>
    </row>
    <row r="46" spans="1:5" ht="12.75">
      <c r="A46" s="21" t="s">
        <v>152</v>
      </c>
      <c r="B46" s="113">
        <v>37.69</v>
      </c>
      <c r="C46" s="109">
        <v>32.43</v>
      </c>
      <c r="D46" s="102"/>
      <c r="E46" s="102"/>
    </row>
    <row r="47" spans="1:5" ht="12.75">
      <c r="A47" s="21" t="s">
        <v>153</v>
      </c>
      <c r="B47" s="113">
        <v>29.64</v>
      </c>
      <c r="C47" s="109">
        <v>23.66</v>
      </c>
      <c r="D47" s="102"/>
      <c r="E47" s="102"/>
    </row>
    <row r="48" spans="1:5" ht="12.75">
      <c r="A48" s="20" t="s">
        <v>154</v>
      </c>
      <c r="B48" s="113">
        <v>31.35</v>
      </c>
      <c r="C48" s="109">
        <v>30.82</v>
      </c>
      <c r="D48" s="109">
        <v>23.17</v>
      </c>
      <c r="E48" s="102">
        <v>24.74</v>
      </c>
    </row>
    <row r="49" spans="1:5" ht="12.75">
      <c r="A49" s="22" t="s">
        <v>155</v>
      </c>
      <c r="B49" s="113">
        <v>34.18</v>
      </c>
      <c r="C49" s="109">
        <v>31.05</v>
      </c>
      <c r="D49" s="102"/>
      <c r="E49" s="102"/>
    </row>
    <row r="50" spans="1:5" ht="12.75">
      <c r="A50" s="22" t="s">
        <v>156</v>
      </c>
      <c r="B50" s="113">
        <v>24</v>
      </c>
      <c r="C50" s="109">
        <v>21.64</v>
      </c>
      <c r="D50" s="102"/>
      <c r="E50" s="102"/>
    </row>
    <row r="51" spans="1:5" ht="12.75">
      <c r="A51" t="s">
        <v>30</v>
      </c>
      <c r="B51" s="113">
        <v>17.01</v>
      </c>
      <c r="C51" s="102"/>
      <c r="D51" s="102"/>
      <c r="E51" s="102">
        <v>20.13</v>
      </c>
    </row>
    <row r="54" spans="2:5" ht="12.75">
      <c r="B54" s="107" t="s">
        <v>158</v>
      </c>
      <c r="C54" s="107"/>
      <c r="D54" s="107"/>
      <c r="E54" s="107"/>
    </row>
    <row r="55" spans="2:5" ht="12.75">
      <c r="B55" s="21" t="s">
        <v>148</v>
      </c>
      <c r="C55" t="s">
        <v>27</v>
      </c>
      <c r="D55" t="s">
        <v>27</v>
      </c>
      <c r="E55" t="s">
        <v>27</v>
      </c>
    </row>
    <row r="56" spans="2:5" ht="12.75">
      <c r="B56" s="21" t="s">
        <v>149</v>
      </c>
      <c r="C56" s="17" t="s">
        <v>151</v>
      </c>
      <c r="D56" t="s">
        <v>29</v>
      </c>
      <c r="E56" t="s">
        <v>28</v>
      </c>
    </row>
    <row r="57" spans="2:5" ht="12.75">
      <c r="B57" s="21" t="s">
        <v>150</v>
      </c>
      <c r="C57" t="s">
        <v>28</v>
      </c>
      <c r="D57" s="20" t="s">
        <v>154</v>
      </c>
      <c r="E57" t="s">
        <v>29</v>
      </c>
    </row>
    <row r="58" spans="2:5" ht="12.75">
      <c r="B58" t="s">
        <v>28</v>
      </c>
      <c r="C58" t="s">
        <v>29</v>
      </c>
      <c r="E58" s="20" t="s">
        <v>154</v>
      </c>
    </row>
    <row r="59" spans="2:5" ht="12.75">
      <c r="B59" t="s">
        <v>29</v>
      </c>
      <c r="C59" s="21" t="s">
        <v>152</v>
      </c>
      <c r="E59" t="s">
        <v>30</v>
      </c>
    </row>
    <row r="60" spans="2:3" ht="12.75">
      <c r="B60" s="21" t="s">
        <v>152</v>
      </c>
      <c r="C60" s="21" t="s">
        <v>153</v>
      </c>
    </row>
    <row r="61" spans="2:3" ht="12.75">
      <c r="B61" s="21" t="s">
        <v>153</v>
      </c>
      <c r="C61" s="20" t="s">
        <v>154</v>
      </c>
    </row>
    <row r="62" spans="2:3" ht="12.75">
      <c r="B62" s="20" t="s">
        <v>154</v>
      </c>
      <c r="C62" s="22" t="s">
        <v>155</v>
      </c>
    </row>
    <row r="63" spans="2:3" ht="12.75">
      <c r="B63" s="22" t="s">
        <v>155</v>
      </c>
      <c r="C63" s="22" t="s">
        <v>156</v>
      </c>
    </row>
    <row r="64" ht="12.75">
      <c r="B64" s="22" t="s">
        <v>156</v>
      </c>
    </row>
    <row r="65" ht="12.75">
      <c r="B65" t="s">
        <v>30</v>
      </c>
    </row>
    <row r="69" spans="1:2" ht="12.75">
      <c r="A69" s="102" t="s">
        <v>167</v>
      </c>
      <c r="B69" s="102" t="s">
        <v>168</v>
      </c>
    </row>
    <row r="70" spans="1:2" ht="12.75">
      <c r="A70">
        <v>2002</v>
      </c>
      <c r="B70">
        <v>0.07916</v>
      </c>
    </row>
    <row r="71" spans="1:2" ht="12.75">
      <c r="A71">
        <v>2003</v>
      </c>
      <c r="B71">
        <v>0.0773</v>
      </c>
    </row>
    <row r="72" spans="1:2" ht="12.75">
      <c r="A72">
        <v>2004</v>
      </c>
      <c r="B72">
        <v>0.07546</v>
      </c>
    </row>
    <row r="73" spans="1:2" ht="12.75">
      <c r="A73">
        <v>2005</v>
      </c>
      <c r="B73">
        <v>0</v>
      </c>
    </row>
    <row r="74" spans="1:2" ht="12.75">
      <c r="A74">
        <v>2006</v>
      </c>
      <c r="B74">
        <v>0</v>
      </c>
    </row>
  </sheetData>
  <sheetProtection password="C7C2" sheet="1" objects="1" scenarios="1" selectLockedCells="1"/>
  <mergeCells count="8">
    <mergeCell ref="E17:F17"/>
    <mergeCell ref="E18:F18"/>
    <mergeCell ref="E19:F19"/>
    <mergeCell ref="E20:F20"/>
    <mergeCell ref="A12:B12"/>
    <mergeCell ref="E14:F14"/>
    <mergeCell ref="E15:F15"/>
    <mergeCell ref="E16:F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58"/>
  <sheetViews>
    <sheetView workbookViewId="0" topLeftCell="A1">
      <selection activeCell="B1" sqref="A1:Q586"/>
    </sheetView>
  </sheetViews>
  <sheetFormatPr defaultColWidth="9.140625" defaultRowHeight="12.75"/>
  <cols>
    <col min="1" max="1" width="14.421875" style="0" bestFit="1" customWidth="1"/>
    <col min="2" max="2" width="16.57421875" style="0" bestFit="1" customWidth="1"/>
    <col min="4" max="4" width="9.421875" style="0" customWidth="1"/>
    <col min="5" max="5" width="14.8515625" style="0" customWidth="1"/>
    <col min="6" max="6" width="17.00390625" style="0" customWidth="1"/>
    <col min="7" max="7" width="13.57421875" style="0" customWidth="1"/>
    <col min="8" max="8" width="15.7109375" style="0" customWidth="1"/>
    <col min="9" max="9" width="14.28125" style="0" customWidth="1"/>
  </cols>
  <sheetData>
    <row r="1" spans="1:6" ht="13.5" thickBot="1">
      <c r="A1" t="s">
        <v>5</v>
      </c>
      <c r="E1" s="46" t="s">
        <v>114</v>
      </c>
      <c r="F1" s="34" t="s">
        <v>115</v>
      </c>
    </row>
    <row r="2" spans="1:6" ht="12.75">
      <c r="A2" t="s">
        <v>6</v>
      </c>
      <c r="E2" s="47">
        <f aca="true" t="shared" si="0" ref="E2:E7">VLOOKUP(F2,$D$11:$G$17,4)</f>
        <v>0.4</v>
      </c>
      <c r="F2" s="39">
        <v>3</v>
      </c>
    </row>
    <row r="3" spans="1:6" ht="12.75">
      <c r="A3" t="s">
        <v>7</v>
      </c>
      <c r="E3" s="47">
        <f t="shared" si="0"/>
        <v>0</v>
      </c>
      <c r="F3" s="39">
        <v>7</v>
      </c>
    </row>
    <row r="4" spans="1:6" ht="12.75">
      <c r="A4" t="s">
        <v>8</v>
      </c>
      <c r="E4" s="47">
        <f t="shared" si="0"/>
        <v>0.4</v>
      </c>
      <c r="F4" s="39">
        <v>3</v>
      </c>
    </row>
    <row r="5" spans="5:6" ht="12.75">
      <c r="E5" s="47">
        <f t="shared" si="0"/>
        <v>0.3</v>
      </c>
      <c r="F5" s="39">
        <v>4</v>
      </c>
    </row>
    <row r="6" spans="5:6" ht="12.75">
      <c r="E6" s="47">
        <f t="shared" si="0"/>
        <v>0.5</v>
      </c>
      <c r="F6" s="39">
        <v>2</v>
      </c>
    </row>
    <row r="7" spans="1:6" ht="13.5" thickBot="1">
      <c r="A7" s="1" t="s">
        <v>5</v>
      </c>
      <c r="B7" s="15" t="s">
        <v>11</v>
      </c>
      <c r="E7" s="47">
        <f t="shared" si="0"/>
        <v>0</v>
      </c>
      <c r="F7" s="48">
        <v>7</v>
      </c>
    </row>
    <row r="8" spans="1:9" ht="13.5" thickBot="1">
      <c r="A8" s="1" t="s">
        <v>5</v>
      </c>
      <c r="B8" s="15" t="s">
        <v>35</v>
      </c>
      <c r="H8" s="1"/>
      <c r="I8" s="1"/>
    </row>
    <row r="9" spans="1:7" ht="12.75">
      <c r="A9" s="1" t="s">
        <v>5</v>
      </c>
      <c r="B9" s="15" t="s">
        <v>13</v>
      </c>
      <c r="E9" s="51" t="s">
        <v>96</v>
      </c>
      <c r="F9" s="52"/>
      <c r="G9" s="53"/>
    </row>
    <row r="10" spans="1:7" ht="13.5" thickBot="1">
      <c r="A10" s="1" t="s">
        <v>5</v>
      </c>
      <c r="B10" s="15" t="s">
        <v>14</v>
      </c>
      <c r="E10" s="11" t="s">
        <v>97</v>
      </c>
      <c r="F10" s="18"/>
      <c r="G10" s="54"/>
    </row>
    <row r="11" spans="1:7" ht="12.75">
      <c r="A11" s="1" t="s">
        <v>5</v>
      </c>
      <c r="B11" s="15" t="s">
        <v>15</v>
      </c>
      <c r="D11">
        <v>1</v>
      </c>
      <c r="E11" s="288" t="s">
        <v>98</v>
      </c>
      <c r="F11" s="289"/>
      <c r="G11" s="55">
        <v>0.6</v>
      </c>
    </row>
    <row r="12" spans="1:7" ht="12.75">
      <c r="A12" s="16" t="s">
        <v>6</v>
      </c>
      <c r="B12" s="15" t="s">
        <v>36</v>
      </c>
      <c r="D12">
        <v>2</v>
      </c>
      <c r="E12" s="290" t="s">
        <v>99</v>
      </c>
      <c r="F12" s="291"/>
      <c r="G12" s="56">
        <v>0.5</v>
      </c>
    </row>
    <row r="13" spans="1:7" ht="12.75">
      <c r="A13" s="16" t="s">
        <v>6</v>
      </c>
      <c r="B13" s="15" t="s">
        <v>37</v>
      </c>
      <c r="D13">
        <v>3</v>
      </c>
      <c r="E13" s="290" t="s">
        <v>100</v>
      </c>
      <c r="F13" s="291"/>
      <c r="G13" s="56">
        <v>0.4</v>
      </c>
    </row>
    <row r="14" spans="1:7" ht="12.75">
      <c r="A14" s="1" t="s">
        <v>6</v>
      </c>
      <c r="B14" s="15" t="s">
        <v>32</v>
      </c>
      <c r="D14">
        <v>4</v>
      </c>
      <c r="E14" s="290" t="s">
        <v>101</v>
      </c>
      <c r="F14" s="291"/>
      <c r="G14" s="56">
        <v>0.3</v>
      </c>
    </row>
    <row r="15" spans="1:7" ht="12.75">
      <c r="A15" s="16" t="s">
        <v>6</v>
      </c>
      <c r="B15" s="15" t="s">
        <v>16</v>
      </c>
      <c r="D15">
        <v>5</v>
      </c>
      <c r="E15" s="290" t="s">
        <v>102</v>
      </c>
      <c r="F15" s="291"/>
      <c r="G15" s="56">
        <v>0.2</v>
      </c>
    </row>
    <row r="16" spans="1:7" ht="12.75">
      <c r="A16" s="1" t="s">
        <v>6</v>
      </c>
      <c r="B16" s="15" t="s">
        <v>38</v>
      </c>
      <c r="D16">
        <v>6</v>
      </c>
      <c r="E16" s="290" t="s">
        <v>103</v>
      </c>
      <c r="F16" s="291"/>
      <c r="G16" s="56">
        <v>0.1</v>
      </c>
    </row>
    <row r="17" spans="1:7" ht="12.75">
      <c r="A17" s="1" t="s">
        <v>6</v>
      </c>
      <c r="B17" s="15" t="s">
        <v>14</v>
      </c>
      <c r="D17">
        <v>7</v>
      </c>
      <c r="E17" s="292" t="s">
        <v>161</v>
      </c>
      <c r="F17" s="291"/>
      <c r="G17" s="56">
        <v>0</v>
      </c>
    </row>
    <row r="18" spans="1:7" ht="13.5" thickBot="1">
      <c r="A18" s="1" t="s">
        <v>6</v>
      </c>
      <c r="B18" s="15" t="s">
        <v>39</v>
      </c>
      <c r="E18" s="57" t="s">
        <v>104</v>
      </c>
      <c r="F18" s="31"/>
      <c r="G18" s="101"/>
    </row>
    <row r="19" spans="1:2" ht="12.75">
      <c r="A19" s="1" t="s">
        <v>6</v>
      </c>
      <c r="B19" s="15" t="s">
        <v>40</v>
      </c>
    </row>
    <row r="20" spans="1:2" ht="12.75">
      <c r="A20" s="1" t="s">
        <v>6</v>
      </c>
      <c r="B20" s="17" t="s">
        <v>18</v>
      </c>
    </row>
    <row r="21" spans="1:2" ht="12.75">
      <c r="A21" s="1" t="s">
        <v>6</v>
      </c>
      <c r="B21" s="17" t="s">
        <v>19</v>
      </c>
    </row>
    <row r="22" spans="1:2" ht="12.75">
      <c r="A22" s="1" t="s">
        <v>6</v>
      </c>
      <c r="B22" s="17" t="s">
        <v>15</v>
      </c>
    </row>
    <row r="23" spans="1:2" ht="12.75">
      <c r="A23" s="16" t="s">
        <v>7</v>
      </c>
      <c r="B23" s="17" t="s">
        <v>11</v>
      </c>
    </row>
    <row r="24" spans="1:2" ht="12.75">
      <c r="A24" s="1" t="s">
        <v>7</v>
      </c>
      <c r="B24" s="17" t="s">
        <v>12</v>
      </c>
    </row>
    <row r="25" spans="1:2" ht="12.75">
      <c r="A25" s="1" t="s">
        <v>7</v>
      </c>
      <c r="B25" s="17" t="s">
        <v>17</v>
      </c>
    </row>
    <row r="26" spans="1:2" ht="12.75">
      <c r="A26" s="1" t="s">
        <v>7</v>
      </c>
      <c r="B26" s="17" t="s">
        <v>13</v>
      </c>
    </row>
    <row r="27" spans="1:2" ht="12.75">
      <c r="A27" s="1" t="s">
        <v>7</v>
      </c>
      <c r="B27" s="17" t="s">
        <v>20</v>
      </c>
    </row>
    <row r="28" spans="1:2" ht="12.75">
      <c r="A28" s="1" t="s">
        <v>7</v>
      </c>
      <c r="B28" s="17" t="s">
        <v>21</v>
      </c>
    </row>
    <row r="29" spans="1:2" ht="12.75">
      <c r="A29" s="1" t="s">
        <v>7</v>
      </c>
      <c r="B29" s="17" t="s">
        <v>18</v>
      </c>
    </row>
    <row r="30" spans="1:2" ht="12.75">
      <c r="A30" s="1" t="s">
        <v>7</v>
      </c>
      <c r="B30" s="17" t="s">
        <v>14</v>
      </c>
    </row>
    <row r="31" spans="1:2" ht="12.75">
      <c r="A31" s="1" t="s">
        <v>7</v>
      </c>
      <c r="B31" s="17" t="s">
        <v>19</v>
      </c>
    </row>
    <row r="32" spans="1:2" ht="12.75">
      <c r="A32" s="16" t="s">
        <v>8</v>
      </c>
      <c r="B32" s="17" t="s">
        <v>11</v>
      </c>
    </row>
    <row r="33" spans="1:2" ht="12.75">
      <c r="A33" s="1" t="s">
        <v>8</v>
      </c>
      <c r="B33" s="17" t="s">
        <v>12</v>
      </c>
    </row>
    <row r="34" spans="1:2" ht="12.75">
      <c r="A34" s="1" t="s">
        <v>8</v>
      </c>
      <c r="B34" s="17" t="s">
        <v>14</v>
      </c>
    </row>
    <row r="36" ht="12.75">
      <c r="A36" s="49" t="s">
        <v>113</v>
      </c>
    </row>
    <row r="37" ht="12.75">
      <c r="A37" t="s">
        <v>5</v>
      </c>
    </row>
    <row r="38" spans="1:2" ht="12.75">
      <c r="A38" t="s">
        <v>27</v>
      </c>
      <c r="B38">
        <v>29.36</v>
      </c>
    </row>
    <row r="39" spans="1:2" ht="12.75">
      <c r="A39" t="s">
        <v>28</v>
      </c>
      <c r="B39">
        <v>17.98</v>
      </c>
    </row>
    <row r="40" spans="1:2" ht="12.75">
      <c r="A40" t="s">
        <v>29</v>
      </c>
      <c r="B40">
        <v>14.79</v>
      </c>
    </row>
    <row r="41" spans="1:2" ht="12.75">
      <c r="A41" s="20" t="s">
        <v>34</v>
      </c>
      <c r="B41">
        <v>24.74</v>
      </c>
    </row>
    <row r="42" spans="1:2" ht="12.75">
      <c r="A42" t="s">
        <v>30</v>
      </c>
      <c r="B42">
        <v>20.13</v>
      </c>
    </row>
    <row r="44" ht="12.75">
      <c r="A44" t="s">
        <v>6</v>
      </c>
    </row>
    <row r="45" spans="1:2" ht="12.75">
      <c r="A45" s="21" t="s">
        <v>36</v>
      </c>
      <c r="B45" s="19">
        <v>40.28</v>
      </c>
    </row>
    <row r="46" spans="1:2" ht="12.75">
      <c r="A46" s="21" t="s">
        <v>37</v>
      </c>
      <c r="B46" s="19">
        <v>33.99</v>
      </c>
    </row>
    <row r="47" spans="1:2" ht="12.75">
      <c r="A47" s="21" t="s">
        <v>16</v>
      </c>
      <c r="B47" s="19">
        <v>21.7</v>
      </c>
    </row>
    <row r="48" spans="1:2" ht="12.75">
      <c r="A48" s="21" t="s">
        <v>38</v>
      </c>
      <c r="B48" s="19">
        <v>23.59</v>
      </c>
    </row>
    <row r="49" spans="1:2" ht="12.75">
      <c r="A49" s="21" t="s">
        <v>14</v>
      </c>
      <c r="B49" s="19">
        <v>15.19</v>
      </c>
    </row>
    <row r="50" spans="1:2" ht="12.75">
      <c r="A50" s="21" t="s">
        <v>33</v>
      </c>
      <c r="B50" s="19">
        <v>31.35</v>
      </c>
    </row>
    <row r="51" spans="1:2" ht="12.75">
      <c r="A51" s="21" t="s">
        <v>39</v>
      </c>
      <c r="B51" s="19">
        <v>37.69</v>
      </c>
    </row>
    <row r="52" spans="1:2" ht="12.75">
      <c r="A52" s="21" t="s">
        <v>40</v>
      </c>
      <c r="B52" s="19">
        <v>29.64</v>
      </c>
    </row>
    <row r="53" spans="1:2" ht="12.75">
      <c r="A53" s="22" t="s">
        <v>19</v>
      </c>
      <c r="B53" s="19">
        <v>34.18</v>
      </c>
    </row>
    <row r="54" spans="1:2" ht="12.75">
      <c r="A54" s="22" t="s">
        <v>18</v>
      </c>
      <c r="B54" s="19">
        <v>24</v>
      </c>
    </row>
    <row r="55" spans="1:2" ht="12.75">
      <c r="A55" s="22" t="s">
        <v>15</v>
      </c>
      <c r="B55" s="19">
        <v>17.01</v>
      </c>
    </row>
    <row r="57" ht="12.75">
      <c r="A57" s="23" t="s">
        <v>7</v>
      </c>
    </row>
    <row r="58" spans="1:2" ht="12.75">
      <c r="A58" s="17" t="s">
        <v>11</v>
      </c>
      <c r="B58" s="24">
        <v>35.33</v>
      </c>
    </row>
    <row r="59" spans="1:2" ht="12.75">
      <c r="A59" s="17" t="s">
        <v>17</v>
      </c>
      <c r="B59" s="24">
        <v>25.88</v>
      </c>
    </row>
    <row r="60" spans="1:2" ht="12.75">
      <c r="A60" s="17" t="s">
        <v>13</v>
      </c>
      <c r="B60" s="24">
        <v>24.96</v>
      </c>
    </row>
    <row r="61" spans="1:2" ht="12.75">
      <c r="A61" s="17" t="s">
        <v>14</v>
      </c>
      <c r="B61" s="24">
        <v>18.14</v>
      </c>
    </row>
    <row r="62" spans="1:2" ht="12.75">
      <c r="A62" s="17" t="s">
        <v>20</v>
      </c>
      <c r="B62" s="24">
        <v>32.43</v>
      </c>
    </row>
    <row r="63" spans="1:2" ht="12.75">
      <c r="A63" s="17" t="s">
        <v>21</v>
      </c>
      <c r="B63" s="24">
        <v>23.66</v>
      </c>
    </row>
    <row r="64" spans="1:2" ht="12.75">
      <c r="A64" s="17" t="s">
        <v>12</v>
      </c>
      <c r="B64" s="24">
        <v>30.82</v>
      </c>
    </row>
    <row r="65" spans="1:2" ht="12.75">
      <c r="A65" s="17" t="s">
        <v>19</v>
      </c>
      <c r="B65" s="24">
        <v>31.05</v>
      </c>
    </row>
    <row r="66" spans="1:2" ht="12.75">
      <c r="A66" s="17" t="s">
        <v>18</v>
      </c>
      <c r="B66" s="24">
        <v>21.64</v>
      </c>
    </row>
    <row r="68" ht="12.75">
      <c r="A68" s="25" t="s">
        <v>8</v>
      </c>
    </row>
    <row r="69" spans="1:2" ht="12.75">
      <c r="A69" s="17" t="s">
        <v>11</v>
      </c>
      <c r="B69" s="24">
        <v>27.49</v>
      </c>
    </row>
    <row r="70" spans="1:2" ht="12.75">
      <c r="A70" s="17" t="s">
        <v>14</v>
      </c>
      <c r="B70" s="24">
        <v>16.06</v>
      </c>
    </row>
    <row r="71" spans="1:2" ht="12.75">
      <c r="A71" s="17" t="s">
        <v>12</v>
      </c>
      <c r="B71" s="24">
        <v>23.17</v>
      </c>
    </row>
    <row r="73" spans="1:2" ht="12.75">
      <c r="A73" s="25" t="s">
        <v>6</v>
      </c>
      <c r="B73" s="14">
        <v>4.59</v>
      </c>
    </row>
    <row r="74" spans="1:2" ht="12.75">
      <c r="A74" s="25" t="s">
        <v>7</v>
      </c>
      <c r="B74" s="14">
        <v>4.07</v>
      </c>
    </row>
    <row r="75" spans="1:2" ht="12.75">
      <c r="A75" s="25" t="s">
        <v>8</v>
      </c>
      <c r="B75" s="14">
        <v>8.34</v>
      </c>
    </row>
    <row r="76" spans="1:2" ht="12.75">
      <c r="A76" s="25" t="s">
        <v>5</v>
      </c>
      <c r="B76" s="24">
        <v>5.09</v>
      </c>
    </row>
    <row r="77" ht="12.75">
      <c r="B77" s="14"/>
    </row>
    <row r="80" spans="1:2" ht="12.75">
      <c r="A80" s="286" t="s">
        <v>47</v>
      </c>
      <c r="B80" s="287"/>
    </row>
    <row r="81" spans="1:2" ht="12.75">
      <c r="A81" t="s">
        <v>6</v>
      </c>
      <c r="B81">
        <v>1</v>
      </c>
    </row>
    <row r="82" spans="1:2" ht="12.75">
      <c r="A82" t="s">
        <v>7</v>
      </c>
      <c r="B82">
        <v>1</v>
      </c>
    </row>
    <row r="83" spans="1:2" ht="12.75">
      <c r="A83" t="s">
        <v>8</v>
      </c>
      <c r="B83">
        <v>0.5</v>
      </c>
    </row>
    <row r="84" spans="1:2" ht="12.75">
      <c r="A84" t="s">
        <v>5</v>
      </c>
      <c r="B84">
        <v>1</v>
      </c>
    </row>
    <row r="86" ht="12.75">
      <c r="A86" s="49" t="s">
        <v>112</v>
      </c>
    </row>
    <row r="87" spans="1:2" ht="12.75">
      <c r="A87" t="s">
        <v>6</v>
      </c>
      <c r="B87">
        <v>4.1</v>
      </c>
    </row>
    <row r="88" spans="1:2" ht="12.75">
      <c r="A88" t="s">
        <v>7</v>
      </c>
      <c r="B88">
        <v>3.2</v>
      </c>
    </row>
    <row r="89" spans="1:2" ht="12.75">
      <c r="A89" t="s">
        <v>8</v>
      </c>
      <c r="B89">
        <v>2.9</v>
      </c>
    </row>
    <row r="90" spans="1:2" ht="13.5" thickBot="1">
      <c r="A90" t="s">
        <v>5</v>
      </c>
      <c r="B90">
        <v>4.2</v>
      </c>
    </row>
    <row r="91" spans="1:11" ht="13.5" thickBot="1">
      <c r="A91" s="49" t="s">
        <v>111</v>
      </c>
      <c r="J91" s="26" t="s">
        <v>92</v>
      </c>
      <c r="K91" s="45" t="s">
        <v>95</v>
      </c>
    </row>
    <row r="92" spans="1:11" ht="13.5" thickBot="1">
      <c r="A92" t="s">
        <v>87</v>
      </c>
      <c r="B92" t="s">
        <v>88</v>
      </c>
      <c r="C92" t="s">
        <v>89</v>
      </c>
      <c r="E92" s="94" t="s">
        <v>90</v>
      </c>
      <c r="F92" s="95" t="s">
        <v>91</v>
      </c>
      <c r="G92" s="95" t="s">
        <v>92</v>
      </c>
      <c r="H92" s="96"/>
      <c r="J92" s="41">
        <v>11</v>
      </c>
      <c r="K92" s="50">
        <v>0</v>
      </c>
    </row>
    <row r="93" spans="1:11" ht="12.75">
      <c r="A93" s="25" t="s">
        <v>43</v>
      </c>
      <c r="B93" t="s">
        <v>43</v>
      </c>
      <c r="C93" s="44">
        <v>0</v>
      </c>
      <c r="E93" s="97">
        <f>IF(Salinity!A21="UF",10,IF(Salinity!A21="IF",20,IF(Salinity!A21="IF+",30,IF(Salinity!A21="IFM",40,IF(Salinity!A21="SR",50,IF(Salinity!A21="CP",60,IF(Salinity!A21="MS",70)))))))</f>
        <v>30</v>
      </c>
      <c r="F93" s="29">
        <f>IF(Salinity!B21="UF",1,IF(Salinity!B21="IF",2,IF(Salinity!B21="IF+",3,IF(Salinity!B21="IFM",4,IF(Salinity!B21="SR",5,IF(Salinity!B21="CP",6,IF(Salinity!B21="MS",7)))))))</f>
        <v>4</v>
      </c>
      <c r="G93" s="29">
        <f>E93+F93</f>
        <v>34</v>
      </c>
      <c r="H93" s="62">
        <f>VLOOKUP(G93,$J$92:$K$198,2)</f>
        <v>0.133</v>
      </c>
      <c r="J93" s="41">
        <f>J92+1</f>
        <v>12</v>
      </c>
      <c r="K93" s="50">
        <v>0.381</v>
      </c>
    </row>
    <row r="94" spans="1:11" ht="12.75">
      <c r="A94" s="25" t="s">
        <v>43</v>
      </c>
      <c r="B94" t="s">
        <v>25</v>
      </c>
      <c r="C94" s="44">
        <v>0.381</v>
      </c>
      <c r="E94" s="97" t="b">
        <f>IF(Salinity!A22="UF",10,IF(Salinity!A22="IF",20,IF(Salinity!A22="IF+",30,IF(Salinity!A22="IFM",40,IF(Salinity!A22="SR",50,IF(Salinity!A22="CP",60,IF(Salinity!A22="MS",70)))))))</f>
        <v>0</v>
      </c>
      <c r="F94" s="29" t="b">
        <f>IF(Salinity!B22="UF",1,IF(Salinity!B22="IF",2,IF(Salinity!B22="IF+",3,IF(Salinity!B22="IFM",4,IF(Salinity!B22="SR",5,IF(Salinity!B22="CP",6,IF(Salinity!B22="MS",7)))))))</f>
        <v>0</v>
      </c>
      <c r="G94" s="29">
        <f>E94+F94</f>
        <v>0</v>
      </c>
      <c r="H94" s="62" t="e">
        <f>VLOOKUP(G94,$J$92:$K$198,2)</f>
        <v>#N/A</v>
      </c>
      <c r="J94" s="41">
        <f aca="true" t="shared" si="1" ref="J94:J157">J93+1</f>
        <v>13</v>
      </c>
      <c r="K94" s="50">
        <v>0.594</v>
      </c>
    </row>
    <row r="95" spans="1:11" ht="12.75">
      <c r="A95" s="25" t="s">
        <v>43</v>
      </c>
      <c r="B95" t="s">
        <v>44</v>
      </c>
      <c r="C95" s="44">
        <v>0.594</v>
      </c>
      <c r="E95" s="97" t="b">
        <f>IF(Salinity!A23="UF",10,IF(Salinity!A23="IF",20,IF(Salinity!A23="IF+",30,IF(Salinity!A23="IFM",40,IF(Salinity!A23="SR",50,IF(Salinity!A23="CP",60,IF(Salinity!A23="MS",70)))))))</f>
        <v>0</v>
      </c>
      <c r="F95" s="29" t="b">
        <f>IF(Salinity!B23="UF",1,IF(Salinity!B23="IF",2,IF(Salinity!B23="IF+",3,IF(Salinity!B23="IFM",4,IF(Salinity!B23="SR",5,IF(Salinity!B23="CP",6,IF(Salinity!B23="MS",7)))))))</f>
        <v>0</v>
      </c>
      <c r="G95" s="29">
        <f>E95+F95</f>
        <v>0</v>
      </c>
      <c r="H95" s="62" t="e">
        <f>VLOOKUP(G95,$J$92:$K$198,2)</f>
        <v>#N/A</v>
      </c>
      <c r="J95" s="41">
        <f t="shared" si="1"/>
        <v>14</v>
      </c>
      <c r="K95" s="50">
        <v>0.727</v>
      </c>
    </row>
    <row r="96" spans="1:11" ht="13.5" thickBot="1">
      <c r="A96" s="25" t="s">
        <v>43</v>
      </c>
      <c r="B96" t="s">
        <v>26</v>
      </c>
      <c r="C96" s="44">
        <v>0.727</v>
      </c>
      <c r="E96" s="98" t="b">
        <f>IF(Salinity!A24="UF",10,IF(Salinity!A24="IF",20,IF(Salinity!A24="IF+",30,IF(Salinity!A24="IFM",40,IF(Salinity!A24="SR",50,IF(Salinity!A24="CP",60,IF(Salinity!A24="MS",70)))))))</f>
        <v>0</v>
      </c>
      <c r="F96" s="99" t="b">
        <f>IF(Salinity!B24="UF",1,IF(Salinity!B24="IF",2,IF(Salinity!B24="IF+",3,IF(Salinity!B24="IFM",4,IF(Salinity!B24="SR",5,IF(Salinity!B24="CP",6,IF(Salinity!B24="MS",7)))))))</f>
        <v>0</v>
      </c>
      <c r="G96" s="99">
        <f>E96+F96</f>
        <v>0</v>
      </c>
      <c r="H96" s="34" t="e">
        <f>VLOOKUP(G96,$J$92:$K$198,2)</f>
        <v>#N/A</v>
      </c>
      <c r="J96" s="41">
        <f t="shared" si="1"/>
        <v>15</v>
      </c>
      <c r="K96" s="50">
        <v>0.819</v>
      </c>
    </row>
    <row r="97" spans="1:11" ht="13.5" thickBot="1">
      <c r="A97" s="25" t="s">
        <v>43</v>
      </c>
      <c r="B97" t="s">
        <v>31</v>
      </c>
      <c r="C97" s="44">
        <v>0.819</v>
      </c>
      <c r="J97" s="41">
        <f t="shared" si="1"/>
        <v>16</v>
      </c>
      <c r="K97" s="50">
        <v>0.889</v>
      </c>
    </row>
    <row r="98" spans="1:11" ht="13.5" thickBot="1">
      <c r="A98" s="25" t="s">
        <v>43</v>
      </c>
      <c r="B98" t="s">
        <v>45</v>
      </c>
      <c r="C98" s="44">
        <v>0.889</v>
      </c>
      <c r="E98" s="92" t="s">
        <v>93</v>
      </c>
      <c r="F98" s="92"/>
      <c r="G98" s="93"/>
      <c r="J98" s="41">
        <f t="shared" si="1"/>
        <v>17</v>
      </c>
      <c r="K98" s="50">
        <v>0.94</v>
      </c>
    </row>
    <row r="99" spans="1:11" ht="12.75">
      <c r="A99" s="25" t="s">
        <v>43</v>
      </c>
      <c r="B99" t="s">
        <v>46</v>
      </c>
      <c r="C99" s="44">
        <v>0.94</v>
      </c>
      <c r="E99" s="6" t="str">
        <f>Salinity!A21</f>
        <v>IF+</v>
      </c>
      <c r="F99" s="6" t="str">
        <f>Salinity!B21</f>
        <v>IFM</v>
      </c>
      <c r="G99" s="27"/>
      <c r="H99" s="1"/>
      <c r="J99" s="41">
        <f t="shared" si="1"/>
        <v>18</v>
      </c>
      <c r="K99" s="41" t="s">
        <v>94</v>
      </c>
    </row>
    <row r="100" spans="1:11" ht="12.75">
      <c r="A100" t="s">
        <v>25</v>
      </c>
      <c r="B100" t="s">
        <v>25</v>
      </c>
      <c r="C100" s="44">
        <v>0</v>
      </c>
      <c r="E100" s="6">
        <f>Salinity!A22</f>
        <v>0</v>
      </c>
      <c r="F100" s="6">
        <f>Salinity!B22</f>
        <v>0</v>
      </c>
      <c r="G100" s="27"/>
      <c r="H100" s="1"/>
      <c r="J100" s="41">
        <f t="shared" si="1"/>
        <v>19</v>
      </c>
      <c r="K100" s="41" t="s">
        <v>94</v>
      </c>
    </row>
    <row r="101" spans="1:11" ht="12.75">
      <c r="A101" t="s">
        <v>25</v>
      </c>
      <c r="B101" t="s">
        <v>44</v>
      </c>
      <c r="C101" s="44">
        <v>0.213</v>
      </c>
      <c r="E101" s="6">
        <f>Salinity!A23</f>
        <v>0</v>
      </c>
      <c r="F101" s="6">
        <f>Salinity!B23</f>
        <v>0</v>
      </c>
      <c r="G101" s="27"/>
      <c r="H101" s="1"/>
      <c r="J101" s="41">
        <f t="shared" si="1"/>
        <v>20</v>
      </c>
      <c r="K101" s="41" t="s">
        <v>94</v>
      </c>
    </row>
    <row r="102" spans="1:11" ht="13.5" thickBot="1">
      <c r="A102" t="s">
        <v>25</v>
      </c>
      <c r="B102" t="s">
        <v>26</v>
      </c>
      <c r="C102" s="44">
        <v>0.346</v>
      </c>
      <c r="E102" s="12">
        <f>Salinity!A24</f>
        <v>0</v>
      </c>
      <c r="F102" s="12" t="s">
        <v>46</v>
      </c>
      <c r="G102" s="32"/>
      <c r="H102" s="1"/>
      <c r="J102" s="41">
        <f t="shared" si="1"/>
        <v>21</v>
      </c>
      <c r="K102" s="41" t="s">
        <v>94</v>
      </c>
    </row>
    <row r="103" spans="1:11" ht="13.5" thickBot="1">
      <c r="A103" t="s">
        <v>25</v>
      </c>
      <c r="B103" t="s">
        <v>31</v>
      </c>
      <c r="C103" s="44">
        <v>0.438</v>
      </c>
      <c r="J103" s="41">
        <f t="shared" si="1"/>
        <v>22</v>
      </c>
      <c r="K103" s="50">
        <v>0</v>
      </c>
    </row>
    <row r="104" spans="1:11" ht="13.5" thickBot="1">
      <c r="A104" t="s">
        <v>25</v>
      </c>
      <c r="B104" t="s">
        <v>45</v>
      </c>
      <c r="C104" s="44">
        <v>0.508</v>
      </c>
      <c r="E104" s="94" t="s">
        <v>116</v>
      </c>
      <c r="F104" s="95" t="s">
        <v>117</v>
      </c>
      <c r="G104" s="96" t="s">
        <v>118</v>
      </c>
      <c r="J104" s="41">
        <f t="shared" si="1"/>
        <v>23</v>
      </c>
      <c r="K104" s="50">
        <v>0.213</v>
      </c>
    </row>
    <row r="105" spans="1:11" ht="12.75">
      <c r="A105" t="s">
        <v>25</v>
      </c>
      <c r="B105" t="s">
        <v>46</v>
      </c>
      <c r="C105" s="44">
        <v>0.559</v>
      </c>
      <c r="E105" s="97" t="s">
        <v>43</v>
      </c>
      <c r="F105" s="29">
        <v>10</v>
      </c>
      <c r="G105" s="62">
        <v>1</v>
      </c>
      <c r="J105" s="41">
        <f t="shared" si="1"/>
        <v>24</v>
      </c>
      <c r="K105" s="50">
        <v>0.346</v>
      </c>
    </row>
    <row r="106" spans="1:11" ht="12.75">
      <c r="A106" t="s">
        <v>44</v>
      </c>
      <c r="B106" t="s">
        <v>44</v>
      </c>
      <c r="C106" s="44">
        <v>0</v>
      </c>
      <c r="E106" s="97" t="s">
        <v>25</v>
      </c>
      <c r="F106" s="29">
        <v>20</v>
      </c>
      <c r="G106" s="62">
        <v>2</v>
      </c>
      <c r="J106" s="41">
        <f t="shared" si="1"/>
        <v>25</v>
      </c>
      <c r="K106" s="50">
        <v>0.438</v>
      </c>
    </row>
    <row r="107" spans="1:11" ht="12.75">
      <c r="A107" t="s">
        <v>44</v>
      </c>
      <c r="B107" t="s">
        <v>26</v>
      </c>
      <c r="C107" s="44">
        <v>0.133</v>
      </c>
      <c r="E107" s="97" t="s">
        <v>44</v>
      </c>
      <c r="F107" s="29">
        <v>30</v>
      </c>
      <c r="G107" s="62">
        <v>3</v>
      </c>
      <c r="J107" s="41">
        <f t="shared" si="1"/>
        <v>26</v>
      </c>
      <c r="K107" s="50">
        <v>0.508</v>
      </c>
    </row>
    <row r="108" spans="1:11" ht="12.75">
      <c r="A108" t="s">
        <v>44</v>
      </c>
      <c r="B108" t="s">
        <v>31</v>
      </c>
      <c r="C108" s="44">
        <v>0.225</v>
      </c>
      <c r="E108" s="97" t="s">
        <v>26</v>
      </c>
      <c r="F108" s="29">
        <v>40</v>
      </c>
      <c r="G108" s="62">
        <v>4</v>
      </c>
      <c r="J108" s="41">
        <f t="shared" si="1"/>
        <v>27</v>
      </c>
      <c r="K108" s="50">
        <v>0.559</v>
      </c>
    </row>
    <row r="109" spans="1:11" ht="12.75">
      <c r="A109" t="s">
        <v>44</v>
      </c>
      <c r="B109" t="s">
        <v>45</v>
      </c>
      <c r="C109" s="44">
        <v>0.295</v>
      </c>
      <c r="E109" s="97" t="s">
        <v>31</v>
      </c>
      <c r="F109" s="29">
        <v>50</v>
      </c>
      <c r="G109" s="62">
        <v>5</v>
      </c>
      <c r="J109" s="41">
        <f t="shared" si="1"/>
        <v>28</v>
      </c>
      <c r="K109" s="41" t="s">
        <v>94</v>
      </c>
    </row>
    <row r="110" spans="1:11" ht="12.75">
      <c r="A110" t="s">
        <v>44</v>
      </c>
      <c r="B110" t="s">
        <v>46</v>
      </c>
      <c r="C110" s="44">
        <v>0.346</v>
      </c>
      <c r="E110" s="97" t="s">
        <v>45</v>
      </c>
      <c r="F110" s="29">
        <v>60</v>
      </c>
      <c r="G110" s="62">
        <v>6</v>
      </c>
      <c r="J110" s="41">
        <f t="shared" si="1"/>
        <v>29</v>
      </c>
      <c r="K110" s="41" t="s">
        <v>94</v>
      </c>
    </row>
    <row r="111" spans="1:11" ht="13.5" thickBot="1">
      <c r="A111" t="s">
        <v>26</v>
      </c>
      <c r="B111" t="s">
        <v>26</v>
      </c>
      <c r="C111" s="44">
        <v>0</v>
      </c>
      <c r="E111" s="98" t="s">
        <v>46</v>
      </c>
      <c r="F111" s="99">
        <v>70</v>
      </c>
      <c r="G111" s="34">
        <v>7</v>
      </c>
      <c r="J111" s="41">
        <f t="shared" si="1"/>
        <v>30</v>
      </c>
      <c r="K111" s="41" t="s">
        <v>94</v>
      </c>
    </row>
    <row r="112" spans="1:11" ht="12.75">
      <c r="A112" t="s">
        <v>26</v>
      </c>
      <c r="B112" t="s">
        <v>31</v>
      </c>
      <c r="C112" s="44">
        <v>0.092</v>
      </c>
      <c r="J112" s="41">
        <f t="shared" si="1"/>
        <v>31</v>
      </c>
      <c r="K112" s="41" t="s">
        <v>94</v>
      </c>
    </row>
    <row r="113" spans="1:11" ht="12.75">
      <c r="A113" t="s">
        <v>26</v>
      </c>
      <c r="B113" t="s">
        <v>45</v>
      </c>
      <c r="C113" s="44">
        <v>0.162</v>
      </c>
      <c r="J113" s="41">
        <f t="shared" si="1"/>
        <v>32</v>
      </c>
      <c r="K113" s="41" t="s">
        <v>94</v>
      </c>
    </row>
    <row r="114" spans="1:11" ht="12.75">
      <c r="A114" t="s">
        <v>26</v>
      </c>
      <c r="B114" t="s">
        <v>46</v>
      </c>
      <c r="C114" s="44">
        <v>0.213</v>
      </c>
      <c r="J114" s="41">
        <f t="shared" si="1"/>
        <v>33</v>
      </c>
      <c r="K114" s="50">
        <v>0</v>
      </c>
    </row>
    <row r="115" spans="1:11" ht="12.75">
      <c r="A115" t="s">
        <v>31</v>
      </c>
      <c r="B115" t="s">
        <v>31</v>
      </c>
      <c r="C115" s="44">
        <v>0</v>
      </c>
      <c r="J115" s="41">
        <f t="shared" si="1"/>
        <v>34</v>
      </c>
      <c r="K115" s="50">
        <v>0.133</v>
      </c>
    </row>
    <row r="116" spans="1:11" ht="12.75">
      <c r="A116" t="s">
        <v>31</v>
      </c>
      <c r="B116" t="s">
        <v>45</v>
      </c>
      <c r="C116" s="44">
        <v>0.07</v>
      </c>
      <c r="J116" s="41">
        <f t="shared" si="1"/>
        <v>35</v>
      </c>
      <c r="K116" s="50">
        <v>0.225</v>
      </c>
    </row>
    <row r="117" spans="1:11" ht="12.75">
      <c r="A117" t="s">
        <v>31</v>
      </c>
      <c r="B117" t="s">
        <v>46</v>
      </c>
      <c r="C117" s="44">
        <v>0.121</v>
      </c>
      <c r="J117" s="41">
        <f t="shared" si="1"/>
        <v>36</v>
      </c>
      <c r="K117" s="50">
        <v>0.295</v>
      </c>
    </row>
    <row r="118" spans="1:11" ht="12.75">
      <c r="A118" t="s">
        <v>45</v>
      </c>
      <c r="B118" t="s">
        <v>45</v>
      </c>
      <c r="C118" s="44">
        <v>0</v>
      </c>
      <c r="J118" s="41">
        <f t="shared" si="1"/>
        <v>37</v>
      </c>
      <c r="K118" s="50">
        <v>0.346</v>
      </c>
    </row>
    <row r="119" spans="1:11" ht="12.75">
      <c r="A119" t="s">
        <v>45</v>
      </c>
      <c r="B119" t="s">
        <v>46</v>
      </c>
      <c r="C119" s="44">
        <v>0.051</v>
      </c>
      <c r="J119" s="41">
        <f t="shared" si="1"/>
        <v>38</v>
      </c>
      <c r="K119" s="41" t="s">
        <v>94</v>
      </c>
    </row>
    <row r="120" spans="1:11" ht="12.75">
      <c r="A120" t="s">
        <v>46</v>
      </c>
      <c r="B120" t="s">
        <v>46</v>
      </c>
      <c r="C120" s="44">
        <v>0</v>
      </c>
      <c r="J120" s="41">
        <f t="shared" si="1"/>
        <v>39</v>
      </c>
      <c r="K120" s="41" t="s">
        <v>94</v>
      </c>
    </row>
    <row r="121" spans="10:11" ht="12.75">
      <c r="J121" s="41">
        <f t="shared" si="1"/>
        <v>40</v>
      </c>
      <c r="K121" s="41" t="s">
        <v>94</v>
      </c>
    </row>
    <row r="122" spans="10:11" ht="12.75">
      <c r="J122" s="41">
        <f t="shared" si="1"/>
        <v>41</v>
      </c>
      <c r="K122" s="41" t="s">
        <v>94</v>
      </c>
    </row>
    <row r="123" spans="10:11" ht="12.75">
      <c r="J123" s="41">
        <f t="shared" si="1"/>
        <v>42</v>
      </c>
      <c r="K123" s="41" t="s">
        <v>94</v>
      </c>
    </row>
    <row r="124" spans="10:11" ht="12.75">
      <c r="J124" s="41">
        <f t="shared" si="1"/>
        <v>43</v>
      </c>
      <c r="K124" s="41" t="s">
        <v>94</v>
      </c>
    </row>
    <row r="125" spans="10:11" ht="12.75">
      <c r="J125" s="41">
        <f t="shared" si="1"/>
        <v>44</v>
      </c>
      <c r="K125" s="50">
        <v>0</v>
      </c>
    </row>
    <row r="126" spans="10:11" ht="12.75">
      <c r="J126" s="41">
        <f t="shared" si="1"/>
        <v>45</v>
      </c>
      <c r="K126" s="50">
        <v>0.092</v>
      </c>
    </row>
    <row r="127" spans="10:11" ht="12.75">
      <c r="J127" s="41">
        <f t="shared" si="1"/>
        <v>46</v>
      </c>
      <c r="K127" s="50">
        <v>0.162</v>
      </c>
    </row>
    <row r="128" spans="10:11" ht="12.75">
      <c r="J128" s="41">
        <f t="shared" si="1"/>
        <v>47</v>
      </c>
      <c r="K128" s="50">
        <v>0.213</v>
      </c>
    </row>
    <row r="129" spans="10:11" ht="12.75">
      <c r="J129" s="41">
        <f t="shared" si="1"/>
        <v>48</v>
      </c>
      <c r="K129" s="41" t="s">
        <v>94</v>
      </c>
    </row>
    <row r="130" spans="10:11" ht="12.75">
      <c r="J130" s="41">
        <f t="shared" si="1"/>
        <v>49</v>
      </c>
      <c r="K130" s="41" t="s">
        <v>94</v>
      </c>
    </row>
    <row r="131" spans="10:11" ht="12.75">
      <c r="J131" s="41">
        <f t="shared" si="1"/>
        <v>50</v>
      </c>
      <c r="K131" s="41" t="s">
        <v>94</v>
      </c>
    </row>
    <row r="132" spans="10:11" ht="12.75">
      <c r="J132" s="41">
        <f t="shared" si="1"/>
        <v>51</v>
      </c>
      <c r="K132" s="41" t="s">
        <v>94</v>
      </c>
    </row>
    <row r="133" spans="10:11" ht="12.75">
      <c r="J133" s="41">
        <f t="shared" si="1"/>
        <v>52</v>
      </c>
      <c r="K133" s="41" t="s">
        <v>94</v>
      </c>
    </row>
    <row r="134" spans="10:11" ht="12.75">
      <c r="J134" s="41">
        <f t="shared" si="1"/>
        <v>53</v>
      </c>
      <c r="K134" s="41" t="s">
        <v>94</v>
      </c>
    </row>
    <row r="135" spans="10:11" ht="12.75">
      <c r="J135" s="41">
        <f t="shared" si="1"/>
        <v>54</v>
      </c>
      <c r="K135" s="41" t="s">
        <v>94</v>
      </c>
    </row>
    <row r="136" spans="10:11" ht="12.75">
      <c r="J136" s="41">
        <f t="shared" si="1"/>
        <v>55</v>
      </c>
      <c r="K136" s="50">
        <v>0</v>
      </c>
    </row>
    <row r="137" spans="10:11" ht="12.75">
      <c r="J137" s="41">
        <f t="shared" si="1"/>
        <v>56</v>
      </c>
      <c r="K137" s="50">
        <v>0.07</v>
      </c>
    </row>
    <row r="138" spans="10:11" ht="12.75">
      <c r="J138" s="41">
        <f t="shared" si="1"/>
        <v>57</v>
      </c>
      <c r="K138" s="50">
        <v>0.121</v>
      </c>
    </row>
    <row r="139" spans="10:11" ht="12.75">
      <c r="J139" s="41">
        <f t="shared" si="1"/>
        <v>58</v>
      </c>
      <c r="K139" s="41" t="s">
        <v>94</v>
      </c>
    </row>
    <row r="140" spans="10:11" ht="12.75">
      <c r="J140" s="41">
        <f t="shared" si="1"/>
        <v>59</v>
      </c>
      <c r="K140" s="41" t="s">
        <v>94</v>
      </c>
    </row>
    <row r="141" spans="10:11" ht="12.75">
      <c r="J141" s="41">
        <f t="shared" si="1"/>
        <v>60</v>
      </c>
      <c r="K141" s="41" t="s">
        <v>94</v>
      </c>
    </row>
    <row r="142" spans="10:11" ht="12.75">
      <c r="J142" s="41">
        <f t="shared" si="1"/>
        <v>61</v>
      </c>
      <c r="K142" s="41" t="s">
        <v>94</v>
      </c>
    </row>
    <row r="143" spans="10:11" ht="12.75">
      <c r="J143" s="41">
        <f t="shared" si="1"/>
        <v>62</v>
      </c>
      <c r="K143" s="41" t="s">
        <v>94</v>
      </c>
    </row>
    <row r="144" spans="10:11" ht="12.75">
      <c r="J144" s="41">
        <f t="shared" si="1"/>
        <v>63</v>
      </c>
      <c r="K144" s="41" t="s">
        <v>94</v>
      </c>
    </row>
    <row r="145" spans="10:11" ht="12.75">
      <c r="J145" s="41">
        <f t="shared" si="1"/>
        <v>64</v>
      </c>
      <c r="K145" s="41" t="s">
        <v>94</v>
      </c>
    </row>
    <row r="146" spans="10:11" ht="12.75">
      <c r="J146" s="41">
        <f t="shared" si="1"/>
        <v>65</v>
      </c>
      <c r="K146" s="41" t="s">
        <v>94</v>
      </c>
    </row>
    <row r="147" spans="10:11" ht="12.75">
      <c r="J147" s="41">
        <f t="shared" si="1"/>
        <v>66</v>
      </c>
      <c r="K147" s="50">
        <v>0</v>
      </c>
    </row>
    <row r="148" spans="10:11" ht="12.75">
      <c r="J148" s="41">
        <f t="shared" si="1"/>
        <v>67</v>
      </c>
      <c r="K148" s="50">
        <v>0.051</v>
      </c>
    </row>
    <row r="149" spans="10:11" ht="12.75">
      <c r="J149" s="41">
        <f t="shared" si="1"/>
        <v>68</v>
      </c>
      <c r="K149" s="41" t="s">
        <v>94</v>
      </c>
    </row>
    <row r="150" spans="10:11" ht="12.75">
      <c r="J150" s="41">
        <f t="shared" si="1"/>
        <v>69</v>
      </c>
      <c r="K150" s="41" t="s">
        <v>94</v>
      </c>
    </row>
    <row r="151" spans="10:11" ht="12.75">
      <c r="J151" s="41">
        <f t="shared" si="1"/>
        <v>70</v>
      </c>
      <c r="K151" s="41" t="s">
        <v>94</v>
      </c>
    </row>
    <row r="152" spans="10:11" ht="12.75">
      <c r="J152" s="41">
        <f t="shared" si="1"/>
        <v>71</v>
      </c>
      <c r="K152" s="41" t="s">
        <v>94</v>
      </c>
    </row>
    <row r="153" spans="10:11" ht="12.75">
      <c r="J153" s="41">
        <f t="shared" si="1"/>
        <v>72</v>
      </c>
      <c r="K153" s="41" t="s">
        <v>94</v>
      </c>
    </row>
    <row r="154" spans="10:11" ht="12.75">
      <c r="J154" s="41">
        <f t="shared" si="1"/>
        <v>73</v>
      </c>
      <c r="K154" s="41" t="s">
        <v>94</v>
      </c>
    </row>
    <row r="155" spans="10:11" ht="12.75">
      <c r="J155" s="41">
        <f t="shared" si="1"/>
        <v>74</v>
      </c>
      <c r="K155" s="41" t="s">
        <v>94</v>
      </c>
    </row>
    <row r="156" spans="10:11" ht="12.75">
      <c r="J156" s="41">
        <f t="shared" si="1"/>
        <v>75</v>
      </c>
      <c r="K156" s="41" t="s">
        <v>94</v>
      </c>
    </row>
    <row r="157" spans="10:11" ht="12.75">
      <c r="J157" s="41">
        <f t="shared" si="1"/>
        <v>76</v>
      </c>
      <c r="K157" s="41" t="s">
        <v>94</v>
      </c>
    </row>
    <row r="158" spans="10:11" ht="12.75">
      <c r="J158" s="41">
        <f>J157+1</f>
        <v>77</v>
      </c>
      <c r="K158" s="50">
        <v>0</v>
      </c>
    </row>
  </sheetData>
  <sheetProtection password="C7C2" sheet="1" objects="1" scenarios="1" selectLockedCells="1" selectUnlockedCells="1"/>
  <mergeCells count="8">
    <mergeCell ref="A80:B80"/>
    <mergeCell ref="E11:F11"/>
    <mergeCell ref="E12:F12"/>
    <mergeCell ref="E13:F13"/>
    <mergeCell ref="E14:F14"/>
    <mergeCell ref="E15:F15"/>
    <mergeCell ref="E16:F16"/>
    <mergeCell ref="E17:F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116"/>
  <sheetViews>
    <sheetView workbookViewId="0" topLeftCell="A1">
      <selection activeCell="D19" sqref="D19"/>
    </sheetView>
  </sheetViews>
  <sheetFormatPr defaultColWidth="9.140625" defaultRowHeight="12.75"/>
  <cols>
    <col min="1" max="1" width="15.7109375" style="0" customWidth="1"/>
    <col min="2" max="2" width="15.8515625" style="0" customWidth="1"/>
    <col min="3" max="3" width="5.57421875" style="0" customWidth="1"/>
    <col min="4" max="4" width="6.7109375" style="0" customWidth="1"/>
    <col min="5" max="5" width="12.7109375" style="0" customWidth="1"/>
    <col min="6" max="6" width="13.28125" style="0" customWidth="1"/>
    <col min="7" max="7" width="6.8515625" style="0" customWidth="1"/>
    <col min="8" max="9" width="13.57421875" style="0" customWidth="1"/>
    <col min="15" max="15" width="47.00390625" style="0" bestFit="1" customWidth="1"/>
    <col min="16" max="16" width="8.8515625" style="0" bestFit="1" customWidth="1"/>
    <col min="17" max="17" width="8.7109375" style="0" bestFit="1" customWidth="1"/>
    <col min="18" max="18" width="9.421875" style="0" bestFit="1" customWidth="1"/>
    <col min="19" max="19" width="10.28125" style="0" bestFit="1" customWidth="1"/>
  </cols>
  <sheetData>
    <row r="1" spans="1:19" ht="36.75" customHeight="1">
      <c r="A1" s="297" t="s">
        <v>169</v>
      </c>
      <c r="B1" s="298"/>
      <c r="C1" s="298"/>
      <c r="D1" s="298"/>
      <c r="E1" s="298"/>
      <c r="F1" s="298"/>
      <c r="G1" s="298"/>
      <c r="H1" s="298"/>
      <c r="I1" s="298"/>
      <c r="O1" t="s">
        <v>170</v>
      </c>
      <c r="P1" t="s">
        <v>171</v>
      </c>
      <c r="Q1" t="s">
        <v>172</v>
      </c>
      <c r="R1" t="s">
        <v>173</v>
      </c>
      <c r="S1" t="s">
        <v>174</v>
      </c>
    </row>
    <row r="2" spans="2:19" ht="12.75">
      <c r="B2" s="184"/>
      <c r="C2" s="184"/>
      <c r="D2" s="184"/>
      <c r="E2" s="184"/>
      <c r="F2" s="184"/>
      <c r="G2" s="184"/>
      <c r="H2" s="184"/>
      <c r="I2" s="184"/>
      <c r="O2" t="s">
        <v>175</v>
      </c>
      <c r="P2" t="s">
        <v>176</v>
      </c>
      <c r="Q2">
        <v>0</v>
      </c>
      <c r="R2" t="s">
        <v>177</v>
      </c>
      <c r="S2">
        <v>0</v>
      </c>
    </row>
    <row r="3" spans="2:19" ht="12.75">
      <c r="B3" s="184"/>
      <c r="C3" s="184"/>
      <c r="D3" s="184"/>
      <c r="E3" s="184"/>
      <c r="F3" s="184"/>
      <c r="G3" s="184"/>
      <c r="H3" s="184"/>
      <c r="I3" s="184"/>
      <c r="O3" t="s">
        <v>178</v>
      </c>
      <c r="P3" t="s">
        <v>179</v>
      </c>
      <c r="Q3">
        <v>100</v>
      </c>
      <c r="R3" t="s">
        <v>177</v>
      </c>
      <c r="S3">
        <v>0</v>
      </c>
    </row>
    <row r="4" spans="2:19" ht="12.75">
      <c r="B4" s="184"/>
      <c r="C4" s="184"/>
      <c r="D4" s="184"/>
      <c r="E4" s="184"/>
      <c r="F4" s="184"/>
      <c r="G4" s="185"/>
      <c r="H4" s="186"/>
      <c r="I4" s="184"/>
      <c r="O4" t="s">
        <v>180</v>
      </c>
      <c r="P4" t="s">
        <v>179</v>
      </c>
      <c r="Q4">
        <v>100</v>
      </c>
      <c r="R4" t="s">
        <v>181</v>
      </c>
      <c r="S4">
        <v>0</v>
      </c>
    </row>
    <row r="5" spans="1:19" ht="13.5" thickBot="1">
      <c r="A5" s="187" t="s">
        <v>182</v>
      </c>
      <c r="B5" s="299" t="s">
        <v>190</v>
      </c>
      <c r="C5" s="300"/>
      <c r="D5" s="300"/>
      <c r="E5" s="300"/>
      <c r="F5" s="189"/>
      <c r="G5" s="187" t="s">
        <v>183</v>
      </c>
      <c r="H5" s="188" t="s">
        <v>190</v>
      </c>
      <c r="I5" s="184"/>
      <c r="O5" t="s">
        <v>184</v>
      </c>
      <c r="P5" t="s">
        <v>179</v>
      </c>
      <c r="Q5">
        <v>30</v>
      </c>
      <c r="R5" t="s">
        <v>181</v>
      </c>
      <c r="S5">
        <v>0</v>
      </c>
    </row>
    <row r="6" spans="2:19" ht="12.75">
      <c r="B6" s="184"/>
      <c r="C6" s="184"/>
      <c r="D6" s="184"/>
      <c r="E6" s="184"/>
      <c r="F6" s="184"/>
      <c r="G6" s="185"/>
      <c r="H6" s="186"/>
      <c r="I6" s="184"/>
      <c r="O6" t="s">
        <v>185</v>
      </c>
      <c r="P6" t="s">
        <v>179</v>
      </c>
      <c r="Q6">
        <v>30</v>
      </c>
      <c r="R6" t="s">
        <v>177</v>
      </c>
      <c r="S6">
        <v>0</v>
      </c>
    </row>
    <row r="7" spans="1:19" ht="13.5" thickBot="1">
      <c r="A7" s="187" t="s">
        <v>186</v>
      </c>
      <c r="B7" s="299" t="s">
        <v>190</v>
      </c>
      <c r="C7" s="300"/>
      <c r="D7" s="300"/>
      <c r="E7" s="300"/>
      <c r="F7" s="189"/>
      <c r="G7" s="187" t="s">
        <v>187</v>
      </c>
      <c r="H7" s="188"/>
      <c r="I7" s="184"/>
      <c r="O7" t="s">
        <v>188</v>
      </c>
      <c r="P7" t="s">
        <v>179</v>
      </c>
      <c r="Q7">
        <v>150</v>
      </c>
      <c r="R7" t="s">
        <v>177</v>
      </c>
      <c r="S7">
        <v>0</v>
      </c>
    </row>
    <row r="8" spans="1:19" ht="13.5" thickBot="1">
      <c r="A8" s="187"/>
      <c r="B8" s="185"/>
      <c r="C8" s="15"/>
      <c r="D8" s="15"/>
      <c r="E8" s="15"/>
      <c r="F8" s="189"/>
      <c r="G8" s="187"/>
      <c r="H8" s="186"/>
      <c r="I8" s="184"/>
      <c r="O8" t="s">
        <v>189</v>
      </c>
      <c r="P8" t="s">
        <v>179</v>
      </c>
      <c r="Q8">
        <v>200</v>
      </c>
      <c r="R8" t="s">
        <v>177</v>
      </c>
      <c r="S8">
        <v>0</v>
      </c>
    </row>
    <row r="9" spans="1:19" ht="12.75">
      <c r="A9" s="26"/>
      <c r="B9" s="190"/>
      <c r="C9" s="191" t="s">
        <v>190</v>
      </c>
      <c r="D9" s="192" t="s">
        <v>190</v>
      </c>
      <c r="E9" s="193" t="s">
        <v>190</v>
      </c>
      <c r="F9" s="192" t="s">
        <v>191</v>
      </c>
      <c r="G9" s="193" t="s">
        <v>192</v>
      </c>
      <c r="H9" s="192" t="s">
        <v>193</v>
      </c>
      <c r="I9" s="194" t="s">
        <v>193</v>
      </c>
      <c r="O9" t="s">
        <v>194</v>
      </c>
      <c r="P9" t="s">
        <v>179</v>
      </c>
      <c r="Q9">
        <v>890</v>
      </c>
      <c r="R9" t="s">
        <v>177</v>
      </c>
      <c r="S9">
        <v>0</v>
      </c>
    </row>
    <row r="10" spans="1:19" ht="12.75">
      <c r="A10" s="6" t="s">
        <v>195</v>
      </c>
      <c r="B10" s="195" t="s">
        <v>190</v>
      </c>
      <c r="C10" s="185" t="s">
        <v>196</v>
      </c>
      <c r="D10" s="196" t="s">
        <v>197</v>
      </c>
      <c r="E10" s="197" t="s">
        <v>196</v>
      </c>
      <c r="F10" s="196" t="s">
        <v>198</v>
      </c>
      <c r="G10" s="197" t="s">
        <v>198</v>
      </c>
      <c r="H10" s="196" t="s">
        <v>198</v>
      </c>
      <c r="I10" s="198" t="s">
        <v>199</v>
      </c>
      <c r="O10" t="s">
        <v>200</v>
      </c>
      <c r="P10" t="s">
        <v>179</v>
      </c>
      <c r="Q10">
        <v>30</v>
      </c>
      <c r="R10" t="s">
        <v>181</v>
      </c>
      <c r="S10">
        <v>0</v>
      </c>
    </row>
    <row r="11" spans="1:19" ht="13.5" thickBot="1">
      <c r="A11" s="199"/>
      <c r="B11" s="200"/>
      <c r="C11" s="201"/>
      <c r="D11" s="202"/>
      <c r="E11" s="201" t="s">
        <v>198</v>
      </c>
      <c r="F11" s="203">
        <v>1</v>
      </c>
      <c r="G11" s="201" t="s">
        <v>201</v>
      </c>
      <c r="H11" s="204" t="s">
        <v>201</v>
      </c>
      <c r="I11" s="205" t="s">
        <v>198</v>
      </c>
      <c r="O11" t="s">
        <v>202</v>
      </c>
      <c r="P11" t="s">
        <v>176</v>
      </c>
      <c r="Q11">
        <v>500</v>
      </c>
      <c r="R11" t="s">
        <v>203</v>
      </c>
      <c r="S11">
        <v>100</v>
      </c>
    </row>
    <row r="12" spans="1:19" ht="12.75">
      <c r="A12" s="294" t="s">
        <v>204</v>
      </c>
      <c r="B12" s="294"/>
      <c r="C12" s="214">
        <f>VLOOKUP(A12,$O$2:$S$116,2)</f>
        <v>0</v>
      </c>
      <c r="D12" s="206" t="s">
        <v>190</v>
      </c>
      <c r="E12" s="216">
        <f>VLOOKUP(A12,$O$2:$S$116,3)</f>
        <v>0</v>
      </c>
      <c r="F12" s="216" t="e">
        <f aca="true" t="shared" si="0" ref="F12:F55">D12*E12</f>
        <v>#VALUE!</v>
      </c>
      <c r="G12" s="208">
        <v>0.75</v>
      </c>
      <c r="H12" s="216" t="e">
        <f aca="true" t="shared" si="1" ref="H12:H55">F12*G12</f>
        <v>#VALUE!</v>
      </c>
      <c r="I12" s="220" t="e">
        <f aca="true" t="shared" si="2" ref="I12:I55">F12-H12</f>
        <v>#VALUE!</v>
      </c>
      <c r="O12" t="s">
        <v>205</v>
      </c>
      <c r="P12" t="s">
        <v>206</v>
      </c>
      <c r="Q12">
        <v>285.85</v>
      </c>
      <c r="R12" t="s">
        <v>181</v>
      </c>
      <c r="S12">
        <v>0</v>
      </c>
    </row>
    <row r="13" spans="1:19" ht="12.75">
      <c r="A13" s="294" t="s">
        <v>204</v>
      </c>
      <c r="B13" s="295"/>
      <c r="C13" s="215">
        <f>VLOOKUP(A13,$O$2:$S$116,2)</f>
        <v>0</v>
      </c>
      <c r="D13" s="207" t="s">
        <v>190</v>
      </c>
      <c r="E13" s="217">
        <f>VLOOKUP(A13,$O$2:$S$116,3)</f>
        <v>0</v>
      </c>
      <c r="F13" s="217" t="e">
        <f t="shared" si="0"/>
        <v>#VALUE!</v>
      </c>
      <c r="G13" s="208">
        <v>0.75</v>
      </c>
      <c r="H13" s="217" t="e">
        <f t="shared" si="1"/>
        <v>#VALUE!</v>
      </c>
      <c r="I13" s="221" t="e">
        <f t="shared" si="2"/>
        <v>#VALUE!</v>
      </c>
      <c r="O13" t="s">
        <v>207</v>
      </c>
      <c r="P13" t="s">
        <v>206</v>
      </c>
      <c r="Q13">
        <v>463.39</v>
      </c>
      <c r="R13" t="s">
        <v>181</v>
      </c>
      <c r="S13">
        <v>0</v>
      </c>
    </row>
    <row r="14" spans="1:19" ht="12.75">
      <c r="A14" s="294" t="s">
        <v>204</v>
      </c>
      <c r="B14" s="295"/>
      <c r="C14" s="215">
        <f aca="true" t="shared" si="3" ref="C14:C55">VLOOKUP(A14,$O$2:$S$116,2)</f>
        <v>0</v>
      </c>
      <c r="D14" s="207" t="s">
        <v>190</v>
      </c>
      <c r="E14" s="217">
        <f aca="true" t="shared" si="4" ref="E14:E55">VLOOKUP(A14,$O$2:$S$116,3)</f>
        <v>0</v>
      </c>
      <c r="F14" s="217" t="e">
        <f t="shared" si="0"/>
        <v>#VALUE!</v>
      </c>
      <c r="G14" s="208">
        <v>0.75</v>
      </c>
      <c r="H14" s="217" t="e">
        <f t="shared" si="1"/>
        <v>#VALUE!</v>
      </c>
      <c r="I14" s="221" t="e">
        <f t="shared" si="2"/>
        <v>#VALUE!</v>
      </c>
      <c r="O14" t="s">
        <v>208</v>
      </c>
      <c r="P14" t="s">
        <v>179</v>
      </c>
      <c r="Q14">
        <v>3</v>
      </c>
      <c r="R14" t="s">
        <v>177</v>
      </c>
      <c r="S14">
        <v>100</v>
      </c>
    </row>
    <row r="15" spans="1:19" ht="12.75">
      <c r="A15" s="294" t="s">
        <v>204</v>
      </c>
      <c r="B15" s="295"/>
      <c r="C15" s="215">
        <f t="shared" si="3"/>
        <v>0</v>
      </c>
      <c r="D15" s="207" t="s">
        <v>190</v>
      </c>
      <c r="E15" s="217">
        <f t="shared" si="4"/>
        <v>0</v>
      </c>
      <c r="F15" s="217" t="e">
        <f t="shared" si="0"/>
        <v>#VALUE!</v>
      </c>
      <c r="G15" s="208">
        <v>0.75</v>
      </c>
      <c r="H15" s="217" t="e">
        <f t="shared" si="1"/>
        <v>#VALUE!</v>
      </c>
      <c r="I15" s="221" t="e">
        <f t="shared" si="2"/>
        <v>#VALUE!</v>
      </c>
      <c r="O15" t="s">
        <v>209</v>
      </c>
      <c r="P15" t="s">
        <v>179</v>
      </c>
      <c r="Q15">
        <v>5</v>
      </c>
      <c r="R15" t="s">
        <v>203</v>
      </c>
      <c r="S15">
        <v>100</v>
      </c>
    </row>
    <row r="16" spans="1:19" ht="12.75">
      <c r="A16" s="294" t="s">
        <v>204</v>
      </c>
      <c r="B16" s="295"/>
      <c r="C16" s="215">
        <f t="shared" si="3"/>
        <v>0</v>
      </c>
      <c r="D16" s="207" t="s">
        <v>190</v>
      </c>
      <c r="E16" s="217">
        <f t="shared" si="4"/>
        <v>0</v>
      </c>
      <c r="F16" s="217" t="e">
        <f t="shared" si="0"/>
        <v>#VALUE!</v>
      </c>
      <c r="G16" s="208">
        <v>0.75</v>
      </c>
      <c r="H16" s="217" t="e">
        <f t="shared" si="1"/>
        <v>#VALUE!</v>
      </c>
      <c r="I16" s="221" t="e">
        <f t="shared" si="2"/>
        <v>#VALUE!</v>
      </c>
      <c r="O16" t="s">
        <v>210</v>
      </c>
      <c r="P16" t="s">
        <v>179</v>
      </c>
      <c r="Q16">
        <v>10</v>
      </c>
      <c r="R16" t="s">
        <v>203</v>
      </c>
      <c r="S16">
        <v>100</v>
      </c>
    </row>
    <row r="17" spans="1:19" ht="12.75">
      <c r="A17" s="294" t="s">
        <v>204</v>
      </c>
      <c r="B17" s="295"/>
      <c r="C17" s="215">
        <f t="shared" si="3"/>
        <v>0</v>
      </c>
      <c r="D17" s="207" t="s">
        <v>190</v>
      </c>
      <c r="E17" s="217">
        <f t="shared" si="4"/>
        <v>0</v>
      </c>
      <c r="F17" s="217" t="e">
        <f t="shared" si="0"/>
        <v>#VALUE!</v>
      </c>
      <c r="G17" s="208">
        <v>0.75</v>
      </c>
      <c r="H17" s="217" t="e">
        <f t="shared" si="1"/>
        <v>#VALUE!</v>
      </c>
      <c r="I17" s="221" t="e">
        <f t="shared" si="2"/>
        <v>#VALUE!</v>
      </c>
      <c r="O17" t="s">
        <v>211</v>
      </c>
      <c r="P17" t="s">
        <v>179</v>
      </c>
      <c r="Q17">
        <v>5</v>
      </c>
      <c r="R17" t="s">
        <v>203</v>
      </c>
      <c r="S17">
        <v>100</v>
      </c>
    </row>
    <row r="18" spans="1:19" ht="12.75">
      <c r="A18" s="294" t="s">
        <v>204</v>
      </c>
      <c r="B18" s="295"/>
      <c r="C18" s="215">
        <f t="shared" si="3"/>
        <v>0</v>
      </c>
      <c r="D18" s="207" t="s">
        <v>190</v>
      </c>
      <c r="E18" s="217">
        <f t="shared" si="4"/>
        <v>0</v>
      </c>
      <c r="F18" s="217" t="e">
        <f t="shared" si="0"/>
        <v>#VALUE!</v>
      </c>
      <c r="G18" s="208">
        <v>0.75</v>
      </c>
      <c r="H18" s="217" t="e">
        <f t="shared" si="1"/>
        <v>#VALUE!</v>
      </c>
      <c r="I18" s="221" t="e">
        <f t="shared" si="2"/>
        <v>#VALUE!</v>
      </c>
      <c r="O18" t="s">
        <v>212</v>
      </c>
      <c r="P18" t="s">
        <v>179</v>
      </c>
      <c r="Q18">
        <v>5</v>
      </c>
      <c r="R18" t="s">
        <v>203</v>
      </c>
      <c r="S18">
        <v>100</v>
      </c>
    </row>
    <row r="19" spans="1:19" ht="12.75">
      <c r="A19" s="294" t="s">
        <v>204</v>
      </c>
      <c r="B19" s="295"/>
      <c r="C19" s="215">
        <f t="shared" si="3"/>
        <v>0</v>
      </c>
      <c r="D19" s="207" t="s">
        <v>190</v>
      </c>
      <c r="E19" s="217">
        <f t="shared" si="4"/>
        <v>0</v>
      </c>
      <c r="F19" s="217" t="e">
        <f t="shared" si="0"/>
        <v>#VALUE!</v>
      </c>
      <c r="G19" s="208">
        <v>0.75</v>
      </c>
      <c r="H19" s="217" t="e">
        <f t="shared" si="1"/>
        <v>#VALUE!</v>
      </c>
      <c r="I19" s="221" t="e">
        <f t="shared" si="2"/>
        <v>#VALUE!</v>
      </c>
      <c r="O19" t="s">
        <v>213</v>
      </c>
      <c r="P19" t="s">
        <v>206</v>
      </c>
      <c r="Q19">
        <v>8.72</v>
      </c>
      <c r="R19" t="s">
        <v>177</v>
      </c>
      <c r="S19">
        <v>0</v>
      </c>
    </row>
    <row r="20" spans="1:19" ht="12.75">
      <c r="A20" s="294" t="s">
        <v>204</v>
      </c>
      <c r="B20" s="295"/>
      <c r="C20" s="215">
        <f t="shared" si="3"/>
        <v>0</v>
      </c>
      <c r="D20" s="207"/>
      <c r="E20" s="217">
        <f t="shared" si="4"/>
        <v>0</v>
      </c>
      <c r="F20" s="217">
        <f t="shared" si="0"/>
        <v>0</v>
      </c>
      <c r="G20" s="208">
        <v>0.75</v>
      </c>
      <c r="H20" s="217">
        <f t="shared" si="1"/>
        <v>0</v>
      </c>
      <c r="I20" s="221">
        <f t="shared" si="2"/>
        <v>0</v>
      </c>
      <c r="O20" t="s">
        <v>214</v>
      </c>
      <c r="P20" t="s">
        <v>206</v>
      </c>
      <c r="Q20">
        <v>1.06</v>
      </c>
      <c r="R20" t="s">
        <v>181</v>
      </c>
      <c r="S20">
        <v>0</v>
      </c>
    </row>
    <row r="21" spans="1:19" ht="12.75">
      <c r="A21" s="294" t="s">
        <v>204</v>
      </c>
      <c r="B21" s="295"/>
      <c r="C21" s="215">
        <f t="shared" si="3"/>
        <v>0</v>
      </c>
      <c r="D21" s="207"/>
      <c r="E21" s="217">
        <f t="shared" si="4"/>
        <v>0</v>
      </c>
      <c r="F21" s="217">
        <f t="shared" si="0"/>
        <v>0</v>
      </c>
      <c r="G21" s="208">
        <v>0.75</v>
      </c>
      <c r="H21" s="217">
        <f t="shared" si="1"/>
        <v>0</v>
      </c>
      <c r="I21" s="221">
        <f t="shared" si="2"/>
        <v>0</v>
      </c>
      <c r="O21" t="s">
        <v>215</v>
      </c>
      <c r="P21" t="s">
        <v>206</v>
      </c>
      <c r="Q21">
        <v>1</v>
      </c>
      <c r="R21" t="s">
        <v>181</v>
      </c>
      <c r="S21">
        <v>0</v>
      </c>
    </row>
    <row r="22" spans="1:19" ht="12.75">
      <c r="A22" s="294" t="s">
        <v>204</v>
      </c>
      <c r="B22" s="295"/>
      <c r="C22" s="215">
        <f t="shared" si="3"/>
        <v>0</v>
      </c>
      <c r="D22" s="207"/>
      <c r="E22" s="217">
        <f t="shared" si="4"/>
        <v>0</v>
      </c>
      <c r="F22" s="217">
        <f t="shared" si="0"/>
        <v>0</v>
      </c>
      <c r="G22" s="208">
        <v>0.75</v>
      </c>
      <c r="H22" s="217">
        <f t="shared" si="1"/>
        <v>0</v>
      </c>
      <c r="I22" s="221">
        <f t="shared" si="2"/>
        <v>0</v>
      </c>
      <c r="O22" t="s">
        <v>216</v>
      </c>
      <c r="P22" t="s">
        <v>206</v>
      </c>
      <c r="Q22">
        <v>1.22</v>
      </c>
      <c r="R22" t="s">
        <v>181</v>
      </c>
      <c r="S22">
        <v>0</v>
      </c>
    </row>
    <row r="23" spans="1:19" ht="12.75">
      <c r="A23" s="294" t="s">
        <v>204</v>
      </c>
      <c r="B23" s="295"/>
      <c r="C23" s="215">
        <f t="shared" si="3"/>
        <v>0</v>
      </c>
      <c r="D23" s="207"/>
      <c r="E23" s="217">
        <f t="shared" si="4"/>
        <v>0</v>
      </c>
      <c r="F23" s="217">
        <f t="shared" si="0"/>
        <v>0</v>
      </c>
      <c r="G23" s="208">
        <v>0.75</v>
      </c>
      <c r="H23" s="217">
        <f t="shared" si="1"/>
        <v>0</v>
      </c>
      <c r="I23" s="221">
        <f t="shared" si="2"/>
        <v>0</v>
      </c>
      <c r="O23" t="s">
        <v>217</v>
      </c>
      <c r="P23" t="s">
        <v>176</v>
      </c>
      <c r="Q23">
        <v>273.59</v>
      </c>
      <c r="R23" t="s">
        <v>177</v>
      </c>
      <c r="S23">
        <v>0</v>
      </c>
    </row>
    <row r="24" spans="1:19" ht="12.75">
      <c r="A24" s="294" t="s">
        <v>204</v>
      </c>
      <c r="B24" s="295"/>
      <c r="C24" s="215">
        <f t="shared" si="3"/>
        <v>0</v>
      </c>
      <c r="D24" s="207"/>
      <c r="E24" s="217">
        <f t="shared" si="4"/>
        <v>0</v>
      </c>
      <c r="F24" s="217">
        <f t="shared" si="0"/>
        <v>0</v>
      </c>
      <c r="G24" s="208">
        <v>0.75</v>
      </c>
      <c r="H24" s="217">
        <f t="shared" si="1"/>
        <v>0</v>
      </c>
      <c r="I24" s="221">
        <f t="shared" si="2"/>
        <v>0</v>
      </c>
      <c r="O24" t="s">
        <v>218</v>
      </c>
      <c r="P24" t="s">
        <v>219</v>
      </c>
      <c r="Q24">
        <v>1.76</v>
      </c>
      <c r="R24" t="s">
        <v>181</v>
      </c>
      <c r="S24">
        <v>0</v>
      </c>
    </row>
    <row r="25" spans="1:19" ht="12.75">
      <c r="A25" s="294" t="s">
        <v>204</v>
      </c>
      <c r="B25" s="295"/>
      <c r="C25" s="215">
        <f t="shared" si="3"/>
        <v>0</v>
      </c>
      <c r="D25" s="207"/>
      <c r="E25" s="217">
        <f t="shared" si="4"/>
        <v>0</v>
      </c>
      <c r="F25" s="217">
        <f t="shared" si="0"/>
        <v>0</v>
      </c>
      <c r="G25" s="208">
        <v>0.75</v>
      </c>
      <c r="H25" s="217">
        <f t="shared" si="1"/>
        <v>0</v>
      </c>
      <c r="I25" s="221">
        <f t="shared" si="2"/>
        <v>0</v>
      </c>
      <c r="O25" t="s">
        <v>220</v>
      </c>
      <c r="P25" t="s">
        <v>219</v>
      </c>
      <c r="Q25">
        <v>2.31</v>
      </c>
      <c r="R25" t="s">
        <v>181</v>
      </c>
      <c r="S25">
        <v>0</v>
      </c>
    </row>
    <row r="26" spans="1:19" ht="12.75">
      <c r="A26" s="294" t="s">
        <v>204</v>
      </c>
      <c r="B26" s="295"/>
      <c r="C26" s="215">
        <f t="shared" si="3"/>
        <v>0</v>
      </c>
      <c r="D26" s="207"/>
      <c r="E26" s="217">
        <f t="shared" si="4"/>
        <v>0</v>
      </c>
      <c r="F26" s="217">
        <f t="shared" si="0"/>
        <v>0</v>
      </c>
      <c r="G26" s="208">
        <v>0.75</v>
      </c>
      <c r="H26" s="217">
        <f t="shared" si="1"/>
        <v>0</v>
      </c>
      <c r="I26" s="221">
        <f t="shared" si="2"/>
        <v>0</v>
      </c>
      <c r="O26" t="s">
        <v>221</v>
      </c>
      <c r="P26" t="s">
        <v>219</v>
      </c>
      <c r="Q26">
        <v>0.75</v>
      </c>
      <c r="R26" t="s">
        <v>181</v>
      </c>
      <c r="S26">
        <v>0</v>
      </c>
    </row>
    <row r="27" spans="1:19" ht="12.75">
      <c r="A27" s="294" t="s">
        <v>204</v>
      </c>
      <c r="B27" s="295"/>
      <c r="C27" s="215">
        <f t="shared" si="3"/>
        <v>0</v>
      </c>
      <c r="D27" s="207"/>
      <c r="E27" s="217">
        <f t="shared" si="4"/>
        <v>0</v>
      </c>
      <c r="F27" s="217">
        <f t="shared" si="0"/>
        <v>0</v>
      </c>
      <c r="G27" s="208">
        <v>0.75</v>
      </c>
      <c r="H27" s="217">
        <f t="shared" si="1"/>
        <v>0</v>
      </c>
      <c r="I27" s="221">
        <f t="shared" si="2"/>
        <v>0</v>
      </c>
      <c r="O27" t="s">
        <v>222</v>
      </c>
      <c r="P27" t="s">
        <v>219</v>
      </c>
      <c r="Q27">
        <v>1.64</v>
      </c>
      <c r="R27" t="s">
        <v>181</v>
      </c>
      <c r="S27">
        <v>0</v>
      </c>
    </row>
    <row r="28" spans="1:19" ht="12.75">
      <c r="A28" s="294" t="s">
        <v>204</v>
      </c>
      <c r="B28" s="295"/>
      <c r="C28" s="215">
        <f t="shared" si="3"/>
        <v>0</v>
      </c>
      <c r="D28" s="207"/>
      <c r="E28" s="217">
        <f t="shared" si="4"/>
        <v>0</v>
      </c>
      <c r="F28" s="217">
        <f t="shared" si="0"/>
        <v>0</v>
      </c>
      <c r="G28" s="208">
        <v>0.75</v>
      </c>
      <c r="H28" s="217">
        <f t="shared" si="1"/>
        <v>0</v>
      </c>
      <c r="I28" s="221">
        <f t="shared" si="2"/>
        <v>0</v>
      </c>
      <c r="O28" t="s">
        <v>223</v>
      </c>
      <c r="P28" t="s">
        <v>176</v>
      </c>
      <c r="Q28">
        <v>8</v>
      </c>
      <c r="R28" t="s">
        <v>177</v>
      </c>
      <c r="S28">
        <v>0</v>
      </c>
    </row>
    <row r="29" spans="1:19" ht="12.75">
      <c r="A29" s="294" t="s">
        <v>204</v>
      </c>
      <c r="B29" s="295"/>
      <c r="C29" s="215">
        <f t="shared" si="3"/>
        <v>0</v>
      </c>
      <c r="D29" s="207"/>
      <c r="E29" s="217">
        <f t="shared" si="4"/>
        <v>0</v>
      </c>
      <c r="F29" s="217">
        <f t="shared" si="0"/>
        <v>0</v>
      </c>
      <c r="G29" s="208">
        <v>0.75</v>
      </c>
      <c r="H29" s="217">
        <f t="shared" si="1"/>
        <v>0</v>
      </c>
      <c r="I29" s="221">
        <f t="shared" si="2"/>
        <v>0</v>
      </c>
      <c r="O29" t="s">
        <v>224</v>
      </c>
      <c r="P29" t="s">
        <v>219</v>
      </c>
      <c r="Q29">
        <v>2.24</v>
      </c>
      <c r="R29" t="s">
        <v>181</v>
      </c>
      <c r="S29">
        <v>0</v>
      </c>
    </row>
    <row r="30" spans="1:19" ht="12.75">
      <c r="A30" s="294" t="s">
        <v>204</v>
      </c>
      <c r="B30" s="295"/>
      <c r="C30" s="215">
        <f t="shared" si="3"/>
        <v>0</v>
      </c>
      <c r="D30" s="207"/>
      <c r="E30" s="217">
        <f t="shared" si="4"/>
        <v>0</v>
      </c>
      <c r="F30" s="217">
        <f t="shared" si="0"/>
        <v>0</v>
      </c>
      <c r="G30" s="208">
        <v>0.75</v>
      </c>
      <c r="H30" s="217">
        <f t="shared" si="1"/>
        <v>0</v>
      </c>
      <c r="I30" s="221">
        <f t="shared" si="2"/>
        <v>0</v>
      </c>
      <c r="O30" t="s">
        <v>225</v>
      </c>
      <c r="P30" t="s">
        <v>226</v>
      </c>
      <c r="Q30">
        <v>57.41</v>
      </c>
      <c r="R30" t="s">
        <v>181</v>
      </c>
      <c r="S30">
        <v>0</v>
      </c>
    </row>
    <row r="31" spans="1:19" ht="12.75">
      <c r="A31" s="294" t="s">
        <v>204</v>
      </c>
      <c r="B31" s="295"/>
      <c r="C31" s="215">
        <f t="shared" si="3"/>
        <v>0</v>
      </c>
      <c r="D31" s="207"/>
      <c r="E31" s="217">
        <f t="shared" si="4"/>
        <v>0</v>
      </c>
      <c r="F31" s="217">
        <f t="shared" si="0"/>
        <v>0</v>
      </c>
      <c r="G31" s="208">
        <v>0.75</v>
      </c>
      <c r="H31" s="217">
        <f t="shared" si="1"/>
        <v>0</v>
      </c>
      <c r="I31" s="221">
        <f t="shared" si="2"/>
        <v>0</v>
      </c>
      <c r="O31" t="s">
        <v>227</v>
      </c>
      <c r="P31" t="s">
        <v>226</v>
      </c>
      <c r="Q31">
        <v>10.23</v>
      </c>
      <c r="R31" t="s">
        <v>181</v>
      </c>
      <c r="S31">
        <v>0</v>
      </c>
    </row>
    <row r="32" spans="1:19" ht="12.75">
      <c r="A32" s="294" t="s">
        <v>204</v>
      </c>
      <c r="B32" s="295"/>
      <c r="C32" s="215">
        <f t="shared" si="3"/>
        <v>0</v>
      </c>
      <c r="D32" s="207"/>
      <c r="E32" s="217">
        <f t="shared" si="4"/>
        <v>0</v>
      </c>
      <c r="F32" s="217">
        <f t="shared" si="0"/>
        <v>0</v>
      </c>
      <c r="G32" s="208">
        <v>0.75</v>
      </c>
      <c r="H32" s="217">
        <f t="shared" si="1"/>
        <v>0</v>
      </c>
      <c r="I32" s="221">
        <f t="shared" si="2"/>
        <v>0</v>
      </c>
      <c r="O32" t="s">
        <v>228</v>
      </c>
      <c r="P32" t="s">
        <v>176</v>
      </c>
      <c r="Q32">
        <v>100</v>
      </c>
      <c r="R32" t="s">
        <v>181</v>
      </c>
      <c r="S32">
        <v>0</v>
      </c>
    </row>
    <row r="33" spans="1:19" ht="12.75">
      <c r="A33" s="294" t="s">
        <v>204</v>
      </c>
      <c r="B33" s="295"/>
      <c r="C33" s="215">
        <f t="shared" si="3"/>
        <v>0</v>
      </c>
      <c r="D33" s="207"/>
      <c r="E33" s="217">
        <f t="shared" si="4"/>
        <v>0</v>
      </c>
      <c r="F33" s="217">
        <f t="shared" si="0"/>
        <v>0</v>
      </c>
      <c r="G33" s="208">
        <v>0.75</v>
      </c>
      <c r="H33" s="217">
        <f t="shared" si="1"/>
        <v>0</v>
      </c>
      <c r="I33" s="221">
        <f t="shared" si="2"/>
        <v>0</v>
      </c>
      <c r="O33" t="s">
        <v>229</v>
      </c>
      <c r="P33" t="s">
        <v>179</v>
      </c>
      <c r="Q33">
        <v>1826.09</v>
      </c>
      <c r="R33" t="s">
        <v>181</v>
      </c>
      <c r="S33">
        <v>0</v>
      </c>
    </row>
    <row r="34" spans="1:19" ht="12.75">
      <c r="A34" s="294" t="s">
        <v>204</v>
      </c>
      <c r="B34" s="295"/>
      <c r="C34" s="215">
        <f t="shared" si="3"/>
        <v>0</v>
      </c>
      <c r="D34" s="207"/>
      <c r="E34" s="217">
        <f t="shared" si="4"/>
        <v>0</v>
      </c>
      <c r="F34" s="217">
        <f t="shared" si="0"/>
        <v>0</v>
      </c>
      <c r="G34" s="208">
        <v>0.75</v>
      </c>
      <c r="H34" s="217">
        <f t="shared" si="1"/>
        <v>0</v>
      </c>
      <c r="I34" s="221">
        <f t="shared" si="2"/>
        <v>0</v>
      </c>
      <c r="O34" t="s">
        <v>230</v>
      </c>
      <c r="P34" t="s">
        <v>176</v>
      </c>
      <c r="Q34">
        <v>479.64</v>
      </c>
      <c r="R34" t="s">
        <v>177</v>
      </c>
      <c r="S34">
        <v>0</v>
      </c>
    </row>
    <row r="35" spans="1:19" ht="12.75">
      <c r="A35" s="294" t="s">
        <v>204</v>
      </c>
      <c r="B35" s="295"/>
      <c r="C35" s="215">
        <f t="shared" si="3"/>
        <v>0</v>
      </c>
      <c r="D35" s="207"/>
      <c r="E35" s="217">
        <f t="shared" si="4"/>
        <v>0</v>
      </c>
      <c r="F35" s="217">
        <f t="shared" si="0"/>
        <v>0</v>
      </c>
      <c r="G35" s="208">
        <v>0.75</v>
      </c>
      <c r="H35" s="217">
        <f t="shared" si="1"/>
        <v>0</v>
      </c>
      <c r="I35" s="221">
        <f t="shared" si="2"/>
        <v>0</v>
      </c>
      <c r="O35" t="s">
        <v>231</v>
      </c>
      <c r="P35" t="s">
        <v>176</v>
      </c>
      <c r="Q35">
        <v>487.6</v>
      </c>
      <c r="R35" t="s">
        <v>181</v>
      </c>
      <c r="S35">
        <v>0</v>
      </c>
    </row>
    <row r="36" spans="1:19" ht="12.75">
      <c r="A36" s="294" t="s">
        <v>204</v>
      </c>
      <c r="B36" s="295"/>
      <c r="C36" s="215">
        <f t="shared" si="3"/>
        <v>0</v>
      </c>
      <c r="D36" s="207"/>
      <c r="E36" s="217">
        <f t="shared" si="4"/>
        <v>0</v>
      </c>
      <c r="F36" s="217">
        <f t="shared" si="0"/>
        <v>0</v>
      </c>
      <c r="G36" s="208">
        <v>0.75</v>
      </c>
      <c r="H36" s="217">
        <f t="shared" si="1"/>
        <v>0</v>
      </c>
      <c r="I36" s="221">
        <f t="shared" si="2"/>
        <v>0</v>
      </c>
      <c r="O36" t="s">
        <v>232</v>
      </c>
      <c r="P36" t="s">
        <v>219</v>
      </c>
      <c r="Q36">
        <v>8.62</v>
      </c>
      <c r="R36" t="s">
        <v>181</v>
      </c>
      <c r="S36">
        <v>0</v>
      </c>
    </row>
    <row r="37" spans="1:19" ht="12.75">
      <c r="A37" s="294" t="s">
        <v>204</v>
      </c>
      <c r="B37" s="295"/>
      <c r="C37" s="215">
        <f t="shared" si="3"/>
        <v>0</v>
      </c>
      <c r="D37" s="207"/>
      <c r="E37" s="217">
        <f t="shared" si="4"/>
        <v>0</v>
      </c>
      <c r="F37" s="217">
        <f t="shared" si="0"/>
        <v>0</v>
      </c>
      <c r="G37" s="208">
        <v>0.75</v>
      </c>
      <c r="H37" s="217">
        <f t="shared" si="1"/>
        <v>0</v>
      </c>
      <c r="I37" s="221">
        <f t="shared" si="2"/>
        <v>0</v>
      </c>
      <c r="O37" t="s">
        <v>233</v>
      </c>
      <c r="P37" t="s">
        <v>219</v>
      </c>
      <c r="Q37">
        <v>29</v>
      </c>
      <c r="R37" t="s">
        <v>177</v>
      </c>
      <c r="S37">
        <v>0</v>
      </c>
    </row>
    <row r="38" spans="1:19" ht="12.75">
      <c r="A38" s="294" t="s">
        <v>204</v>
      </c>
      <c r="B38" s="295"/>
      <c r="C38" s="215">
        <f t="shared" si="3"/>
        <v>0</v>
      </c>
      <c r="D38" s="207"/>
      <c r="E38" s="217">
        <f t="shared" si="4"/>
        <v>0</v>
      </c>
      <c r="F38" s="217">
        <f t="shared" si="0"/>
        <v>0</v>
      </c>
      <c r="G38" s="208">
        <v>0.75</v>
      </c>
      <c r="H38" s="217">
        <f t="shared" si="1"/>
        <v>0</v>
      </c>
      <c r="I38" s="221">
        <f t="shared" si="2"/>
        <v>0</v>
      </c>
      <c r="O38" t="s">
        <v>234</v>
      </c>
      <c r="P38" t="s">
        <v>219</v>
      </c>
      <c r="Q38">
        <v>3.31</v>
      </c>
      <c r="R38" t="s">
        <v>181</v>
      </c>
      <c r="S38">
        <v>0</v>
      </c>
    </row>
    <row r="39" spans="1:19" ht="12.75">
      <c r="A39" s="294" t="s">
        <v>204</v>
      </c>
      <c r="B39" s="295"/>
      <c r="C39" s="215">
        <f t="shared" si="3"/>
        <v>0</v>
      </c>
      <c r="D39" s="207"/>
      <c r="E39" s="217">
        <f t="shared" si="4"/>
        <v>0</v>
      </c>
      <c r="F39" s="217">
        <f t="shared" si="0"/>
        <v>0</v>
      </c>
      <c r="G39" s="208">
        <v>0.75</v>
      </c>
      <c r="H39" s="217">
        <f t="shared" si="1"/>
        <v>0</v>
      </c>
      <c r="I39" s="221">
        <f t="shared" si="2"/>
        <v>0</v>
      </c>
      <c r="O39" t="s">
        <v>235</v>
      </c>
      <c r="P39" t="s">
        <v>219</v>
      </c>
      <c r="Q39">
        <v>7.1</v>
      </c>
      <c r="R39" t="s">
        <v>181</v>
      </c>
      <c r="S39">
        <v>0</v>
      </c>
    </row>
    <row r="40" spans="1:19" ht="12.75">
      <c r="A40" s="294" t="s">
        <v>204</v>
      </c>
      <c r="B40" s="295"/>
      <c r="C40" s="215">
        <f t="shared" si="3"/>
        <v>0</v>
      </c>
      <c r="D40" s="207"/>
      <c r="E40" s="217">
        <f t="shared" si="4"/>
        <v>0</v>
      </c>
      <c r="F40" s="217">
        <f t="shared" si="0"/>
        <v>0</v>
      </c>
      <c r="G40" s="208">
        <v>0.75</v>
      </c>
      <c r="H40" s="217">
        <f t="shared" si="1"/>
        <v>0</v>
      </c>
      <c r="I40" s="221">
        <f t="shared" si="2"/>
        <v>0</v>
      </c>
      <c r="O40" t="s">
        <v>236</v>
      </c>
      <c r="P40" t="s">
        <v>179</v>
      </c>
      <c r="Q40">
        <v>5</v>
      </c>
      <c r="R40" t="s">
        <v>203</v>
      </c>
      <c r="S40">
        <v>100</v>
      </c>
    </row>
    <row r="41" spans="1:19" ht="12.75">
      <c r="A41" s="294" t="s">
        <v>204</v>
      </c>
      <c r="B41" s="295"/>
      <c r="C41" s="215">
        <f t="shared" si="3"/>
        <v>0</v>
      </c>
      <c r="D41" s="207"/>
      <c r="E41" s="217">
        <f t="shared" si="4"/>
        <v>0</v>
      </c>
      <c r="F41" s="217">
        <f t="shared" si="0"/>
        <v>0</v>
      </c>
      <c r="G41" s="208">
        <v>0.75</v>
      </c>
      <c r="H41" s="217">
        <f t="shared" si="1"/>
        <v>0</v>
      </c>
      <c r="I41" s="221">
        <f t="shared" si="2"/>
        <v>0</v>
      </c>
      <c r="O41" t="s">
        <v>237</v>
      </c>
      <c r="P41" t="s">
        <v>238</v>
      </c>
      <c r="Q41">
        <v>112.78</v>
      </c>
      <c r="R41" t="s">
        <v>177</v>
      </c>
      <c r="S41">
        <v>0</v>
      </c>
    </row>
    <row r="42" spans="1:19" ht="12.75">
      <c r="A42" s="294" t="s">
        <v>204</v>
      </c>
      <c r="B42" s="295"/>
      <c r="C42" s="215">
        <f t="shared" si="3"/>
        <v>0</v>
      </c>
      <c r="D42" s="207"/>
      <c r="E42" s="217">
        <f t="shared" si="4"/>
        <v>0</v>
      </c>
      <c r="F42" s="217">
        <f t="shared" si="0"/>
        <v>0</v>
      </c>
      <c r="G42" s="208">
        <v>0.75</v>
      </c>
      <c r="H42" s="217">
        <f t="shared" si="1"/>
        <v>0</v>
      </c>
      <c r="I42" s="221">
        <f t="shared" si="2"/>
        <v>0</v>
      </c>
      <c r="O42" t="s">
        <v>239</v>
      </c>
      <c r="P42" t="s">
        <v>206</v>
      </c>
      <c r="Q42">
        <v>9</v>
      </c>
      <c r="R42" t="s">
        <v>177</v>
      </c>
      <c r="S42">
        <v>0</v>
      </c>
    </row>
    <row r="43" spans="1:19" ht="12.75">
      <c r="A43" s="294" t="s">
        <v>204</v>
      </c>
      <c r="B43" s="295"/>
      <c r="C43" s="215">
        <f t="shared" si="3"/>
        <v>0</v>
      </c>
      <c r="D43" s="207"/>
      <c r="E43" s="217">
        <f t="shared" si="4"/>
        <v>0</v>
      </c>
      <c r="F43" s="217">
        <f t="shared" si="0"/>
        <v>0</v>
      </c>
      <c r="G43" s="208">
        <v>0.75</v>
      </c>
      <c r="H43" s="217">
        <f t="shared" si="1"/>
        <v>0</v>
      </c>
      <c r="I43" s="221">
        <f t="shared" si="2"/>
        <v>0</v>
      </c>
      <c r="O43" t="s">
        <v>240</v>
      </c>
      <c r="P43" t="s">
        <v>206</v>
      </c>
      <c r="Q43">
        <v>6</v>
      </c>
      <c r="R43" t="s">
        <v>177</v>
      </c>
      <c r="S43">
        <v>0</v>
      </c>
    </row>
    <row r="44" spans="1:19" ht="12.75">
      <c r="A44" s="294" t="s">
        <v>204</v>
      </c>
      <c r="B44" s="295"/>
      <c r="C44" s="215">
        <f t="shared" si="3"/>
        <v>0</v>
      </c>
      <c r="D44" s="207"/>
      <c r="E44" s="217">
        <f t="shared" si="4"/>
        <v>0</v>
      </c>
      <c r="F44" s="217">
        <f t="shared" si="0"/>
        <v>0</v>
      </c>
      <c r="G44" s="208">
        <v>0.75</v>
      </c>
      <c r="H44" s="217">
        <f t="shared" si="1"/>
        <v>0</v>
      </c>
      <c r="I44" s="221">
        <f t="shared" si="2"/>
        <v>0</v>
      </c>
      <c r="O44" t="s">
        <v>241</v>
      </c>
      <c r="P44" t="s">
        <v>242</v>
      </c>
      <c r="Q44">
        <v>0.28</v>
      </c>
      <c r="R44" t="s">
        <v>181</v>
      </c>
      <c r="S44">
        <v>0</v>
      </c>
    </row>
    <row r="45" spans="1:19" ht="12.75">
      <c r="A45" s="294" t="s">
        <v>204</v>
      </c>
      <c r="B45" s="295"/>
      <c r="C45" s="215">
        <f t="shared" si="3"/>
        <v>0</v>
      </c>
      <c r="D45" s="207"/>
      <c r="E45" s="217">
        <f t="shared" si="4"/>
        <v>0</v>
      </c>
      <c r="F45" s="217">
        <f t="shared" si="0"/>
        <v>0</v>
      </c>
      <c r="G45" s="208">
        <v>0.75</v>
      </c>
      <c r="H45" s="217">
        <f t="shared" si="1"/>
        <v>0</v>
      </c>
      <c r="I45" s="221">
        <f t="shared" si="2"/>
        <v>0</v>
      </c>
      <c r="O45" t="s">
        <v>243</v>
      </c>
      <c r="P45" t="s">
        <v>244</v>
      </c>
      <c r="Q45">
        <v>3</v>
      </c>
      <c r="R45" t="s">
        <v>181</v>
      </c>
      <c r="S45">
        <v>0</v>
      </c>
    </row>
    <row r="46" spans="1:19" ht="12.75">
      <c r="A46" s="294" t="s">
        <v>204</v>
      </c>
      <c r="B46" s="295"/>
      <c r="C46" s="215">
        <f t="shared" si="3"/>
        <v>0</v>
      </c>
      <c r="D46" s="207"/>
      <c r="E46" s="217">
        <f t="shared" si="4"/>
        <v>0</v>
      </c>
      <c r="F46" s="217">
        <f t="shared" si="0"/>
        <v>0</v>
      </c>
      <c r="G46" s="208">
        <v>0.75</v>
      </c>
      <c r="H46" s="217">
        <f t="shared" si="1"/>
        <v>0</v>
      </c>
      <c r="I46" s="221">
        <f t="shared" si="2"/>
        <v>0</v>
      </c>
      <c r="O46" t="s">
        <v>245</v>
      </c>
      <c r="P46" t="s">
        <v>242</v>
      </c>
      <c r="Q46">
        <v>20.22</v>
      </c>
      <c r="R46" t="s">
        <v>181</v>
      </c>
      <c r="S46">
        <v>0</v>
      </c>
    </row>
    <row r="47" spans="1:19" ht="12.75">
      <c r="A47" s="294" t="s">
        <v>204</v>
      </c>
      <c r="B47" s="295"/>
      <c r="C47" s="215">
        <f t="shared" si="3"/>
        <v>0</v>
      </c>
      <c r="D47" s="207"/>
      <c r="E47" s="217">
        <f t="shared" si="4"/>
        <v>0</v>
      </c>
      <c r="F47" s="217">
        <f t="shared" si="0"/>
        <v>0</v>
      </c>
      <c r="G47" s="208">
        <v>0.75</v>
      </c>
      <c r="H47" s="217">
        <f t="shared" si="1"/>
        <v>0</v>
      </c>
      <c r="I47" s="221">
        <f t="shared" si="2"/>
        <v>0</v>
      </c>
      <c r="O47" t="s">
        <v>246</v>
      </c>
      <c r="P47" t="s">
        <v>179</v>
      </c>
      <c r="Q47">
        <v>5</v>
      </c>
      <c r="R47" t="s">
        <v>203</v>
      </c>
      <c r="S47">
        <v>100</v>
      </c>
    </row>
    <row r="48" spans="1:19" ht="12.75">
      <c r="A48" s="294" t="s">
        <v>204</v>
      </c>
      <c r="B48" s="295"/>
      <c r="C48" s="215">
        <f t="shared" si="3"/>
        <v>0</v>
      </c>
      <c r="D48" s="207"/>
      <c r="E48" s="217">
        <f t="shared" si="4"/>
        <v>0</v>
      </c>
      <c r="F48" s="217">
        <f t="shared" si="0"/>
        <v>0</v>
      </c>
      <c r="G48" s="208">
        <v>0.75</v>
      </c>
      <c r="H48" s="217">
        <f t="shared" si="1"/>
        <v>0</v>
      </c>
      <c r="I48" s="221">
        <f t="shared" si="2"/>
        <v>0</v>
      </c>
      <c r="O48" t="s">
        <v>247</v>
      </c>
      <c r="P48" t="s">
        <v>179</v>
      </c>
      <c r="Q48">
        <v>5</v>
      </c>
      <c r="R48" t="s">
        <v>203</v>
      </c>
      <c r="S48">
        <v>100</v>
      </c>
    </row>
    <row r="49" spans="1:19" ht="12.75">
      <c r="A49" s="294" t="s">
        <v>204</v>
      </c>
      <c r="B49" s="295"/>
      <c r="C49" s="215">
        <f t="shared" si="3"/>
        <v>0</v>
      </c>
      <c r="D49" s="207"/>
      <c r="E49" s="217">
        <f t="shared" si="4"/>
        <v>0</v>
      </c>
      <c r="F49" s="217">
        <f t="shared" si="0"/>
        <v>0</v>
      </c>
      <c r="G49" s="208">
        <v>0.75</v>
      </c>
      <c r="H49" s="217">
        <f t="shared" si="1"/>
        <v>0</v>
      </c>
      <c r="I49" s="221">
        <f t="shared" si="2"/>
        <v>0</v>
      </c>
      <c r="O49" t="s">
        <v>248</v>
      </c>
      <c r="P49" t="s">
        <v>249</v>
      </c>
      <c r="Q49">
        <v>2.25</v>
      </c>
      <c r="R49" t="s">
        <v>181</v>
      </c>
      <c r="S49">
        <v>0</v>
      </c>
    </row>
    <row r="50" spans="1:19" ht="12.75">
      <c r="A50" s="294" t="s">
        <v>204</v>
      </c>
      <c r="B50" s="295"/>
      <c r="C50" s="215">
        <f t="shared" si="3"/>
        <v>0</v>
      </c>
      <c r="D50" s="207"/>
      <c r="E50" s="217">
        <f t="shared" si="4"/>
        <v>0</v>
      </c>
      <c r="F50" s="217">
        <f t="shared" si="0"/>
        <v>0</v>
      </c>
      <c r="G50" s="208">
        <v>0.75</v>
      </c>
      <c r="H50" s="217">
        <f t="shared" si="1"/>
        <v>0</v>
      </c>
      <c r="I50" s="221">
        <f t="shared" si="2"/>
        <v>0</v>
      </c>
      <c r="O50" t="s">
        <v>250</v>
      </c>
      <c r="P50" t="s">
        <v>176</v>
      </c>
      <c r="Q50">
        <v>3.09</v>
      </c>
      <c r="R50" t="s">
        <v>181</v>
      </c>
      <c r="S50">
        <v>0</v>
      </c>
    </row>
    <row r="51" spans="1:19" ht="12.75">
      <c r="A51" s="294" t="s">
        <v>204</v>
      </c>
      <c r="B51" s="295"/>
      <c r="C51" s="215">
        <f t="shared" si="3"/>
        <v>0</v>
      </c>
      <c r="D51" s="207"/>
      <c r="E51" s="217">
        <f t="shared" si="4"/>
        <v>0</v>
      </c>
      <c r="F51" s="217">
        <f t="shared" si="0"/>
        <v>0</v>
      </c>
      <c r="G51" s="208">
        <v>0.75</v>
      </c>
      <c r="H51" s="217">
        <f t="shared" si="1"/>
        <v>0</v>
      </c>
      <c r="I51" s="221">
        <f t="shared" si="2"/>
        <v>0</v>
      </c>
      <c r="O51" t="s">
        <v>251</v>
      </c>
      <c r="P51" t="s">
        <v>249</v>
      </c>
      <c r="Q51">
        <v>3.15</v>
      </c>
      <c r="R51" t="s">
        <v>181</v>
      </c>
      <c r="S51">
        <v>0</v>
      </c>
    </row>
    <row r="52" spans="1:19" ht="12.75">
      <c r="A52" s="294" t="s">
        <v>204</v>
      </c>
      <c r="B52" s="295"/>
      <c r="C52" s="215">
        <f t="shared" si="3"/>
        <v>0</v>
      </c>
      <c r="D52" s="207"/>
      <c r="E52" s="217">
        <f t="shared" si="4"/>
        <v>0</v>
      </c>
      <c r="F52" s="217">
        <f t="shared" si="0"/>
        <v>0</v>
      </c>
      <c r="G52" s="208">
        <v>0.75</v>
      </c>
      <c r="H52" s="217">
        <f t="shared" si="1"/>
        <v>0</v>
      </c>
      <c r="I52" s="221">
        <f t="shared" si="2"/>
        <v>0</v>
      </c>
      <c r="O52" t="s">
        <v>252</v>
      </c>
      <c r="P52" t="s">
        <v>249</v>
      </c>
      <c r="Q52">
        <v>3.2</v>
      </c>
      <c r="R52" t="s">
        <v>181</v>
      </c>
      <c r="S52">
        <v>0</v>
      </c>
    </row>
    <row r="53" spans="1:19" ht="12.75">
      <c r="A53" s="294" t="s">
        <v>204</v>
      </c>
      <c r="B53" s="295"/>
      <c r="C53" s="215">
        <f t="shared" si="3"/>
        <v>0</v>
      </c>
      <c r="D53" s="207"/>
      <c r="E53" s="217">
        <f t="shared" si="4"/>
        <v>0</v>
      </c>
      <c r="F53" s="217">
        <f t="shared" si="0"/>
        <v>0</v>
      </c>
      <c r="G53" s="208">
        <v>0.75</v>
      </c>
      <c r="H53" s="217">
        <f t="shared" si="1"/>
        <v>0</v>
      </c>
      <c r="I53" s="221">
        <f t="shared" si="2"/>
        <v>0</v>
      </c>
      <c r="O53" t="s">
        <v>253</v>
      </c>
      <c r="P53" t="s">
        <v>249</v>
      </c>
      <c r="Q53">
        <v>0.91</v>
      </c>
      <c r="R53" t="s">
        <v>181</v>
      </c>
      <c r="S53">
        <v>0</v>
      </c>
    </row>
    <row r="54" spans="1:19" ht="12.75">
      <c r="A54" s="294" t="s">
        <v>204</v>
      </c>
      <c r="B54" s="295"/>
      <c r="C54" s="215">
        <f t="shared" si="3"/>
        <v>0</v>
      </c>
      <c r="D54" s="207"/>
      <c r="E54" s="217">
        <f t="shared" si="4"/>
        <v>0</v>
      </c>
      <c r="F54" s="217">
        <f t="shared" si="0"/>
        <v>0</v>
      </c>
      <c r="G54" s="208">
        <v>0.75</v>
      </c>
      <c r="H54" s="217">
        <f t="shared" si="1"/>
        <v>0</v>
      </c>
      <c r="I54" s="221">
        <f t="shared" si="2"/>
        <v>0</v>
      </c>
      <c r="O54" t="s">
        <v>254</v>
      </c>
      <c r="P54" t="s">
        <v>249</v>
      </c>
      <c r="Q54">
        <v>1.24</v>
      </c>
      <c r="R54" t="s">
        <v>181</v>
      </c>
      <c r="S54">
        <v>0</v>
      </c>
    </row>
    <row r="55" spans="1:19" ht="13.5" thickBot="1">
      <c r="A55" s="296" t="s">
        <v>204</v>
      </c>
      <c r="B55" s="296"/>
      <c r="C55" s="223">
        <f t="shared" si="3"/>
        <v>0</v>
      </c>
      <c r="D55" s="224"/>
      <c r="E55" s="225">
        <f t="shared" si="4"/>
        <v>0</v>
      </c>
      <c r="F55" s="218">
        <f t="shared" si="0"/>
        <v>0</v>
      </c>
      <c r="G55" s="209">
        <v>0.75</v>
      </c>
      <c r="H55" s="218">
        <f t="shared" si="1"/>
        <v>0</v>
      </c>
      <c r="I55" s="222">
        <f t="shared" si="2"/>
        <v>0</v>
      </c>
      <c r="O55" t="s">
        <v>255</v>
      </c>
      <c r="P55" t="s">
        <v>256</v>
      </c>
      <c r="Q55">
        <v>1.5</v>
      </c>
      <c r="R55" t="s">
        <v>177</v>
      </c>
      <c r="S55">
        <v>0</v>
      </c>
    </row>
    <row r="56" spans="1:19" ht="13.5" thickBot="1">
      <c r="A56" s="262" t="s">
        <v>257</v>
      </c>
      <c r="B56" s="262"/>
      <c r="C56" s="210"/>
      <c r="D56" s="184"/>
      <c r="E56" s="184"/>
      <c r="F56" s="219" t="e">
        <f>SUM(F12:F55)</f>
        <v>#VALUE!</v>
      </c>
      <c r="G56" s="211"/>
      <c r="H56" s="219" t="e">
        <f>SUM(H12:H55)</f>
        <v>#VALUE!</v>
      </c>
      <c r="I56" s="219" t="e">
        <f>SUM(I12:I55)</f>
        <v>#VALUE!</v>
      </c>
      <c r="O56" t="s">
        <v>258</v>
      </c>
      <c r="P56" t="s">
        <v>256</v>
      </c>
      <c r="Q56">
        <v>1.5</v>
      </c>
      <c r="R56" t="s">
        <v>181</v>
      </c>
      <c r="S56">
        <v>0</v>
      </c>
    </row>
    <row r="57" spans="1:19" ht="12.75">
      <c r="A57" s="293"/>
      <c r="B57" s="293"/>
      <c r="C57" s="185"/>
      <c r="D57" s="210"/>
      <c r="E57" s="212"/>
      <c r="F57" s="212"/>
      <c r="G57" s="213"/>
      <c r="H57" s="212"/>
      <c r="I57" s="212"/>
      <c r="O57" t="s">
        <v>259</v>
      </c>
      <c r="P57" t="s">
        <v>249</v>
      </c>
      <c r="Q57">
        <v>0.39</v>
      </c>
      <c r="R57" t="s">
        <v>181</v>
      </c>
      <c r="S57">
        <v>0</v>
      </c>
    </row>
    <row r="58" spans="1:19" ht="12.75">
      <c r="A58" s="293"/>
      <c r="B58" s="293"/>
      <c r="C58" s="185"/>
      <c r="D58" s="210"/>
      <c r="E58" s="212"/>
      <c r="F58" s="212"/>
      <c r="G58" s="213"/>
      <c r="H58" s="212"/>
      <c r="I58" s="212"/>
      <c r="O58" t="s">
        <v>260</v>
      </c>
      <c r="P58" t="s">
        <v>256</v>
      </c>
      <c r="Q58">
        <v>0.34</v>
      </c>
      <c r="R58" t="s">
        <v>181</v>
      </c>
      <c r="S58">
        <v>0</v>
      </c>
    </row>
    <row r="59" spans="1:19" ht="12.75">
      <c r="A59" s="293"/>
      <c r="B59" s="293"/>
      <c r="C59" s="185"/>
      <c r="D59" s="210"/>
      <c r="E59" s="212"/>
      <c r="F59" s="212"/>
      <c r="G59" s="213"/>
      <c r="H59" s="212"/>
      <c r="I59" s="212"/>
      <c r="O59" t="s">
        <v>261</v>
      </c>
      <c r="P59" t="s">
        <v>219</v>
      </c>
      <c r="Q59">
        <v>27</v>
      </c>
      <c r="R59" t="s">
        <v>181</v>
      </c>
      <c r="S59">
        <v>0</v>
      </c>
    </row>
    <row r="60" spans="1:19" ht="12.75">
      <c r="A60" s="293"/>
      <c r="B60" s="293"/>
      <c r="C60" s="185"/>
      <c r="D60" s="210"/>
      <c r="E60" s="212"/>
      <c r="F60" s="212"/>
      <c r="G60" s="213"/>
      <c r="H60" s="212"/>
      <c r="I60" s="212"/>
      <c r="O60" t="s">
        <v>262</v>
      </c>
      <c r="P60" t="s">
        <v>219</v>
      </c>
      <c r="Q60">
        <v>7.7</v>
      </c>
      <c r="R60" t="s">
        <v>181</v>
      </c>
      <c r="S60">
        <v>0</v>
      </c>
    </row>
    <row r="61" spans="1:19" ht="12.75">
      <c r="A61" s="293"/>
      <c r="B61" s="293"/>
      <c r="C61" s="185"/>
      <c r="D61" s="210"/>
      <c r="E61" s="212"/>
      <c r="F61" s="212"/>
      <c r="G61" s="213"/>
      <c r="H61" s="212"/>
      <c r="I61" s="212"/>
      <c r="O61" t="s">
        <v>263</v>
      </c>
      <c r="P61" t="s">
        <v>219</v>
      </c>
      <c r="Q61">
        <v>58.27</v>
      </c>
      <c r="R61" t="s">
        <v>181</v>
      </c>
      <c r="S61">
        <v>0</v>
      </c>
    </row>
    <row r="62" spans="15:19" ht="12.75">
      <c r="O62" t="s">
        <v>264</v>
      </c>
      <c r="P62" t="s">
        <v>249</v>
      </c>
      <c r="Q62">
        <v>1.5</v>
      </c>
      <c r="R62" t="s">
        <v>181</v>
      </c>
      <c r="S62">
        <v>0</v>
      </c>
    </row>
    <row r="63" spans="15:19" ht="12.75">
      <c r="O63" t="s">
        <v>265</v>
      </c>
      <c r="P63" t="s">
        <v>176</v>
      </c>
      <c r="Q63">
        <v>5</v>
      </c>
      <c r="R63" t="s">
        <v>177</v>
      </c>
      <c r="S63">
        <v>0</v>
      </c>
    </row>
    <row r="64" spans="7:19" ht="12.75">
      <c r="G64" s="1"/>
      <c r="O64" t="s">
        <v>266</v>
      </c>
      <c r="P64" t="s">
        <v>179</v>
      </c>
      <c r="Q64">
        <v>480.67</v>
      </c>
      <c r="R64" t="s">
        <v>181</v>
      </c>
      <c r="S64">
        <v>0</v>
      </c>
    </row>
    <row r="65" spans="15:19" ht="12.75">
      <c r="O65" t="s">
        <v>267</v>
      </c>
      <c r="P65" t="s">
        <v>179</v>
      </c>
      <c r="Q65">
        <v>100</v>
      </c>
      <c r="R65" t="s">
        <v>181</v>
      </c>
      <c r="S65">
        <v>0</v>
      </c>
    </row>
    <row r="66" spans="15:19" ht="12.75">
      <c r="O66" t="s">
        <v>268</v>
      </c>
      <c r="P66" t="s">
        <v>179</v>
      </c>
      <c r="Q66">
        <v>130</v>
      </c>
      <c r="R66" t="s">
        <v>181</v>
      </c>
      <c r="S66">
        <v>0</v>
      </c>
    </row>
    <row r="67" spans="15:19" ht="12.75">
      <c r="O67" t="s">
        <v>269</v>
      </c>
      <c r="P67" t="s">
        <v>179</v>
      </c>
      <c r="Q67">
        <v>100</v>
      </c>
      <c r="R67" t="s">
        <v>181</v>
      </c>
      <c r="S67">
        <v>0</v>
      </c>
    </row>
    <row r="68" spans="15:19" ht="12.75">
      <c r="O68" t="s">
        <v>270</v>
      </c>
      <c r="P68" t="s">
        <v>179</v>
      </c>
      <c r="Q68">
        <v>150</v>
      </c>
      <c r="R68" t="s">
        <v>181</v>
      </c>
      <c r="S68">
        <v>0</v>
      </c>
    </row>
    <row r="69" spans="15:19" ht="12.75">
      <c r="O69" t="s">
        <v>271</v>
      </c>
      <c r="P69" t="s">
        <v>176</v>
      </c>
      <c r="Q69">
        <v>0.5</v>
      </c>
      <c r="R69" t="s">
        <v>181</v>
      </c>
      <c r="S69">
        <v>0</v>
      </c>
    </row>
    <row r="70" spans="15:19" ht="12.75">
      <c r="O70" t="s">
        <v>272</v>
      </c>
      <c r="P70" t="s">
        <v>176</v>
      </c>
      <c r="Q70">
        <v>2</v>
      </c>
      <c r="R70" t="s">
        <v>181</v>
      </c>
      <c r="S70">
        <v>0</v>
      </c>
    </row>
    <row r="71" spans="15:19" ht="12.75">
      <c r="O71" t="s">
        <v>273</v>
      </c>
      <c r="P71" t="s">
        <v>176</v>
      </c>
      <c r="Q71">
        <v>0.5</v>
      </c>
      <c r="R71" t="s">
        <v>181</v>
      </c>
      <c r="S71">
        <v>0</v>
      </c>
    </row>
    <row r="72" spans="15:19" ht="12.75">
      <c r="O72" t="s">
        <v>274</v>
      </c>
      <c r="P72" t="s">
        <v>275</v>
      </c>
      <c r="Q72">
        <v>3.5</v>
      </c>
      <c r="R72" t="s">
        <v>181</v>
      </c>
      <c r="S72">
        <v>0</v>
      </c>
    </row>
    <row r="73" spans="15:19" ht="12.75">
      <c r="O73" t="s">
        <v>276</v>
      </c>
      <c r="P73" t="s">
        <v>275</v>
      </c>
      <c r="Q73">
        <v>2</v>
      </c>
      <c r="R73" t="s">
        <v>181</v>
      </c>
      <c r="S73">
        <v>0</v>
      </c>
    </row>
    <row r="74" spans="15:19" ht="12.75">
      <c r="O74" t="s">
        <v>277</v>
      </c>
      <c r="P74" t="s">
        <v>179</v>
      </c>
      <c r="Q74">
        <v>10</v>
      </c>
      <c r="R74" t="s">
        <v>203</v>
      </c>
      <c r="S74">
        <v>100</v>
      </c>
    </row>
    <row r="75" spans="15:19" ht="12.75">
      <c r="O75" t="s">
        <v>278</v>
      </c>
      <c r="P75" t="s">
        <v>179</v>
      </c>
      <c r="Q75">
        <v>6</v>
      </c>
      <c r="R75" t="s">
        <v>203</v>
      </c>
      <c r="S75">
        <v>100</v>
      </c>
    </row>
    <row r="76" spans="15:19" ht="12.75">
      <c r="O76" t="s">
        <v>279</v>
      </c>
      <c r="P76" t="s">
        <v>280</v>
      </c>
      <c r="Q76">
        <v>360</v>
      </c>
      <c r="R76" t="s">
        <v>177</v>
      </c>
      <c r="S76">
        <v>0</v>
      </c>
    </row>
    <row r="77" spans="15:19" ht="12.75">
      <c r="O77" t="s">
        <v>281</v>
      </c>
      <c r="P77" t="s">
        <v>179</v>
      </c>
      <c r="Q77">
        <v>10</v>
      </c>
      <c r="R77" t="s">
        <v>203</v>
      </c>
      <c r="S77">
        <v>100</v>
      </c>
    </row>
    <row r="78" spans="15:19" ht="12.75">
      <c r="O78" t="s">
        <v>282</v>
      </c>
      <c r="P78" t="s">
        <v>179</v>
      </c>
      <c r="Q78">
        <v>15</v>
      </c>
      <c r="R78" t="s">
        <v>177</v>
      </c>
      <c r="S78">
        <v>100</v>
      </c>
    </row>
    <row r="79" spans="15:19" ht="12.75">
      <c r="O79" t="s">
        <v>283</v>
      </c>
      <c r="P79" t="s">
        <v>206</v>
      </c>
      <c r="Q79">
        <v>100</v>
      </c>
      <c r="R79" t="s">
        <v>181</v>
      </c>
      <c r="S79">
        <v>0</v>
      </c>
    </row>
    <row r="80" spans="15:19" ht="12.75">
      <c r="O80" t="s">
        <v>284</v>
      </c>
      <c r="P80" t="s">
        <v>206</v>
      </c>
      <c r="Q80">
        <v>15.66</v>
      </c>
      <c r="R80" t="s">
        <v>181</v>
      </c>
      <c r="S80">
        <v>0</v>
      </c>
    </row>
    <row r="81" spans="15:19" ht="12.75">
      <c r="O81" t="s">
        <v>285</v>
      </c>
      <c r="P81" t="s">
        <v>206</v>
      </c>
      <c r="Q81">
        <v>14.72</v>
      </c>
      <c r="R81" t="s">
        <v>181</v>
      </c>
      <c r="S81">
        <v>0</v>
      </c>
    </row>
    <row r="82" spans="15:19" ht="12.75">
      <c r="O82" t="s">
        <v>286</v>
      </c>
      <c r="P82" t="s">
        <v>206</v>
      </c>
      <c r="Q82">
        <v>100</v>
      </c>
      <c r="R82" t="s">
        <v>181</v>
      </c>
      <c r="S82">
        <v>0</v>
      </c>
    </row>
    <row r="83" spans="15:19" ht="12.75">
      <c r="O83" t="s">
        <v>287</v>
      </c>
      <c r="P83" t="s">
        <v>242</v>
      </c>
      <c r="Q83">
        <v>82.34</v>
      </c>
      <c r="R83" t="s">
        <v>181</v>
      </c>
      <c r="S83">
        <v>0</v>
      </c>
    </row>
    <row r="84" spans="15:17" ht="12.75">
      <c r="O84" t="s">
        <v>204</v>
      </c>
      <c r="Q84">
        <v>0</v>
      </c>
    </row>
    <row r="85" spans="15:19" ht="12.75">
      <c r="O85" t="s">
        <v>288</v>
      </c>
      <c r="P85" t="s">
        <v>176</v>
      </c>
      <c r="Q85">
        <v>1500</v>
      </c>
      <c r="R85" t="s">
        <v>181</v>
      </c>
      <c r="S85">
        <v>0</v>
      </c>
    </row>
    <row r="86" spans="15:19" ht="12.75">
      <c r="O86" t="s">
        <v>289</v>
      </c>
      <c r="P86" t="s">
        <v>179</v>
      </c>
      <c r="Q86">
        <v>9</v>
      </c>
      <c r="R86" t="s">
        <v>203</v>
      </c>
      <c r="S86">
        <v>100</v>
      </c>
    </row>
    <row r="87" spans="15:19" ht="12.75">
      <c r="O87" t="s">
        <v>290</v>
      </c>
      <c r="P87" t="s">
        <v>291</v>
      </c>
      <c r="Q87">
        <v>0</v>
      </c>
      <c r="R87" t="s">
        <v>203</v>
      </c>
      <c r="S87">
        <v>100</v>
      </c>
    </row>
    <row r="88" spans="15:19" ht="12.75">
      <c r="O88" t="s">
        <v>292</v>
      </c>
      <c r="P88" t="s">
        <v>291</v>
      </c>
      <c r="Q88">
        <v>0</v>
      </c>
      <c r="R88" t="s">
        <v>203</v>
      </c>
      <c r="S88">
        <v>100</v>
      </c>
    </row>
    <row r="89" spans="15:19" ht="12.75">
      <c r="O89" t="s">
        <v>293</v>
      </c>
      <c r="P89" t="s">
        <v>291</v>
      </c>
      <c r="Q89">
        <v>0</v>
      </c>
      <c r="R89" t="s">
        <v>203</v>
      </c>
      <c r="S89">
        <v>100</v>
      </c>
    </row>
    <row r="90" spans="15:19" ht="12.75">
      <c r="O90" t="s">
        <v>294</v>
      </c>
      <c r="P90" t="s">
        <v>291</v>
      </c>
      <c r="Q90">
        <v>0</v>
      </c>
      <c r="R90" t="s">
        <v>203</v>
      </c>
      <c r="S90">
        <v>100</v>
      </c>
    </row>
    <row r="91" spans="15:19" ht="12.75">
      <c r="O91" t="s">
        <v>295</v>
      </c>
      <c r="P91" t="s">
        <v>226</v>
      </c>
      <c r="Q91">
        <v>30.63</v>
      </c>
      <c r="R91" t="s">
        <v>181</v>
      </c>
      <c r="S91">
        <v>0</v>
      </c>
    </row>
    <row r="92" spans="15:19" ht="12.75">
      <c r="O92" t="s">
        <v>296</v>
      </c>
      <c r="P92" t="s">
        <v>226</v>
      </c>
      <c r="Q92">
        <v>24.77</v>
      </c>
      <c r="R92" t="s">
        <v>181</v>
      </c>
      <c r="S92">
        <v>0</v>
      </c>
    </row>
    <row r="93" spans="15:19" ht="12.75">
      <c r="O93" t="s">
        <v>297</v>
      </c>
      <c r="P93" t="s">
        <v>226</v>
      </c>
      <c r="Q93">
        <v>33.42</v>
      </c>
      <c r="R93" t="s">
        <v>181</v>
      </c>
      <c r="S93">
        <v>0</v>
      </c>
    </row>
    <row r="94" spans="15:19" ht="12.75">
      <c r="O94" t="s">
        <v>298</v>
      </c>
      <c r="P94" t="s">
        <v>226</v>
      </c>
      <c r="Q94">
        <v>41.62</v>
      </c>
      <c r="R94" t="s">
        <v>181</v>
      </c>
      <c r="S94">
        <v>0</v>
      </c>
    </row>
    <row r="95" spans="15:19" ht="12.75">
      <c r="O95" t="s">
        <v>299</v>
      </c>
      <c r="P95" t="s">
        <v>226</v>
      </c>
      <c r="Q95">
        <v>22.08</v>
      </c>
      <c r="R95" t="s">
        <v>181</v>
      </c>
      <c r="S95">
        <v>0</v>
      </c>
    </row>
    <row r="96" spans="15:19" ht="12.75">
      <c r="O96" t="s">
        <v>300</v>
      </c>
      <c r="P96" t="s">
        <v>226</v>
      </c>
      <c r="Q96">
        <v>38.94</v>
      </c>
      <c r="R96" t="s">
        <v>181</v>
      </c>
      <c r="S96">
        <v>0</v>
      </c>
    </row>
    <row r="97" spans="15:19" ht="12.75">
      <c r="O97" t="s">
        <v>301</v>
      </c>
      <c r="P97" t="s">
        <v>226</v>
      </c>
      <c r="Q97">
        <v>90</v>
      </c>
      <c r="R97" t="s">
        <v>181</v>
      </c>
      <c r="S97">
        <v>0</v>
      </c>
    </row>
    <row r="98" spans="15:19" ht="12.75">
      <c r="O98" t="s">
        <v>302</v>
      </c>
      <c r="P98" t="s">
        <v>226</v>
      </c>
      <c r="Q98">
        <v>91.25</v>
      </c>
      <c r="R98" t="s">
        <v>181</v>
      </c>
      <c r="S98">
        <v>0</v>
      </c>
    </row>
    <row r="99" spans="15:19" ht="12.75">
      <c r="O99" t="s">
        <v>303</v>
      </c>
      <c r="P99" t="s">
        <v>226</v>
      </c>
      <c r="Q99">
        <v>60.63</v>
      </c>
      <c r="R99" t="s">
        <v>181</v>
      </c>
      <c r="S99">
        <v>0</v>
      </c>
    </row>
    <row r="100" spans="15:19" ht="12.75">
      <c r="O100" t="s">
        <v>304</v>
      </c>
      <c r="P100" t="s">
        <v>226</v>
      </c>
      <c r="Q100">
        <v>36.53</v>
      </c>
      <c r="R100" t="s">
        <v>181</v>
      </c>
      <c r="S100">
        <v>0</v>
      </c>
    </row>
    <row r="101" spans="15:19" ht="12.75">
      <c r="O101" t="s">
        <v>305</v>
      </c>
      <c r="P101" t="s">
        <v>226</v>
      </c>
      <c r="Q101">
        <v>82.1</v>
      </c>
      <c r="R101" t="s">
        <v>181</v>
      </c>
      <c r="S101">
        <v>0</v>
      </c>
    </row>
    <row r="102" spans="15:19" ht="12.75">
      <c r="O102" t="s">
        <v>306</v>
      </c>
      <c r="P102" t="s">
        <v>176</v>
      </c>
      <c r="Q102">
        <v>928.63</v>
      </c>
      <c r="R102" t="s">
        <v>181</v>
      </c>
      <c r="S102">
        <v>0</v>
      </c>
    </row>
    <row r="103" spans="15:19" ht="12.75">
      <c r="O103" t="s">
        <v>307</v>
      </c>
      <c r="P103" t="s">
        <v>176</v>
      </c>
      <c r="Q103">
        <v>1617.3</v>
      </c>
      <c r="R103" t="s">
        <v>181</v>
      </c>
      <c r="S103">
        <v>0</v>
      </c>
    </row>
    <row r="104" spans="15:19" ht="12.75">
      <c r="O104" t="s">
        <v>308</v>
      </c>
      <c r="P104" t="s">
        <v>176</v>
      </c>
      <c r="Q104">
        <v>1814</v>
      </c>
      <c r="R104" t="s">
        <v>181</v>
      </c>
      <c r="S104">
        <v>0</v>
      </c>
    </row>
    <row r="105" spans="15:19" ht="12.75">
      <c r="O105" t="s">
        <v>309</v>
      </c>
      <c r="P105" t="s">
        <v>176</v>
      </c>
      <c r="Q105">
        <v>593.54</v>
      </c>
      <c r="R105" t="s">
        <v>181</v>
      </c>
      <c r="S105">
        <v>0</v>
      </c>
    </row>
    <row r="106" spans="15:19" ht="12.75">
      <c r="O106" t="s">
        <v>310</v>
      </c>
      <c r="P106" t="s">
        <v>176</v>
      </c>
      <c r="Q106">
        <v>672</v>
      </c>
      <c r="R106" t="s">
        <v>181</v>
      </c>
      <c r="S106">
        <v>0</v>
      </c>
    </row>
    <row r="107" spans="15:19" ht="12.75">
      <c r="O107" t="s">
        <v>311</v>
      </c>
      <c r="P107" t="s">
        <v>176</v>
      </c>
      <c r="Q107">
        <v>1033.64</v>
      </c>
      <c r="R107" t="s">
        <v>181</v>
      </c>
      <c r="S107">
        <v>0</v>
      </c>
    </row>
    <row r="108" spans="15:19" ht="12.75">
      <c r="O108" t="s">
        <v>312</v>
      </c>
      <c r="P108" t="s">
        <v>176</v>
      </c>
      <c r="Q108">
        <v>1250.28</v>
      </c>
      <c r="R108" t="s">
        <v>181</v>
      </c>
      <c r="S108">
        <v>0</v>
      </c>
    </row>
    <row r="109" spans="15:19" ht="12.75">
      <c r="O109" t="s">
        <v>313</v>
      </c>
      <c r="P109" t="s">
        <v>226</v>
      </c>
      <c r="Q109">
        <v>125</v>
      </c>
      <c r="R109" t="s">
        <v>181</v>
      </c>
      <c r="S109">
        <v>0</v>
      </c>
    </row>
    <row r="110" spans="15:19" ht="12.75">
      <c r="O110" t="s">
        <v>314</v>
      </c>
      <c r="P110" t="s">
        <v>176</v>
      </c>
      <c r="Q110">
        <v>139.6</v>
      </c>
      <c r="R110" t="s">
        <v>181</v>
      </c>
      <c r="S110">
        <v>0</v>
      </c>
    </row>
    <row r="111" spans="15:19" ht="12.75">
      <c r="O111" t="s">
        <v>315</v>
      </c>
      <c r="P111" t="s">
        <v>275</v>
      </c>
      <c r="Q111">
        <v>35</v>
      </c>
      <c r="R111" t="s">
        <v>181</v>
      </c>
      <c r="S111">
        <v>0</v>
      </c>
    </row>
    <row r="112" spans="15:19" ht="12.75">
      <c r="O112" t="s">
        <v>316</v>
      </c>
      <c r="P112" t="s">
        <v>176</v>
      </c>
      <c r="Q112">
        <v>750</v>
      </c>
      <c r="R112" t="s">
        <v>181</v>
      </c>
      <c r="S112">
        <v>0</v>
      </c>
    </row>
    <row r="113" spans="15:19" ht="12.75">
      <c r="O113" t="s">
        <v>317</v>
      </c>
      <c r="P113" t="s">
        <v>249</v>
      </c>
      <c r="Q113">
        <v>50</v>
      </c>
      <c r="R113" t="s">
        <v>181</v>
      </c>
      <c r="S113">
        <v>0</v>
      </c>
    </row>
    <row r="114" spans="15:19" ht="12.75">
      <c r="O114" t="s">
        <v>318</v>
      </c>
      <c r="P114" t="s">
        <v>179</v>
      </c>
      <c r="Q114">
        <v>3</v>
      </c>
      <c r="R114" t="s">
        <v>203</v>
      </c>
      <c r="S114">
        <v>100</v>
      </c>
    </row>
    <row r="115" spans="15:19" ht="12.75">
      <c r="O115" t="s">
        <v>318</v>
      </c>
      <c r="P115" t="s">
        <v>179</v>
      </c>
      <c r="Q115">
        <v>3</v>
      </c>
      <c r="R115" t="s">
        <v>203</v>
      </c>
      <c r="S115">
        <v>100</v>
      </c>
    </row>
    <row r="116" spans="15:19" ht="12.75">
      <c r="O116" t="s">
        <v>319</v>
      </c>
      <c r="P116" t="s">
        <v>179</v>
      </c>
      <c r="Q116">
        <v>15</v>
      </c>
      <c r="R116" t="s">
        <v>203</v>
      </c>
      <c r="S116">
        <v>100</v>
      </c>
    </row>
  </sheetData>
  <sheetProtection sheet="1" objects="1" scenarios="1"/>
  <mergeCells count="53">
    <mergeCell ref="B5:E5"/>
    <mergeCell ref="B7:E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44:B44"/>
    <mergeCell ref="A55:B55"/>
    <mergeCell ref="A56:B56"/>
    <mergeCell ref="A1:I1"/>
    <mergeCell ref="A40:B40"/>
    <mergeCell ref="A41:B41"/>
    <mergeCell ref="A42:B42"/>
    <mergeCell ref="A43:B43"/>
    <mergeCell ref="A36:B36"/>
    <mergeCell ref="A37:B37"/>
    <mergeCell ref="A45:B45"/>
    <mergeCell ref="A46:B46"/>
    <mergeCell ref="A47:B47"/>
    <mergeCell ref="A48:B48"/>
    <mergeCell ref="A53:B53"/>
    <mergeCell ref="A54:B54"/>
    <mergeCell ref="A49:B49"/>
    <mergeCell ref="A50:B50"/>
    <mergeCell ref="A51:B51"/>
    <mergeCell ref="A52:B52"/>
    <mergeCell ref="A61:B61"/>
    <mergeCell ref="A57:B57"/>
    <mergeCell ref="A58:B58"/>
    <mergeCell ref="A59:B59"/>
    <mergeCell ref="A60:B60"/>
  </mergeCells>
  <dataValidations count="1">
    <dataValidation type="list" allowBlank="1" showInputMessage="1" showErrorMessage="1" sqref="A57:B61 A12:B55">
      <formula1>$O$2:$O$116</formula1>
    </dataValidation>
  </dataValidation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ColoRiverSalinityRC</dc:title>
  <dc:subject/>
  <dc:creator>donna.rasmussen</dc:creator>
  <cp:keywords/>
  <dc:description/>
  <cp:lastModifiedBy>rochelle.wimberly</cp:lastModifiedBy>
  <cp:lastPrinted>2004-09-27T16:01:43Z</cp:lastPrinted>
  <dcterms:created xsi:type="dcterms:W3CDTF">2004-01-28T15:07:47Z</dcterms:created>
  <dcterms:modified xsi:type="dcterms:W3CDTF">2004-12-06T22:07:46Z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-1014536775</vt:i4>
  </property>
  <property fmtid="{D5CDD505-2E9C-101B-9397-08002B2CF9AE}" pid="3" name="_EmailSubject">
    <vt:lpwstr>Additional ranking tools for 3 watersheds</vt:lpwstr>
  </property>
  <property fmtid="{D5CDD505-2E9C-101B-9397-08002B2CF9AE}" pid="4" name="_AuthorEmail">
    <vt:lpwstr>Dawn.Jackson@co.usda.gov</vt:lpwstr>
  </property>
  <property fmtid="{D5CDD505-2E9C-101B-9397-08002B2CF9AE}" pid="5" name="_AuthorEmailDisplayName">
    <vt:lpwstr>Jackson, Dawn - Sterling, CO</vt:lpwstr>
  </property>
  <property fmtid="{D5CDD505-2E9C-101B-9397-08002B2CF9AE}" pid="6" name="_PreviousAdHocReviewCycleID">
    <vt:i4>-763168254</vt:i4>
  </property>
  <property fmtid="{D5CDD505-2E9C-101B-9397-08002B2CF9AE}" pid="7" name="Publisher">
    <vt:lpwstr>Donna Rasmussen/Rod Clark</vt:lpwstr>
  </property>
  <property fmtid="{D5CDD505-2E9C-101B-9397-08002B2CF9AE}" pid="8" name="_ReviewingToolsShownOnce">
    <vt:lpwstr/>
  </property>
</Properties>
</file>