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255" windowWidth="14700" windowHeight="9075" tabRatio="866" activeTab="0"/>
  </bookViews>
  <sheets>
    <sheet name="Introduction" sheetId="1" r:id="rId1"/>
    <sheet name="Data" sheetId="2" r:id="rId2"/>
    <sheet name="Pool Heaters" sheetId="3" r:id="rId3"/>
    <sheet name="TP_EnergyUseCalc" sheetId="4" r:id="rId4"/>
    <sheet name="TP_Definitions" sheetId="5" r:id="rId5"/>
  </sheets>
  <definedNames>
    <definedName name="_xlfn.BAHTTEXT" hidden="1">#NAME?</definedName>
    <definedName name="Base_Cost">'Pool Heaters'!$G$8</definedName>
    <definedName name="baseline_cost_PH">'Data'!#REF!</definedName>
    <definedName name="Baseline_Maint_Cost">'Data'!$G$13</definedName>
    <definedName name="bld_markup">'Data'!$D$50</definedName>
    <definedName name="BOH">'TP_EnergyUseCalc'!$K$11:$K$29</definedName>
    <definedName name="BOH_baseline">'TP_EnergyUseCalc'!$K$11</definedName>
    <definedName name="Condensing_Adder">'Data'!#REF!</definedName>
    <definedName name="Condensing_Adder_95">'Data'!#REF!</definedName>
    <definedName name="contr_markup">'Data'!$D$48</definedName>
    <definedName name="CPI_1990">'Data'!$D$32</definedName>
    <definedName name="CPI_1991">'Data'!$D$33</definedName>
    <definedName name="CPI_1992">'Data'!$D$34</definedName>
    <definedName name="CPI_1998">'Data'!$D$35</definedName>
    <definedName name="CPI_1999">'Data'!$D$36</definedName>
    <definedName name="CPI_2001">'Data'!$D$37</definedName>
    <definedName name="CPI_2002">'Data'!$D$38</definedName>
    <definedName name="CPI_2003">'Data'!$D$39</definedName>
    <definedName name="CPI_2004">'Data'!$D$40</definedName>
    <definedName name="CPI_2005">'Data'!$D$41</definedName>
    <definedName name="CPI_2006">'Data'!$D$42</definedName>
    <definedName name="CPI_2007">'Data'!$D$43</definedName>
    <definedName name="distr_markup">'Data'!$D$46</definedName>
    <definedName name="E_IN">'TP_EnergyUseCalc'!$H$11:$H$29</definedName>
    <definedName name="E_OUT">'TP_EnergyUseCalc'!$G$11:$G$29</definedName>
    <definedName name="E_t">'TP_EnergyUseCalc'!$E$11:$E$29</definedName>
    <definedName name="E_T_baseline">'TP_EnergyUseCalc'!$E$11</definedName>
    <definedName name="elec_price">'Data'!$G$56</definedName>
    <definedName name="elec_use">'Pool Heaters'!$L$8:$L$26</definedName>
    <definedName name="Electronic_Ignition_Adder">'Data'!#REF!</definedName>
    <definedName name="frac_lpg">'Data'!$D$61</definedName>
    <definedName name="frac_new_constr">'Data'!$D$62</definedName>
    <definedName name="frac_replacement">'Data'!$D$63</definedName>
    <definedName name="fuel_price">'Data'!$G$59</definedName>
    <definedName name="fuel_use">'Pool Heaters'!$K$8:$K$26</definedName>
    <definedName name="incr_bld_markup">'Data'!$D$51</definedName>
    <definedName name="incr_contr_markup">'Data'!$D$49</definedName>
    <definedName name="incr_distr_markup">'Data'!$D$47</definedName>
    <definedName name="Incremental_Cost">'Pool Heaters'!$F$7:$F$26</definedName>
    <definedName name="Induced_Draft_Adder">'Data'!#REF!</definedName>
    <definedName name="Installation_Cost">'Pool Heaters'!$H$8:$H$26</definedName>
    <definedName name="Installation_Cost_Adder_Condensing">'Data'!$G$11</definedName>
    <definedName name="Installation_Cost_Adder_Elec">'Data'!$G$10</definedName>
    <definedName name="Installation_Cost_New_Construction">'Data'!$G$9</definedName>
    <definedName name="Installation_Cost_Replacement">'Data'!$G$8</definedName>
    <definedName name="Labor_Cost">'Pool Heaters'!$E$8:$E$11</definedName>
    <definedName name="LOAD">'TP_EnergyUseCalc'!$K$6</definedName>
    <definedName name="LPG_price">'Data'!$G$58</definedName>
    <definedName name="maint_Cost_advDesign">'Data'!$G$16</definedName>
    <definedName name="maint_cost_advDesign_freq">'Data'!$D$17</definedName>
    <definedName name="maint_cost_advDesign_prob">'Data'!$D$18</definedName>
    <definedName name="maint_cost_baseline_freq">'Data'!$D$14</definedName>
    <definedName name="maint_cost_baseline_prob">'Data'!$D$15</definedName>
    <definedName name="Maintenance_Cost">'Pool Heaters'!$I$8:$I$26</definedName>
    <definedName name="markup_base_cost">'Data'!$D$53</definedName>
    <definedName name="markup_increm_cost">'Data'!$D$54</definedName>
    <definedName name="Material_Cost">'Pool Heaters'!$D$8:$D$11</definedName>
    <definedName name="Mfr_Base_Cost">'Pool Heaters'!#REF!</definedName>
    <definedName name="mfr_markup">'Data'!$D$45</definedName>
    <definedName name="NG_price">'Data'!$G$57</definedName>
    <definedName name="Overhead_Cost">'Pool Heaters'!#REF!</definedName>
    <definedName name="PE">'TP_EnergyUseCalc'!$F$11:$F$29</definedName>
    <definedName name="ph_lifetime">'Data'!$D$6</definedName>
    <definedName name="PHL">'TP_EnergyUseCalc'!#REF!</definedName>
    <definedName name="POH">'TP_EnergyUseCalc'!$J$11:$J$29</definedName>
    <definedName name="Power_Vent_Adder">'Data'!#REF!</definedName>
    <definedName name="PPI_1990">'Data'!#REF!</definedName>
    <definedName name="PPI_1998">'Data'!#REF!</definedName>
    <definedName name="PPI_2001">'Data'!#REF!</definedName>
    <definedName name="PPI_2006">'Data'!#REF!</definedName>
    <definedName name="Q_IN">'TP_EnergyUseCalc'!$C$11:$C$29</definedName>
    <definedName name="Q_P">'TP_EnergyUseCalc'!$D$11:$D$29</definedName>
    <definedName name="repair_condensing">'Data'!$G$28</definedName>
    <definedName name="repair_condensing_freq">'Data'!$D$29</definedName>
    <definedName name="repair_condensing_prob">'Data'!$D$30</definedName>
    <definedName name="repair_elec_ignition">'Data'!$G$22</definedName>
    <definedName name="repair_elec_ignition_freq">'Data'!$D$23</definedName>
    <definedName name="repair_elec_ignition_prob">'Data'!$D$24</definedName>
    <definedName name="repair_pilot_ignition">'Data'!$G$19</definedName>
    <definedName name="repair_pilot_ignition_freq">'Data'!$D$20</definedName>
    <definedName name="repair_pilot_ignition_prob">'Data'!$D$21</definedName>
    <definedName name="repair_power_vent">'Data'!$G$25</definedName>
    <definedName name="repair_power_vent_freq">'Data'!$D$26</definedName>
    <definedName name="repair_power_vent_prob">'Data'!$D$27</definedName>
    <definedName name="Retail_Price">'Pool Heaters'!$G$8:$G$26</definedName>
    <definedName name="sales_tax">'Data'!$D$52</definedName>
    <definedName name="Thermal_Efficiency_Adder_1">'Data'!#REF!</definedName>
    <definedName name="Thermal_Efficiency_Adder_4">'Data'!#REF!</definedName>
    <definedName name="Total_Installed">'Pool Heaters'!$M$8:$M$26</definedName>
    <definedName name="Total_Installed_Baseline">'Pool Heaters'!$M$8</definedName>
    <definedName name="Total_Installed_Baseline2">'Pool Heaters'!$M$18</definedName>
    <definedName name="Total_Mfr_Cost">'Pool Heaters'!$E$8:$E$26</definedName>
    <definedName name="Total_Operating">'Pool Heaters'!$N$8:$N$26</definedName>
    <definedName name="Total_Operating_Baseline">'Pool Heaters'!$N$8</definedName>
    <definedName name="Total_Operating_Baseline2">'Pool Heaters'!$N$18</definedName>
    <definedName name="Transportation_Cost">'Pool Heaters'!$F$8:$F$11</definedName>
  </definedNames>
  <calcPr fullCalcOnLoad="1"/>
</workbook>
</file>

<file path=xl/comments4.xml><?xml version="1.0" encoding="utf-8"?>
<comments xmlns="http://schemas.openxmlformats.org/spreadsheetml/2006/main">
  <authors>
    <author>LBNL</author>
  </authors>
  <commentList>
    <comment ref="L8" authorId="0">
      <text>
        <r>
          <rPr>
            <b/>
            <sz val="8"/>
            <rFont val="Tahoma"/>
            <family val="0"/>
          </rPr>
          <t>Variables defined in 1993 Rulemaking 1-5</t>
        </r>
      </text>
    </comment>
    <comment ref="M8" authorId="0">
      <text>
        <r>
          <rPr>
            <b/>
            <sz val="8"/>
            <rFont val="Tahoma"/>
            <family val="0"/>
          </rPr>
          <t>Variables defined in 1993 Rulemaking 1-5</t>
        </r>
      </text>
    </comment>
    <comment ref="J8" authorId="0">
      <text>
        <r>
          <rPr>
            <b/>
            <sz val="8"/>
            <rFont val="Tahoma"/>
            <family val="0"/>
          </rPr>
          <t>Derived from the previous rulemaking Chapter 1 pg 5 and Appendix A</t>
        </r>
      </text>
    </comment>
    <comment ref="D11" authorId="0">
      <text>
        <r>
          <rPr>
            <b/>
            <sz val="8"/>
            <rFont val="Tahoma"/>
            <family val="0"/>
          </rPr>
          <t>1) 2000 Btu/hr NCI to provide reference
2) 1000 Btu/hr from 1995 TSD pg 1-4</t>
        </r>
      </text>
    </comment>
    <comment ref="D21" authorId="0">
      <text>
        <r>
          <rPr>
            <b/>
            <sz val="8"/>
            <rFont val="Tahoma"/>
            <family val="0"/>
          </rPr>
          <t>1995 TSD pg 1-4</t>
        </r>
      </text>
    </comment>
  </commentList>
</comments>
</file>

<file path=xl/comments5.xml><?xml version="1.0" encoding="utf-8"?>
<comments xmlns="http://schemas.openxmlformats.org/spreadsheetml/2006/main">
  <authors>
    <author>LBNL</author>
    <author>VHFranco</author>
  </authors>
  <commentList>
    <comment ref="C11" authorId="0">
      <text>
        <r>
          <rPr>
            <sz val="8"/>
            <rFont val="Tahoma"/>
            <family val="2"/>
          </rPr>
          <t>from section 4.2</t>
        </r>
      </text>
    </comment>
    <comment ref="C10" authorId="0">
      <text>
        <r>
          <rPr>
            <sz val="8"/>
            <rFont val="Tahoma"/>
            <family val="2"/>
          </rPr>
          <t>defined according to 2.9.1 or 2.9.2 of ANSI Z21.56-1994</t>
        </r>
      </text>
    </comment>
    <comment ref="C13" authorId="0">
      <text>
        <r>
          <rPr>
            <sz val="8"/>
            <rFont val="Tahoma"/>
            <family val="2"/>
          </rPr>
          <t>= 2Ec if tested according to 2.9.1 of ANSI Z21.56-1994
= 3.412 PErated if tested according to 2.9.2 of ANSI Z21.56-1994</t>
        </r>
      </text>
    </comment>
    <comment ref="C5" authorId="0">
      <text>
        <r>
          <rPr>
            <sz val="8"/>
            <rFont val="Tahoma"/>
            <family val="2"/>
          </rPr>
          <t>Equation not part of test procedure. Equation needed to be able to compare between more efficient design options.</t>
        </r>
      </text>
    </comment>
    <comment ref="C12" authorId="0">
      <text>
        <r>
          <rPr>
            <sz val="8"/>
            <rFont val="Tahoma"/>
            <family val="2"/>
          </rPr>
          <t>from section 4.2</t>
        </r>
      </text>
    </comment>
    <comment ref="C14" authorId="0">
      <text>
        <r>
          <rPr>
            <sz val="8"/>
            <rFont val="Tahoma"/>
            <family val="2"/>
          </rPr>
          <t>from section 2.9 of ANSI Z21.56-1994</t>
        </r>
      </text>
    </comment>
    <comment ref="C4" authorId="0">
      <text>
        <r>
          <rPr>
            <sz val="8"/>
            <rFont val="Tahoma"/>
            <family val="2"/>
          </rPr>
          <t>from section 4.3</t>
        </r>
      </text>
    </comment>
    <comment ref="C3" authorId="0">
      <text>
        <r>
          <rPr>
            <sz val="8"/>
            <rFont val="Tahoma"/>
            <family val="2"/>
          </rPr>
          <t>from section 4.2</t>
        </r>
      </text>
    </comment>
    <comment ref="D5" authorId="1">
      <text>
        <r>
          <rPr>
            <sz val="8"/>
            <rFont val="Tahoma"/>
            <family val="2"/>
          </rPr>
          <t>Equation modified so that models with the same input capacity, but different thermal efficiency can be compared, using the previous rulemaking equations.</t>
        </r>
      </text>
    </comment>
  </commentList>
</comments>
</file>

<file path=xl/sharedStrings.xml><?xml version="1.0" encoding="utf-8"?>
<sst xmlns="http://schemas.openxmlformats.org/spreadsheetml/2006/main" count="349" uniqueCount="252">
  <si>
    <r>
      <t>E</t>
    </r>
    <r>
      <rPr>
        <b/>
        <vertAlign val="subscript"/>
        <sz val="10"/>
        <rFont val="Arial"/>
        <family val="2"/>
      </rPr>
      <t>F</t>
    </r>
  </si>
  <si>
    <t>MMBtu/year</t>
  </si>
  <si>
    <t>POH</t>
  </si>
  <si>
    <r>
      <t xml:space="preserve">2) </t>
    </r>
    <r>
      <rPr>
        <b/>
        <sz val="10"/>
        <rFont val="Arial"/>
        <family val="2"/>
      </rPr>
      <t>Data</t>
    </r>
    <r>
      <rPr>
        <sz val="10"/>
        <rFont val="Arial"/>
        <family val="2"/>
      </rPr>
      <t xml:space="preserve"> - contains the input selections, the description of variables and data sources. </t>
    </r>
  </si>
  <si>
    <r>
      <t>(</t>
    </r>
    <r>
      <rPr>
        <b/>
        <i/>
        <sz val="10"/>
        <rFont val="Arial"/>
        <family val="2"/>
      </rPr>
      <t>BOH</t>
    </r>
    <r>
      <rPr>
        <sz val="10"/>
        <rFont val="Arial"/>
        <family val="0"/>
      </rPr>
      <t xml:space="preserve"> * Q_IN + ( POH - </t>
    </r>
    <r>
      <rPr>
        <b/>
        <i/>
        <sz val="10"/>
        <rFont val="Arial"/>
        <family val="2"/>
      </rPr>
      <t>BOH</t>
    </r>
    <r>
      <rPr>
        <sz val="10"/>
        <rFont val="Arial"/>
        <family val="0"/>
      </rPr>
      <t xml:space="preserve"> ) * Q_P ) / 1000000</t>
    </r>
  </si>
  <si>
    <t>Electricity Consumption of the heater including the electrical energy to the recirculating pump</t>
  </si>
  <si>
    <t>Equations for calculating the Energy Consumption of Pool Heaters</t>
  </si>
  <si>
    <t>Variable Definitions</t>
  </si>
  <si>
    <r>
      <t>E</t>
    </r>
    <r>
      <rPr>
        <b/>
        <vertAlign val="subscript"/>
        <sz val="10"/>
        <rFont val="Geneva"/>
        <family val="0"/>
      </rPr>
      <t>F</t>
    </r>
  </si>
  <si>
    <t>Average annual fossil fuel energy for pool heaters.</t>
  </si>
  <si>
    <t>Average annual auxilary electrical energy consumption for pool heaters.</t>
  </si>
  <si>
    <r>
      <t>E</t>
    </r>
    <r>
      <rPr>
        <b/>
        <vertAlign val="subscript"/>
        <sz val="10"/>
        <rFont val="Arial"/>
        <family val="2"/>
      </rPr>
      <t>T</t>
    </r>
  </si>
  <si>
    <t>=</t>
  </si>
  <si>
    <t>Product Class</t>
  </si>
  <si>
    <t>BTU/h</t>
  </si>
  <si>
    <t>kWh</t>
  </si>
  <si>
    <t>CONTACT INFORMATION</t>
  </si>
  <si>
    <t xml:space="preserve">     Mohammed Khan, Department of Energy, (202) 586-7892, mohammed.khan@hq.doe.gov</t>
  </si>
  <si>
    <t>BTU/hr</t>
  </si>
  <si>
    <t>kW</t>
  </si>
  <si>
    <r>
      <t>E</t>
    </r>
    <r>
      <rPr>
        <b/>
        <vertAlign val="subscript"/>
        <sz val="10"/>
        <rFont val="Arial"/>
        <family val="2"/>
      </rPr>
      <t>AE</t>
    </r>
  </si>
  <si>
    <r>
      <t>Q</t>
    </r>
    <r>
      <rPr>
        <b/>
        <vertAlign val="subscript"/>
        <sz val="10"/>
        <rFont val="Arial"/>
        <family val="2"/>
      </rPr>
      <t>IN</t>
    </r>
  </si>
  <si>
    <r>
      <t>Q</t>
    </r>
    <r>
      <rPr>
        <b/>
        <vertAlign val="subscript"/>
        <sz val="10"/>
        <rFont val="Arial"/>
        <family val="2"/>
      </rPr>
      <t>P</t>
    </r>
  </si>
  <si>
    <t>hr/yr</t>
  </si>
  <si>
    <t>DATA WORKSHEET</t>
  </si>
  <si>
    <t>INTRODUCTION</t>
  </si>
  <si>
    <t>$</t>
  </si>
  <si>
    <t>Cost Data</t>
  </si>
  <si>
    <t>Retail</t>
  </si>
  <si>
    <t>Fuel</t>
  </si>
  <si>
    <t>kWh/year</t>
  </si>
  <si>
    <t>years</t>
  </si>
  <si>
    <t>Summary Economics</t>
  </si>
  <si>
    <t>Total Costs</t>
  </si>
  <si>
    <t>$/yr</t>
  </si>
  <si>
    <t>Definition</t>
  </si>
  <si>
    <t>Variable Name</t>
  </si>
  <si>
    <t>Unit</t>
  </si>
  <si>
    <t>%</t>
  </si>
  <si>
    <t>PE</t>
  </si>
  <si>
    <t>MBtu/yr</t>
  </si>
  <si>
    <t>Electric</t>
  </si>
  <si>
    <t>Simple Payback</t>
  </si>
  <si>
    <t>BOH</t>
  </si>
  <si>
    <t>hr</t>
  </si>
  <si>
    <t>Source</t>
  </si>
  <si>
    <t>Energy Use Data</t>
  </si>
  <si>
    <t>Total Installed</t>
  </si>
  <si>
    <t>Total Operating</t>
  </si>
  <si>
    <t>GENERAL:</t>
  </si>
  <si>
    <t>WORKSHEETS DESCRIPTION:</t>
  </si>
  <si>
    <t>ADDITIONAL NOTES</t>
  </si>
  <si>
    <r>
      <t xml:space="preserve">1) </t>
    </r>
    <r>
      <rPr>
        <b/>
        <sz val="10"/>
        <rFont val="Arial"/>
        <family val="2"/>
      </rPr>
      <t>Introduction</t>
    </r>
    <r>
      <rPr>
        <sz val="10"/>
        <rFont val="Arial"/>
        <family val="2"/>
      </rPr>
      <t xml:space="preserve"> - contains the instructions for using the spreadsheet.</t>
    </r>
  </si>
  <si>
    <t>Comments</t>
  </si>
  <si>
    <t>Rated fuel energy input</t>
  </si>
  <si>
    <t>Energy consumption of continously operating pilot light if employed</t>
  </si>
  <si>
    <t>Thermal efficiency</t>
  </si>
  <si>
    <r>
      <t>BOH</t>
    </r>
    <r>
      <rPr>
        <sz val="10"/>
        <rFont val="Geneva"/>
        <family val="0"/>
      </rPr>
      <t xml:space="preserve"> * PE</t>
    </r>
  </si>
  <si>
    <t>Average number of pool operating hours = 4464 h</t>
  </si>
  <si>
    <t>Energy Use Calculation for Pool Heaters (10 CFR, Appendix P)</t>
  </si>
  <si>
    <r>
      <t>E</t>
    </r>
    <r>
      <rPr>
        <b/>
        <vertAlign val="subscript"/>
        <sz val="10"/>
        <rFont val="Arial"/>
        <family val="2"/>
      </rPr>
      <t>OUT</t>
    </r>
    <r>
      <rPr>
        <b/>
        <sz val="10"/>
        <rFont val="Arial"/>
        <family val="2"/>
      </rPr>
      <t>*</t>
    </r>
  </si>
  <si>
    <r>
      <t>E</t>
    </r>
    <r>
      <rPr>
        <b/>
        <vertAlign val="subscript"/>
        <sz val="10"/>
        <rFont val="Arial"/>
        <family val="2"/>
      </rPr>
      <t>IN</t>
    </r>
    <r>
      <rPr>
        <b/>
        <sz val="10"/>
        <rFont val="Arial"/>
        <family val="2"/>
      </rPr>
      <t>*</t>
    </r>
  </si>
  <si>
    <r>
      <t>EFFY</t>
    </r>
    <r>
      <rPr>
        <b/>
        <vertAlign val="subscript"/>
        <sz val="10"/>
        <rFont val="Arial"/>
        <family val="2"/>
      </rPr>
      <t>HS</t>
    </r>
    <r>
      <rPr>
        <b/>
        <sz val="10"/>
        <rFont val="Arial"/>
        <family val="2"/>
      </rPr>
      <t>*</t>
    </r>
  </si>
  <si>
    <t>BOH**</t>
  </si>
  <si>
    <r>
      <t>3)</t>
    </r>
    <r>
      <rPr>
        <b/>
        <sz val="10"/>
        <rFont val="Arial"/>
        <family val="2"/>
      </rPr>
      <t xml:space="preserve"> Engineering Worksheet </t>
    </r>
    <r>
      <rPr>
        <sz val="10"/>
        <rFont val="Arial"/>
        <family val="2"/>
      </rPr>
      <t>- contains the total and incremental manufacturer costs,  retail prices, the installation costs, the repair and maintenance costs, the energy use calculations, and the simple payback period calculations at each efficiency level.</t>
    </r>
  </si>
  <si>
    <r>
      <t>4)</t>
    </r>
    <r>
      <rPr>
        <b/>
        <sz val="10"/>
        <rFont val="Arial"/>
        <family val="2"/>
      </rPr>
      <t xml:space="preserve"> Energy Use Calculations Worksheet </t>
    </r>
    <r>
      <rPr>
        <sz val="10"/>
        <rFont val="Arial"/>
        <family val="2"/>
      </rPr>
      <t>- utilizes DOE pool heater test procedure to calculate parameters used in the energy use calculations.</t>
    </r>
  </si>
  <si>
    <r>
      <t>5)</t>
    </r>
    <r>
      <rPr>
        <b/>
        <sz val="10"/>
        <rFont val="Arial"/>
        <family val="2"/>
      </rPr>
      <t xml:space="preserve"> Definitions Worksheet </t>
    </r>
    <r>
      <rPr>
        <sz val="10"/>
        <rFont val="Arial"/>
        <family val="2"/>
      </rPr>
      <t>- lists and define equations and variables used in the energy use calculations worksheet.</t>
    </r>
  </si>
  <si>
    <t xml:space="preserve">Average Gas Pool Heating Load = </t>
  </si>
  <si>
    <t>Therms</t>
  </si>
  <si>
    <r>
      <t>LOAD</t>
    </r>
    <r>
      <rPr>
        <sz val="10"/>
        <rFont val="Arial"/>
        <family val="0"/>
      </rPr>
      <t xml:space="preserve"> / (Q_IN * E_T)</t>
    </r>
  </si>
  <si>
    <t>LOAD</t>
  </si>
  <si>
    <t>Pool Heater Load</t>
  </si>
  <si>
    <t>Efficiency Level</t>
  </si>
  <si>
    <t>Thermal Efficiency</t>
  </si>
  <si>
    <t>Heating Seasonal Efficiency</t>
  </si>
  <si>
    <t>1990 Consumer Price Index</t>
  </si>
  <si>
    <t>CPI_1990</t>
  </si>
  <si>
    <t>-</t>
  </si>
  <si>
    <t>1991 Consumer Price Index</t>
  </si>
  <si>
    <t>CPI_1991</t>
  </si>
  <si>
    <t>1992 Consumer Price Index</t>
  </si>
  <si>
    <t>CPI_1992</t>
  </si>
  <si>
    <t>1998 Consumer Price Index</t>
  </si>
  <si>
    <t>CPI_1998</t>
  </si>
  <si>
    <t>1999 Consumer Price Index</t>
  </si>
  <si>
    <t>CPI_1999</t>
  </si>
  <si>
    <t>2001 Consumer Price Index</t>
  </si>
  <si>
    <t>CPI_2001</t>
  </si>
  <si>
    <t>2002 Consumer Price Index</t>
  </si>
  <si>
    <t>CPI_2002</t>
  </si>
  <si>
    <t>2003 Consumer Price Index</t>
  </si>
  <si>
    <t>CPI_2003</t>
  </si>
  <si>
    <t>2004 Consumer Price Index</t>
  </si>
  <si>
    <t>CPI_2004</t>
  </si>
  <si>
    <t>2005 Consumer Price Index</t>
  </si>
  <si>
    <t>CPI_2005</t>
  </si>
  <si>
    <t>2006 Consumer Price Index</t>
  </si>
  <si>
    <t>CPI_2006</t>
  </si>
  <si>
    <t>YEAR$</t>
  </si>
  <si>
    <t>Original $ Value</t>
  </si>
  <si>
    <t>elec_price</t>
  </si>
  <si>
    <t>$/kWh</t>
  </si>
  <si>
    <t>2013 Residential Natural Gas Price</t>
  </si>
  <si>
    <t>NG_price</t>
  </si>
  <si>
    <t>$/MBtu</t>
  </si>
  <si>
    <t>2013 Residential LPG Price</t>
  </si>
  <si>
    <t>LPG_price</t>
  </si>
  <si>
    <t>Baseline Maintenance Cost</t>
  </si>
  <si>
    <t>Baseline_Maint_Cost</t>
  </si>
  <si>
    <t>Mfr Markup</t>
  </si>
  <si>
    <t>mfr_markup</t>
  </si>
  <si>
    <t>Wholesaler Markup</t>
  </si>
  <si>
    <t>distr_markup</t>
  </si>
  <si>
    <t>incr_distr_markup</t>
  </si>
  <si>
    <t>Contractor Markup</t>
  </si>
  <si>
    <t>contr_markup</t>
  </si>
  <si>
    <t>incr_contr_markup</t>
  </si>
  <si>
    <t>Builder Markup</t>
  </si>
  <si>
    <t>bld_markup</t>
  </si>
  <si>
    <t>incr_bld_markup</t>
  </si>
  <si>
    <t>Sales Tax</t>
  </si>
  <si>
    <t>sales_tax</t>
  </si>
  <si>
    <t xml:space="preserve">Markup on the BASELINE Cost </t>
  </si>
  <si>
    <t>markup_base_cost</t>
  </si>
  <si>
    <t>Markup on the INCREMENTAL Cost</t>
  </si>
  <si>
    <t>markup_increm_cost</t>
  </si>
  <si>
    <t>frac_lpg</t>
  </si>
  <si>
    <t>RECS 2001</t>
  </si>
  <si>
    <t>Fraction of households with LPG</t>
  </si>
  <si>
    <t>2013 Residential Fuel Price</t>
  </si>
  <si>
    <t>fuel_price</t>
  </si>
  <si>
    <t>Fraction of Retrofit Installations</t>
  </si>
  <si>
    <t>Fraction of New Construction Installations</t>
  </si>
  <si>
    <t>frac_new_constr</t>
  </si>
  <si>
    <t>Capacity</t>
  </si>
  <si>
    <t>default_capcity</t>
  </si>
  <si>
    <t xml:space="preserve">Installation Cost Replacement </t>
  </si>
  <si>
    <t>Installation Cost New Construction</t>
  </si>
  <si>
    <t xml:space="preserve">Installation Cost Adder Condensing </t>
  </si>
  <si>
    <t>frac_replacement</t>
  </si>
  <si>
    <t>Installation_Cost_Replacement</t>
  </si>
  <si>
    <t>Installation_Cost_New_Construction</t>
  </si>
  <si>
    <t>Installation_Cost_Adder_Condensing</t>
  </si>
  <si>
    <t>Wholesaler Markup (Incremental)</t>
  </si>
  <si>
    <t>Cost</t>
  </si>
  <si>
    <t>Numerical Values</t>
  </si>
  <si>
    <t>Mbtu/hr</t>
  </si>
  <si>
    <t xml:space="preserve">Replacement national avg. labor only </t>
  </si>
  <si>
    <t xml:space="preserve"> New Construction:  labor only $1,025 [2007 RS MEANS for 199 MBtu/hr capacity].Used $1,025+$345, NOTE: 1) derive cost for 250 MBtu/hr capacity (based on inst.cost delta between 150 and 199 equals ($1,025-680=$345) </t>
  </si>
  <si>
    <t>Contractor Markup (Incremental)</t>
  </si>
  <si>
    <t>Builder Markup (Incremental)</t>
  </si>
  <si>
    <t>Product Parameters</t>
  </si>
  <si>
    <t>Installation Costs</t>
  </si>
  <si>
    <t>Maintenance Costs</t>
  </si>
  <si>
    <t>Consumer Price Index (CPI)</t>
  </si>
  <si>
    <t>Markups / Sales Tax</t>
  </si>
  <si>
    <t>Energy Prices</t>
  </si>
  <si>
    <t>Frequency Values</t>
  </si>
  <si>
    <t>in 2007$ (AEO lists in 2006$), forecasted 2013 Natural Gas Price</t>
  </si>
  <si>
    <t>in 2007$ (AEO lists in 2006$), forecasted 2013 LPG Price</t>
  </si>
  <si>
    <t>Annual Energy Outlook 2008 (DOE/EIA-0383, 2008), Table   A3.  Energy Prices by Sector and Source</t>
  </si>
  <si>
    <t>2007$</t>
  </si>
  <si>
    <t>Installation_Cost_Adder_Elec</t>
  </si>
  <si>
    <t>Installation Cost Adder Electricity</t>
  </si>
  <si>
    <t>CPI_2007</t>
  </si>
  <si>
    <t>2007 Consumer Price Index</t>
  </si>
  <si>
    <t>Improved HX</t>
  </si>
  <si>
    <t>Power Venting</t>
  </si>
  <si>
    <t>Pilot Ignition Repair Cost Adder</t>
  </si>
  <si>
    <t>repair_pilot_ignition</t>
  </si>
  <si>
    <t>Pilot Ignition Repair Cost Adder Freq</t>
  </si>
  <si>
    <t>repair_pilot_ignition_freq</t>
  </si>
  <si>
    <t>Pilot Ignition Repair Cost Adder Prob</t>
  </si>
  <si>
    <t>repair_pilot_ignition_prob</t>
  </si>
  <si>
    <t>Electronic Ignition Repair Cost Adder</t>
  </si>
  <si>
    <t>repair_elec_ignition</t>
  </si>
  <si>
    <t>Electronic Ignition Repair Cost Adder Freq</t>
  </si>
  <si>
    <t>repair_elec_ignition_freq</t>
  </si>
  <si>
    <t>Electronic Ignition Repair Cost Adder Prob</t>
  </si>
  <si>
    <t>repair_elec_ignition_prob</t>
  </si>
  <si>
    <t>Power Vent Repair Cost Adder</t>
  </si>
  <si>
    <t>repair_power_vent</t>
  </si>
  <si>
    <t>Power Vent Repair Cost Adder Freq</t>
  </si>
  <si>
    <t>repair_power_vent_freq</t>
  </si>
  <si>
    <t>Power Vent Repair Cost Adder Prob</t>
  </si>
  <si>
    <t>repair_power_vent_prob</t>
  </si>
  <si>
    <t>Condensing Repair Cost Adder</t>
  </si>
  <si>
    <t>repair_condensing</t>
  </si>
  <si>
    <t>Condensing Repair Cost Adder Freq</t>
  </si>
  <si>
    <t>repair_condensing_freq</t>
  </si>
  <si>
    <t>Condensing Repair Cost Adder Prob</t>
  </si>
  <si>
    <t>repair_condensing_prob</t>
  </si>
  <si>
    <t>Pool Heater Average Lifetime</t>
  </si>
  <si>
    <t>ph_lifetime</t>
  </si>
  <si>
    <t>Maintenance Cost Baseline Frequency</t>
  </si>
  <si>
    <t>maint_cost_baseline_freq</t>
  </si>
  <si>
    <t>Maintenance Cost Baseline Prob</t>
  </si>
  <si>
    <t>maint_cost_baseline_prob</t>
  </si>
  <si>
    <t>Clean and Service</t>
  </si>
  <si>
    <t>Advanced Design Maintenance Cost</t>
  </si>
  <si>
    <t>Maintenance Cost Advanced Design Frequency</t>
  </si>
  <si>
    <t>Maintenance Cost Advanced Design Prob</t>
  </si>
  <si>
    <t>maint_cost_advDesign_freq</t>
  </si>
  <si>
    <t>maint_Cost_advDesign</t>
  </si>
  <si>
    <t>maint_cost_advDesign_prob</t>
  </si>
  <si>
    <t>2013 Residential Electrical Energy Price</t>
  </si>
  <si>
    <t>Total Manufacturer Selling Price (MSP)**</t>
  </si>
  <si>
    <t>Incremental MSP</t>
  </si>
  <si>
    <t>Manufacturer Production Cost (MPC)*</t>
  </si>
  <si>
    <t>Manufacturer Costs (per unit) from Engineering Analysis</t>
  </si>
  <si>
    <t>Consumer Costs from the LCC Analysis</t>
  </si>
  <si>
    <t>** The manufacturing selling price (MSP) includes manufacturer profit and non-production costs, such as selling, general and administrative expenses, research and development, and interest.</t>
  </si>
  <si>
    <t xml:space="preserve">* The manufacturing production cost (MPC) includes the direct labor, direct material, and direct overhead.  </t>
  </si>
  <si>
    <t>Improved HX, More Effective Insulation (Combustion Chamber)</t>
  </si>
  <si>
    <t>Gas-fired Pool Heaters (250,000 Btu/h)</t>
  </si>
  <si>
    <t>Power Venting, Improved HX</t>
  </si>
  <si>
    <t>Sealed Combustion, Improved HX</t>
  </si>
  <si>
    <t>Sealed Combustion, Condensing</t>
  </si>
  <si>
    <t>Gas-fired Pool Heaters with Standing Pilots - Representative Input Capacity of 250,000 Btu/h</t>
  </si>
  <si>
    <t>Gas-fired Pool Heaters with Electronic Ignition - Representative Input Capacity of 250,000 Btu/h</t>
  </si>
  <si>
    <t>Standing Pilot (Baseline)</t>
  </si>
  <si>
    <t>Electronic Ignition (Baseline)</t>
  </si>
  <si>
    <t>Sealed Combustion, Condensing, Improved HX (Max-Tech)</t>
  </si>
  <si>
    <t>Potential Design Option</t>
  </si>
  <si>
    <t>0a</t>
  </si>
  <si>
    <t>1a</t>
  </si>
  <si>
    <t>2a</t>
  </si>
  <si>
    <t>3a</t>
  </si>
  <si>
    <t>Installation</t>
  </si>
  <si>
    <t>Maintenance</t>
  </si>
  <si>
    <t>Gas Pool Heaters (250,000 Btu/h) - Pilot Ignition</t>
  </si>
  <si>
    <t>Gas Pool Heaters (250,000 Btu/h) - Electronic Ignition</t>
  </si>
  <si>
    <t>in 2007$ (AEO lists in 2006$), forecasted 2013 Electricity Price</t>
  </si>
  <si>
    <t>DOE; Pool Quest; Spa Specialist; Illinois Propane Gas Association</t>
  </si>
  <si>
    <t>http://www.bls.gov/cpi/</t>
  </si>
  <si>
    <t>calculated</t>
  </si>
  <si>
    <t xml:space="preserve">     Ashley Armstrong, Navigant Consulting,  (202) 973-4528, Ashley.Armstrong@NavigantConsulting.com</t>
  </si>
  <si>
    <t xml:space="preserve">     Alex Lekov, Lawrence Berkeley National Laboratory, (510) 486-6849, ablekov@lbl.gov</t>
  </si>
  <si>
    <t>Rulemaking Framework for Residential Water Heaters, Direct Heating Equipment, and Pool Heaters (September 27, 2006)</t>
  </si>
  <si>
    <t>Included in MSP Calculation</t>
  </si>
  <si>
    <t>See TSD, Ch 5</t>
  </si>
  <si>
    <t>1997 Economic Census, Business Expenses Survey. See TSD, Ch 5</t>
  </si>
  <si>
    <t>2008 RS Means Mechanical Cost Data</t>
  </si>
  <si>
    <t>2002 Economic Census Geographic Area Series Construction. See TSD, Ch 5</t>
  </si>
  <si>
    <t>Sales Tax Clearinghouse. See TSD, Ch 5</t>
  </si>
  <si>
    <t>Does not include manufacturer markup</t>
  </si>
  <si>
    <t>This workbook contains one introductory worksheet, one data worksheet and one engineering worksheets. One additional worksheet that utilizes DOE pool heaters test procedure to calculate parameters used in the energy use calculations and another worksheet to list and define equations and variables used. Microsoft Excel 2000 or a later version is required to access the workbook.</t>
  </si>
  <si>
    <t>Value derived from 1993 Pool Heater Rulemaking</t>
  </si>
  <si>
    <t xml:space="preserve">average number of burner operating hours = 104 h in test procedure </t>
  </si>
  <si>
    <t>See Appendix 8-A</t>
  </si>
  <si>
    <t>See Appendix 8-B</t>
  </si>
  <si>
    <t xml:space="preserve">See TSD, Ch 8.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</si>
</sst>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0"/>
    <numFmt numFmtId="168" formatCode="0.000"/>
    <numFmt numFmtId="169" formatCode="0.000%"/>
    <numFmt numFmtId="170" formatCode="0.00000"/>
    <numFmt numFmtId="171" formatCode="#,##0.0"/>
    <numFmt numFmtId="172" formatCode="#,##0.000"/>
    <numFmt numFmtId="173" formatCode="0.000000"/>
    <numFmt numFmtId="174" formatCode="0.0000000"/>
    <numFmt numFmtId="175" formatCode="#,##0.0000"/>
    <numFmt numFmtId="176" formatCode="0.0000000000"/>
    <numFmt numFmtId="177" formatCode="0.000000000"/>
    <numFmt numFmtId="178" formatCode="0.00000000"/>
    <numFmt numFmtId="179" formatCode="&quot;$&quot;#,##0.0"/>
    <numFmt numFmtId="180" formatCode="&quot;$&quot;#,##0.000"/>
    <numFmt numFmtId="181" formatCode="&quot;$&quot;#,##0.0000"/>
    <numFmt numFmtId="182" formatCode="0.00000000000"/>
    <numFmt numFmtId="183" formatCode="&quot;Yes&quot;;&quot;Yes&quot;;&quot;No&quot;"/>
    <numFmt numFmtId="184" formatCode="&quot;True&quot;;&quot;True&quot;;&quot;False&quot;"/>
    <numFmt numFmtId="185" formatCode="&quot;On&quot;;&quot;On&quot;;&quot;Off&quot;"/>
    <numFmt numFmtId="186" formatCode="&quot;$&quot;#,##0"/>
    <numFmt numFmtId="187" formatCode="&quot;$&quot;#,##0.0000_);\(&quot;$&quot;#,##0.0000\)"/>
    <numFmt numFmtId="188" formatCode="0.00_)"/>
    <numFmt numFmtId="189" formatCode="_(* #,##0.000_);_(* \(#,##0.000\);_(* &quot;-&quot;??_);_(@_)"/>
    <numFmt numFmtId="190" formatCode="_(&quot;$&quot;* #,##0.000_);_(&quot;$&quot;* \(#,##0.000\);_(&quot;$&quot;* &quot;-&quot;??_);_(@_)"/>
    <numFmt numFmtId="191" formatCode="&quot;$&quot;#,##0.0_);\(&quot;$&quot;#,##0.0\)"/>
    <numFmt numFmtId="192" formatCode="&quot;$&quot;#,##0.000_);\(&quot;$&quot;#,##0.000\)"/>
    <numFmt numFmtId="193" formatCode="_(&quot;$&quot;* #,##0.0_);_(&quot;$&quot;* \(#,##0.0\);_(&quot;$&quot;* &quot;-&quot;??_);_(@_)"/>
    <numFmt numFmtId="194" formatCode="_(&quot;$&quot;* #,##0_);_(&quot;$&quot;* \(#,##0\);_(&quot;$&quot;* &quot;-&quot;??_);_(@_)"/>
    <numFmt numFmtId="195" formatCode="&quot;$&quot;#,##0.000000"/>
    <numFmt numFmtId="196" formatCode="_(* #,##0.0_);_(* \(#,##0.0\);_(* &quot;-&quot;??_);_(@_)"/>
    <numFmt numFmtId="197" formatCode="_(* #,##0_);_(* \(#,##0\);_(* &quot;-&quot;??_);_(@_)"/>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m/d/yy"/>
    <numFmt numFmtId="207" formatCode="m/d/yy\ h:mm"/>
    <numFmt numFmtId="208" formatCode="[$€-2]\ #,##0.00_);[Red]\([$€-2]\ #,##0.00\)"/>
  </numFmts>
  <fonts count="70">
    <font>
      <sz val="10"/>
      <name val="Arial"/>
      <family val="0"/>
    </font>
    <font>
      <sz val="10"/>
      <name val="Times New Roman"/>
      <family val="0"/>
    </font>
    <font>
      <b/>
      <sz val="12"/>
      <name val="Times New Roman"/>
      <family val="0"/>
    </font>
    <font>
      <b/>
      <sz val="10"/>
      <name val="Arial"/>
      <family val="2"/>
    </font>
    <font>
      <b/>
      <u val="single"/>
      <sz val="12"/>
      <name val="Arial"/>
      <family val="2"/>
    </font>
    <font>
      <b/>
      <sz val="14"/>
      <name val="Times New Roman"/>
      <family val="1"/>
    </font>
    <font>
      <b/>
      <sz val="14"/>
      <name val="Arial"/>
      <family val="2"/>
    </font>
    <font>
      <b/>
      <u val="single"/>
      <sz val="12"/>
      <color indexed="48"/>
      <name val="Arial"/>
      <family val="2"/>
    </font>
    <font>
      <b/>
      <u val="single"/>
      <sz val="10"/>
      <name val="Arial"/>
      <family val="2"/>
    </font>
    <font>
      <u val="single"/>
      <sz val="10"/>
      <color indexed="12"/>
      <name val="Arial"/>
      <family val="0"/>
    </font>
    <font>
      <u val="single"/>
      <sz val="10"/>
      <color indexed="36"/>
      <name val="Arial"/>
      <family val="0"/>
    </font>
    <font>
      <i/>
      <sz val="12"/>
      <name val="Times New Roman"/>
      <family val="1"/>
    </font>
    <font>
      <b/>
      <sz val="10"/>
      <color indexed="10"/>
      <name val="Arial"/>
      <family val="2"/>
    </font>
    <font>
      <b/>
      <vertAlign val="subscript"/>
      <sz val="10"/>
      <name val="Arial"/>
      <family val="2"/>
    </font>
    <font>
      <i/>
      <sz val="9"/>
      <name val="Arial"/>
      <family val="2"/>
    </font>
    <font>
      <b/>
      <sz val="10"/>
      <color indexed="43"/>
      <name val="Arial"/>
      <family val="2"/>
    </font>
    <font>
      <sz val="10"/>
      <color indexed="43"/>
      <name val="Arial"/>
      <family val="2"/>
    </font>
    <font>
      <sz val="8"/>
      <name val="Tahoma"/>
      <family val="2"/>
    </font>
    <font>
      <b/>
      <i/>
      <u val="single"/>
      <sz val="12"/>
      <name val="Arial"/>
      <family val="2"/>
    </font>
    <font>
      <b/>
      <i/>
      <sz val="10"/>
      <name val="Arial"/>
      <family val="2"/>
    </font>
    <font>
      <b/>
      <u val="single"/>
      <sz val="14"/>
      <color indexed="12"/>
      <name val="Times New Roman"/>
      <family val="1"/>
    </font>
    <font>
      <b/>
      <u val="single"/>
      <sz val="14"/>
      <color indexed="48"/>
      <name val="Arial"/>
      <family val="2"/>
    </font>
    <font>
      <sz val="14"/>
      <name val="Arial"/>
      <family val="2"/>
    </font>
    <font>
      <sz val="8"/>
      <name val="Arial"/>
      <family val="0"/>
    </font>
    <font>
      <b/>
      <i/>
      <sz val="14"/>
      <name val="Times New Roman"/>
      <family val="1"/>
    </font>
    <font>
      <sz val="10"/>
      <name val="Geneva"/>
      <family val="0"/>
    </font>
    <font>
      <b/>
      <sz val="10"/>
      <name val="Geneva"/>
      <family val="0"/>
    </font>
    <font>
      <b/>
      <i/>
      <sz val="10"/>
      <name val="Geneva"/>
      <family val="0"/>
    </font>
    <font>
      <b/>
      <vertAlign val="subscript"/>
      <sz val="10"/>
      <name val="Geneva"/>
      <family val="0"/>
    </font>
    <font>
      <b/>
      <sz val="8"/>
      <name val="Tahoma"/>
      <family val="0"/>
    </font>
    <font>
      <b/>
      <sz val="10"/>
      <color indexed="12"/>
      <name val="Arial"/>
      <family val="2"/>
    </font>
    <font>
      <u val="single"/>
      <sz val="10"/>
      <color indexed="48"/>
      <name val="Arial"/>
      <family val="2"/>
    </font>
    <font>
      <sz val="12"/>
      <color indexed="48"/>
      <name val="Arial"/>
      <family val="2"/>
    </font>
    <font>
      <b/>
      <sz val="12"/>
      <color indexed="43"/>
      <name val="Times New Roman"/>
      <family val="0"/>
    </font>
    <font>
      <i/>
      <sz val="12"/>
      <color indexed="43"/>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style="medium"/>
    </border>
    <border>
      <left style="thin"/>
      <right>
        <color indexed="63"/>
      </right>
      <top style="thin"/>
      <bottom style="thin"/>
    </border>
    <border>
      <left style="thin"/>
      <right style="thin"/>
      <top style="thin"/>
      <bottom style="thin"/>
    </border>
    <border>
      <left style="thin"/>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color indexed="63"/>
      </left>
      <right>
        <color indexed="63"/>
      </right>
      <top style="thin"/>
      <bottom style="thin"/>
    </border>
    <border>
      <left style="medium"/>
      <right>
        <color indexed="63"/>
      </right>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medium"/>
      <top style="thin"/>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style="thin"/>
      <top>
        <color indexed="63"/>
      </top>
      <bottom style="thin"/>
    </border>
    <border>
      <left style="thin"/>
      <right>
        <color indexed="63"/>
      </right>
      <top style="thin"/>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medium"/>
      <bottom style="double"/>
    </border>
    <border>
      <left>
        <color indexed="63"/>
      </left>
      <right>
        <color indexed="63"/>
      </right>
      <top style="medium"/>
      <bottom style="double"/>
    </border>
    <border>
      <left style="thin"/>
      <right>
        <color indexed="63"/>
      </right>
      <top style="medium"/>
      <bottom style="double"/>
    </border>
    <border>
      <left>
        <color indexed="63"/>
      </left>
      <right>
        <color indexed="63"/>
      </right>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medium"/>
      <right>
        <color indexed="63"/>
      </right>
      <top style="medium"/>
      <bottom style="double"/>
    </border>
    <border>
      <left style="thin"/>
      <right style="thin"/>
      <top style="double"/>
      <bottom>
        <color indexed="63"/>
      </bottom>
    </border>
    <border>
      <left style="thin"/>
      <right>
        <color indexed="63"/>
      </right>
      <top style="double"/>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6">
    <xf numFmtId="0" fontId="0" fillId="0" borderId="0" xfId="0" applyAlignment="1">
      <alignment/>
    </xf>
    <xf numFmtId="2" fontId="1" fillId="0" borderId="0" xfId="0" applyNumberFormat="1" applyFont="1" applyAlignment="1">
      <alignment horizontal="center"/>
    </xf>
    <xf numFmtId="0" fontId="2" fillId="0" borderId="10" xfId="0" applyFont="1" applyBorder="1" applyAlignment="1">
      <alignment horizontal="center"/>
    </xf>
    <xf numFmtId="0" fontId="0" fillId="0" borderId="0" xfId="0" applyFont="1" applyAlignment="1">
      <alignment/>
    </xf>
    <xf numFmtId="0" fontId="4"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5" fillId="0" borderId="0" xfId="0" applyFont="1" applyAlignment="1">
      <alignment/>
    </xf>
    <xf numFmtId="0" fontId="3" fillId="0" borderId="0" xfId="0" applyFont="1" applyAlignment="1">
      <alignment/>
    </xf>
    <xf numFmtId="0" fontId="0" fillId="0" borderId="0" xfId="0" applyAlignment="1">
      <alignment horizontal="center"/>
    </xf>
    <xf numFmtId="0" fontId="2" fillId="0" borderId="11" xfId="0" applyFont="1" applyBorder="1" applyAlignment="1">
      <alignment horizontal="right"/>
    </xf>
    <xf numFmtId="3" fontId="2" fillId="0" borderId="12" xfId="0" applyNumberFormat="1" applyFont="1" applyBorder="1" applyAlignment="1">
      <alignment horizontal="left"/>
    </xf>
    <xf numFmtId="0" fontId="2" fillId="0" borderId="13" xfId="0" applyFont="1" applyBorder="1" applyAlignment="1">
      <alignment horizontal="centerContinuous"/>
    </xf>
    <xf numFmtId="0" fontId="2" fillId="0" borderId="14" xfId="0" applyFont="1" applyBorder="1" applyAlignment="1">
      <alignment horizontal="center" wrapText="1"/>
    </xf>
    <xf numFmtId="164" fontId="2" fillId="0" borderId="15" xfId="0" applyNumberFormat="1" applyFont="1" applyBorder="1" applyAlignment="1">
      <alignment horizontal="centerContinuous"/>
    </xf>
    <xf numFmtId="2" fontId="11" fillId="0" borderId="15" xfId="0" applyNumberFormat="1" applyFont="1" applyBorder="1" applyAlignment="1">
      <alignment horizontal="center"/>
    </xf>
    <xf numFmtId="164" fontId="11" fillId="0" borderId="16" xfId="0" applyNumberFormat="1" applyFont="1" applyBorder="1" applyAlignment="1">
      <alignment horizontal="center"/>
    </xf>
    <xf numFmtId="164" fontId="2" fillId="0" borderId="17" xfId="0" applyNumberFormat="1" applyFont="1" applyBorder="1" applyAlignment="1">
      <alignment horizontal="center" wrapText="1"/>
    </xf>
    <xf numFmtId="164" fontId="2" fillId="0" borderId="18" xfId="0" applyNumberFormat="1" applyFont="1" applyBorder="1" applyAlignment="1">
      <alignment horizontal="center" wrapText="1"/>
    </xf>
    <xf numFmtId="0" fontId="2" fillId="0" borderId="13" xfId="0" applyFont="1" applyBorder="1" applyAlignment="1">
      <alignment horizontal="centerContinuous" wrapText="1"/>
    </xf>
    <xf numFmtId="0" fontId="8" fillId="0" borderId="0" xfId="0" applyFont="1" applyAlignment="1">
      <alignment wrapText="1"/>
    </xf>
    <xf numFmtId="0" fontId="0" fillId="0" borderId="0" xfId="0" applyAlignment="1">
      <alignment wrapText="1"/>
    </xf>
    <xf numFmtId="0" fontId="3" fillId="0" borderId="0" xfId="0" applyFont="1" applyAlignment="1">
      <alignment/>
    </xf>
    <xf numFmtId="3" fontId="0" fillId="0" borderId="0" xfId="0" applyNumberFormat="1" applyAlignment="1">
      <alignment horizontal="center"/>
    </xf>
    <xf numFmtId="164" fontId="0" fillId="0" borderId="0" xfId="0" applyNumberFormat="1" applyAlignment="1">
      <alignment horizontal="center"/>
    </xf>
    <xf numFmtId="168" fontId="0" fillId="0" borderId="0" xfId="0" applyNumberFormat="1" applyAlignment="1">
      <alignment horizontal="center"/>
    </xf>
    <xf numFmtId="0" fontId="3" fillId="0" borderId="19" xfId="0" applyFont="1" applyBorder="1" applyAlignment="1">
      <alignment/>
    </xf>
    <xf numFmtId="0" fontId="14" fillId="0" borderId="20" xfId="0" applyFont="1" applyBorder="1" applyAlignment="1">
      <alignment horizontal="center"/>
    </xf>
    <xf numFmtId="3" fontId="0" fillId="33" borderId="21" xfId="0" applyNumberFormat="1" applyFill="1" applyBorder="1" applyAlignment="1" applyProtection="1">
      <alignment horizontal="center"/>
      <protection locked="0"/>
    </xf>
    <xf numFmtId="164" fontId="0" fillId="33" borderId="21" xfId="0" applyNumberFormat="1" applyFill="1" applyBorder="1" applyAlignment="1" applyProtection="1">
      <alignment horizontal="center"/>
      <protection locked="0"/>
    </xf>
    <xf numFmtId="1" fontId="0" fillId="33" borderId="21" xfId="0" applyNumberFormat="1" applyFill="1" applyBorder="1" applyAlignment="1" applyProtection="1">
      <alignment horizontal="center"/>
      <protection locked="0"/>
    </xf>
    <xf numFmtId="3" fontId="16" fillId="34" borderId="21" xfId="0" applyNumberFormat="1" applyFont="1" applyFill="1" applyBorder="1" applyAlignment="1" applyProtection="1">
      <alignment horizontal="center"/>
      <protection/>
    </xf>
    <xf numFmtId="164" fontId="16" fillId="34" borderId="21" xfId="0" applyNumberFormat="1" applyFont="1" applyFill="1" applyBorder="1" applyAlignment="1" applyProtection="1">
      <alignment horizontal="center"/>
      <protection/>
    </xf>
    <xf numFmtId="168" fontId="16" fillId="34" borderId="21" xfId="0" applyNumberFormat="1" applyFont="1" applyFill="1" applyBorder="1" applyAlignment="1" applyProtection="1">
      <alignment horizontal="center"/>
      <protection/>
    </xf>
    <xf numFmtId="0" fontId="16" fillId="34" borderId="21" xfId="0" applyFont="1" applyFill="1" applyBorder="1" applyAlignment="1" applyProtection="1">
      <alignment horizontal="center"/>
      <protection/>
    </xf>
    <xf numFmtId="0" fontId="16" fillId="0" borderId="0" xfId="0" applyFont="1" applyFill="1" applyAlignment="1" applyProtection="1">
      <alignment/>
      <protection/>
    </xf>
    <xf numFmtId="0" fontId="0" fillId="0" borderId="0" xfId="0" applyFill="1" applyAlignment="1">
      <alignment/>
    </xf>
    <xf numFmtId="3" fontId="12" fillId="0" borderId="0" xfId="0" applyNumberFormat="1" applyFont="1" applyFill="1" applyAlignment="1">
      <alignment horizontal="center"/>
    </xf>
    <xf numFmtId="0" fontId="14" fillId="0" borderId="0" xfId="0" applyFont="1" applyFill="1" applyAlignment="1">
      <alignment horizontal="center"/>
    </xf>
    <xf numFmtId="0" fontId="18" fillId="0" borderId="0" xfId="0" applyFont="1" applyAlignment="1">
      <alignment/>
    </xf>
    <xf numFmtId="0" fontId="0" fillId="0" borderId="0" xfId="0" applyFont="1" applyAlignment="1">
      <alignment vertical="top" wrapText="1"/>
    </xf>
    <xf numFmtId="0" fontId="3" fillId="0" borderId="0" xfId="0" applyFont="1" applyBorder="1" applyAlignment="1">
      <alignment/>
    </xf>
    <xf numFmtId="0" fontId="20" fillId="0" borderId="0" xfId="0" applyFont="1" applyAlignment="1">
      <alignment horizontal="center"/>
    </xf>
    <xf numFmtId="3" fontId="3" fillId="35" borderId="19" xfId="0" applyNumberFormat="1" applyFont="1" applyFill="1" applyBorder="1" applyAlignment="1">
      <alignment horizontal="center"/>
    </xf>
    <xf numFmtId="164" fontId="3" fillId="35" borderId="19" xfId="0" applyNumberFormat="1" applyFont="1" applyFill="1" applyBorder="1" applyAlignment="1">
      <alignment horizontal="center"/>
    </xf>
    <xf numFmtId="3" fontId="14" fillId="35" borderId="22" xfId="0" applyNumberFormat="1" applyFont="1" applyFill="1" applyBorder="1" applyAlignment="1">
      <alignment horizontal="center"/>
    </xf>
    <xf numFmtId="164" fontId="14" fillId="35" borderId="22" xfId="0" applyNumberFormat="1" applyFont="1" applyFill="1" applyBorder="1" applyAlignment="1">
      <alignment horizontal="center"/>
    </xf>
    <xf numFmtId="0" fontId="0" fillId="0" borderId="23" xfId="0" applyBorder="1" applyAlignment="1">
      <alignment/>
    </xf>
    <xf numFmtId="0" fontId="16" fillId="34" borderId="24" xfId="0" applyFont="1" applyFill="1" applyBorder="1" applyAlignment="1" applyProtection="1">
      <alignment horizontal="center"/>
      <protection/>
    </xf>
    <xf numFmtId="14" fontId="3" fillId="0" borderId="0" xfId="0" applyNumberFormat="1" applyFont="1" applyAlignment="1">
      <alignment horizontal="left"/>
    </xf>
    <xf numFmtId="0" fontId="3" fillId="0" borderId="0" xfId="0" applyFont="1" applyAlignment="1">
      <alignment wrapText="1"/>
    </xf>
    <xf numFmtId="1" fontId="15" fillId="34" borderId="21" xfId="0" applyNumberFormat="1" applyFont="1" applyFill="1" applyBorder="1" applyAlignment="1" applyProtection="1">
      <alignment horizontal="left"/>
      <protection/>
    </xf>
    <xf numFmtId="0" fontId="14" fillId="0" borderId="10" xfId="0" applyFont="1" applyFill="1" applyBorder="1" applyAlignment="1">
      <alignment horizontal="center"/>
    </xf>
    <xf numFmtId="1" fontId="15" fillId="34" borderId="25" xfId="0" applyNumberFormat="1" applyFont="1" applyFill="1" applyBorder="1" applyAlignment="1" applyProtection="1">
      <alignment horizontal="left"/>
      <protection/>
    </xf>
    <xf numFmtId="0" fontId="0" fillId="33" borderId="10" xfId="0" applyFill="1" applyBorder="1" applyAlignment="1">
      <alignment/>
    </xf>
    <xf numFmtId="0" fontId="3" fillId="35" borderId="0" xfId="0" applyFont="1" applyFill="1" applyAlignment="1">
      <alignment/>
    </xf>
    <xf numFmtId="0" fontId="0" fillId="36" borderId="26" xfId="0" applyFont="1" applyFill="1" applyBorder="1" applyAlignment="1">
      <alignment/>
    </xf>
    <xf numFmtId="2" fontId="0" fillId="36" borderId="26" xfId="0" applyNumberFormat="1" applyFont="1" applyFill="1" applyBorder="1" applyAlignment="1">
      <alignment horizontal="center"/>
    </xf>
    <xf numFmtId="0" fontId="0" fillId="36" borderId="26" xfId="0" applyFont="1" applyFill="1" applyBorder="1" applyAlignment="1">
      <alignment horizontal="left" vertical="center"/>
    </xf>
    <xf numFmtId="0" fontId="0" fillId="36" borderId="26" xfId="0" applyFont="1" applyFill="1" applyBorder="1" applyAlignment="1">
      <alignment horizontal="left"/>
    </xf>
    <xf numFmtId="2" fontId="0" fillId="36" borderId="26" xfId="0" applyNumberFormat="1" applyFont="1" applyFill="1" applyBorder="1" applyAlignment="1">
      <alignment horizontal="center" vertical="center"/>
    </xf>
    <xf numFmtId="0" fontId="0" fillId="36" borderId="26" xfId="0" applyFont="1" applyFill="1" applyBorder="1" applyAlignment="1">
      <alignment horizontal="center" vertical="center"/>
    </xf>
    <xf numFmtId="0" fontId="0" fillId="36" borderId="14" xfId="0" applyFont="1" applyFill="1" applyBorder="1" applyAlignment="1">
      <alignment/>
    </xf>
    <xf numFmtId="0" fontId="0" fillId="36" borderId="14" xfId="0" applyFont="1" applyFill="1" applyBorder="1" applyAlignment="1">
      <alignment horizontal="left"/>
    </xf>
    <xf numFmtId="0" fontId="0" fillId="37" borderId="0" xfId="0" applyFont="1" applyFill="1" applyAlignment="1">
      <alignment/>
    </xf>
    <xf numFmtId="0" fontId="0" fillId="37" borderId="0" xfId="0" applyFont="1" applyFill="1" applyAlignment="1">
      <alignment horizontal="center"/>
    </xf>
    <xf numFmtId="0" fontId="0" fillId="37" borderId="0" xfId="0" applyFont="1" applyFill="1" applyBorder="1" applyAlignment="1">
      <alignment/>
    </xf>
    <xf numFmtId="0" fontId="0" fillId="37" borderId="0" xfId="0" applyFont="1" applyFill="1" applyBorder="1" applyAlignment="1">
      <alignment horizontal="center"/>
    </xf>
    <xf numFmtId="0" fontId="0" fillId="37" borderId="0" xfId="0" applyFont="1" applyFill="1" applyBorder="1" applyAlignment="1">
      <alignment horizontal="left"/>
    </xf>
    <xf numFmtId="0" fontId="22" fillId="37" borderId="0" xfId="0" applyFont="1" applyFill="1" applyBorder="1" applyAlignment="1">
      <alignment/>
    </xf>
    <xf numFmtId="2" fontId="24" fillId="0" borderId="0" xfId="0" applyNumberFormat="1" applyFont="1" applyAlignment="1">
      <alignment horizontal="left"/>
    </xf>
    <xf numFmtId="168" fontId="0" fillId="33" borderId="21" xfId="0" applyNumberFormat="1" applyFont="1" applyFill="1" applyBorder="1" applyAlignment="1" applyProtection="1">
      <alignment horizontal="center"/>
      <protection locked="0"/>
    </xf>
    <xf numFmtId="0" fontId="0" fillId="0" borderId="0" xfId="0" applyAlignment="1">
      <alignment horizontal="left"/>
    </xf>
    <xf numFmtId="0" fontId="0" fillId="0" borderId="0" xfId="0" applyAlignment="1" quotePrefix="1">
      <alignment horizontal="center"/>
    </xf>
    <xf numFmtId="0" fontId="3"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 fillId="36" borderId="27" xfId="0" applyFont="1" applyFill="1" applyBorder="1" applyAlignment="1">
      <alignment horizontal="center"/>
    </xf>
    <xf numFmtId="164" fontId="0" fillId="33" borderId="24" xfId="0" applyNumberFormat="1" applyFill="1" applyBorder="1" applyAlignment="1" applyProtection="1">
      <alignment horizontal="center"/>
      <protection locked="0"/>
    </xf>
    <xf numFmtId="0" fontId="12" fillId="0" borderId="0" xfId="0" applyFont="1" applyAlignment="1">
      <alignment/>
    </xf>
    <xf numFmtId="0" fontId="0" fillId="33" borderId="28" xfId="0" applyFill="1" applyBorder="1" applyAlignment="1">
      <alignment/>
    </xf>
    <xf numFmtId="3" fontId="0" fillId="33" borderId="20" xfId="0" applyNumberFormat="1" applyFill="1" applyBorder="1" applyAlignment="1" applyProtection="1">
      <alignment horizontal="center"/>
      <protection locked="0"/>
    </xf>
    <xf numFmtId="164" fontId="0" fillId="33" borderId="20" xfId="0" applyNumberFormat="1" applyFill="1" applyBorder="1" applyAlignment="1" applyProtection="1">
      <alignment horizontal="center"/>
      <protection locked="0"/>
    </xf>
    <xf numFmtId="168" fontId="0" fillId="33" borderId="20" xfId="0" applyNumberFormat="1" applyFont="1" applyFill="1" applyBorder="1" applyAlignment="1" applyProtection="1">
      <alignment horizontal="center"/>
      <protection locked="0"/>
    </xf>
    <xf numFmtId="164" fontId="0" fillId="33" borderId="29" xfId="0" applyNumberFormat="1" applyFill="1" applyBorder="1" applyAlignment="1" applyProtection="1">
      <alignment horizontal="center"/>
      <protection locked="0"/>
    </xf>
    <xf numFmtId="0" fontId="0" fillId="0" borderId="0" xfId="0" applyFill="1" applyAlignment="1">
      <alignment wrapText="1"/>
    </xf>
    <xf numFmtId="0" fontId="3" fillId="35" borderId="0" xfId="0" applyFont="1" applyFill="1" applyAlignment="1">
      <alignment horizontal="left"/>
    </xf>
    <xf numFmtId="0" fontId="16" fillId="34" borderId="30" xfId="0" applyFont="1" applyFill="1" applyBorder="1" applyAlignment="1" applyProtection="1">
      <alignment horizontal="center"/>
      <protection/>
    </xf>
    <xf numFmtId="164" fontId="0" fillId="33" borderId="31" xfId="0" applyNumberFormat="1" applyFill="1" applyBorder="1" applyAlignment="1" applyProtection="1">
      <alignment horizontal="center"/>
      <protection locked="0"/>
    </xf>
    <xf numFmtId="164" fontId="0" fillId="33" borderId="32" xfId="0" applyNumberFormat="1" applyFill="1" applyBorder="1" applyAlignment="1" applyProtection="1">
      <alignment horizontal="center"/>
      <protection locked="0"/>
    </xf>
    <xf numFmtId="0" fontId="3" fillId="38" borderId="23" xfId="0" applyFont="1" applyFill="1" applyBorder="1" applyAlignment="1">
      <alignment horizontal="center"/>
    </xf>
    <xf numFmtId="0" fontId="3" fillId="38" borderId="33" xfId="0" applyFont="1" applyFill="1" applyBorder="1" applyAlignment="1">
      <alignment horizontal="center"/>
    </xf>
    <xf numFmtId="0" fontId="14" fillId="38" borderId="34" xfId="0" applyFont="1" applyFill="1" applyBorder="1" applyAlignment="1">
      <alignment horizontal="center"/>
    </xf>
    <xf numFmtId="0" fontId="14" fillId="38" borderId="29" xfId="0" applyFont="1" applyFill="1" applyBorder="1" applyAlignment="1">
      <alignment horizontal="center"/>
    </xf>
    <xf numFmtId="168" fontId="14" fillId="35" borderId="35" xfId="0" applyNumberFormat="1" applyFont="1" applyFill="1" applyBorder="1" applyAlignment="1">
      <alignment horizontal="center"/>
    </xf>
    <xf numFmtId="0" fontId="3" fillId="36" borderId="36" xfId="0" applyFont="1" applyFill="1" applyBorder="1" applyAlignment="1">
      <alignment horizontal="center"/>
    </xf>
    <xf numFmtId="0" fontId="14" fillId="36" borderId="20" xfId="0" applyFont="1" applyFill="1" applyBorder="1" applyAlignment="1">
      <alignment horizontal="center"/>
    </xf>
    <xf numFmtId="164" fontId="0" fillId="33" borderId="37" xfId="0" applyNumberFormat="1" applyFill="1" applyBorder="1" applyAlignment="1" applyProtection="1">
      <alignment horizontal="center"/>
      <protection locked="0"/>
    </xf>
    <xf numFmtId="0" fontId="7" fillId="0" borderId="0" xfId="0" applyFont="1" applyFill="1" applyBorder="1" applyAlignment="1">
      <alignment horizontal="center"/>
    </xf>
    <xf numFmtId="0" fontId="0" fillId="0" borderId="0" xfId="0" applyFont="1" applyFill="1" applyBorder="1" applyAlignment="1">
      <alignment horizontal="center"/>
    </xf>
    <xf numFmtId="0" fontId="0" fillId="0" borderId="38" xfId="0" applyFont="1" applyFill="1" applyBorder="1" applyAlignment="1">
      <alignment horizontal="center"/>
    </xf>
    <xf numFmtId="168" fontId="3" fillId="35" borderId="39" xfId="0" applyNumberFormat="1" applyFont="1" applyFill="1" applyBorder="1" applyAlignment="1">
      <alignment horizontal="center"/>
    </xf>
    <xf numFmtId="164" fontId="0" fillId="33" borderId="30" xfId="0" applyNumberFormat="1" applyFill="1" applyBorder="1" applyAlignment="1" applyProtection="1">
      <alignment horizontal="center"/>
      <protection locked="0"/>
    </xf>
    <xf numFmtId="0" fontId="3" fillId="39" borderId="23" xfId="0" applyFont="1" applyFill="1" applyBorder="1" applyAlignment="1">
      <alignment horizontal="center"/>
    </xf>
    <xf numFmtId="0" fontId="3" fillId="39" borderId="36" xfId="0" applyFont="1" applyFill="1" applyBorder="1" applyAlignment="1">
      <alignment horizontal="center"/>
    </xf>
    <xf numFmtId="0" fontId="3" fillId="39" borderId="33" xfId="0" applyFont="1" applyFill="1" applyBorder="1" applyAlignment="1">
      <alignment horizontal="center"/>
    </xf>
    <xf numFmtId="0" fontId="14" fillId="39" borderId="34" xfId="0" applyFont="1" applyFill="1" applyBorder="1" applyAlignment="1">
      <alignment horizontal="center"/>
    </xf>
    <xf numFmtId="0" fontId="14" fillId="39" borderId="20" xfId="0" applyFont="1" applyFill="1" applyBorder="1" applyAlignment="1">
      <alignment horizontal="center"/>
    </xf>
    <xf numFmtId="0" fontId="14" fillId="39" borderId="29" xfId="0" applyFont="1" applyFill="1" applyBorder="1" applyAlignment="1">
      <alignment horizontal="center"/>
    </xf>
    <xf numFmtId="0" fontId="0" fillId="33" borderId="40" xfId="0" applyFill="1" applyBorder="1" applyAlignment="1" applyProtection="1">
      <alignment/>
      <protection locked="0"/>
    </xf>
    <xf numFmtId="3" fontId="0" fillId="33" borderId="41" xfId="0" applyNumberFormat="1" applyFill="1" applyBorder="1" applyAlignment="1" applyProtection="1">
      <alignment horizontal="center"/>
      <protection locked="0"/>
    </xf>
    <xf numFmtId="164" fontId="0" fillId="33" borderId="41" xfId="0" applyNumberFormat="1" applyFill="1" applyBorder="1" applyAlignment="1" applyProtection="1">
      <alignment horizontal="center"/>
      <protection locked="0"/>
    </xf>
    <xf numFmtId="168" fontId="0" fillId="33" borderId="41" xfId="0" applyNumberFormat="1" applyFont="1" applyFill="1" applyBorder="1" applyAlignment="1" applyProtection="1">
      <alignment horizontal="center"/>
      <protection locked="0"/>
    </xf>
    <xf numFmtId="1" fontId="0" fillId="33" borderId="41" xfId="0" applyNumberFormat="1" applyFill="1" applyBorder="1" applyAlignment="1" applyProtection="1">
      <alignment horizontal="center"/>
      <protection locked="0"/>
    </xf>
    <xf numFmtId="164" fontId="0" fillId="33" borderId="42" xfId="0" applyNumberFormat="1" applyFill="1" applyBorder="1" applyAlignment="1" applyProtection="1">
      <alignment horizontal="center"/>
      <protection locked="0"/>
    </xf>
    <xf numFmtId="164" fontId="0" fillId="33" borderId="43" xfId="0" applyNumberFormat="1" applyFill="1" applyBorder="1" applyAlignment="1" applyProtection="1">
      <alignment horizontal="center"/>
      <protection locked="0"/>
    </xf>
    <xf numFmtId="3" fontId="0" fillId="0" borderId="0" xfId="0" applyNumberFormat="1" applyAlignment="1">
      <alignment horizontal="right"/>
    </xf>
    <xf numFmtId="0" fontId="19" fillId="0" borderId="0" xfId="0" applyFont="1" applyAlignment="1">
      <alignment/>
    </xf>
    <xf numFmtId="3" fontId="2" fillId="0" borderId="36" xfId="0" applyNumberFormat="1" applyFont="1" applyBorder="1" applyAlignment="1">
      <alignment horizontal="left"/>
    </xf>
    <xf numFmtId="164" fontId="0" fillId="33" borderId="34" xfId="0" applyNumberFormat="1" applyFill="1" applyBorder="1" applyAlignment="1" applyProtection="1">
      <alignment horizontal="center"/>
      <protection locked="0"/>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38" xfId="0" applyFont="1" applyFill="1" applyBorder="1" applyAlignment="1">
      <alignment horizontal="left" wrapText="1"/>
    </xf>
    <xf numFmtId="164" fontId="0" fillId="0" borderId="0" xfId="0" applyNumberFormat="1" applyFont="1" applyFill="1" applyBorder="1" applyAlignment="1">
      <alignment horizontal="center"/>
    </xf>
    <xf numFmtId="0" fontId="31" fillId="0" borderId="0" xfId="0" applyFont="1" applyFill="1" applyBorder="1" applyAlignment="1">
      <alignment horizontal="center"/>
    </xf>
    <xf numFmtId="0" fontId="0" fillId="0" borderId="0" xfId="0" applyFont="1" applyFill="1" applyBorder="1" applyAlignment="1">
      <alignment wrapText="1"/>
    </xf>
    <xf numFmtId="2" fontId="0" fillId="0" borderId="0" xfId="0" applyNumberFormat="1" applyFont="1" applyFill="1" applyBorder="1" applyAlignment="1">
      <alignment horizontal="center" wrapText="1"/>
    </xf>
    <xf numFmtId="0" fontId="0" fillId="0" borderId="0" xfId="0" applyFont="1" applyFill="1" applyBorder="1" applyAlignment="1">
      <alignment horizontal="left"/>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center" vertical="center"/>
    </xf>
    <xf numFmtId="0" fontId="2" fillId="0" borderId="18" xfId="0" applyFont="1" applyBorder="1" applyAlignment="1">
      <alignment horizontal="center" wrapText="1"/>
    </xf>
    <xf numFmtId="0" fontId="2" fillId="0" borderId="44" xfId="0" applyFont="1" applyBorder="1" applyAlignment="1">
      <alignment horizontal="center"/>
    </xf>
    <xf numFmtId="0" fontId="2" fillId="0" borderId="16" xfId="0" applyFont="1" applyBorder="1" applyAlignment="1">
      <alignment horizontal="center"/>
    </xf>
    <xf numFmtId="166" fontId="0" fillId="0" borderId="0" xfId="59" applyNumberFormat="1" applyFont="1" applyFill="1" applyBorder="1" applyAlignment="1">
      <alignment horizontal="center" wrapText="1"/>
    </xf>
    <xf numFmtId="2" fontId="3" fillId="0" borderId="0" xfId="0" applyNumberFormat="1" applyFont="1" applyFill="1" applyBorder="1" applyAlignment="1">
      <alignment horizontal="center" wrapText="1"/>
    </xf>
    <xf numFmtId="0" fontId="11" fillId="0" borderId="37" xfId="0" applyFont="1" applyBorder="1" applyAlignment="1">
      <alignment horizontal="centerContinuous"/>
    </xf>
    <xf numFmtId="166" fontId="0" fillId="0" borderId="0" xfId="0" applyNumberFormat="1" applyFont="1" applyFill="1" applyBorder="1" applyAlignment="1">
      <alignment horizontal="center" wrapText="1"/>
    </xf>
    <xf numFmtId="1" fontId="0" fillId="36" borderId="26" xfId="0" applyNumberFormat="1"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6" xfId="0" applyFont="1" applyFill="1" applyBorder="1" applyAlignment="1">
      <alignment wrapText="1"/>
    </xf>
    <xf numFmtId="0" fontId="0" fillId="36" borderId="14" xfId="0" applyFont="1" applyFill="1" applyBorder="1" applyAlignment="1">
      <alignment wrapText="1"/>
    </xf>
    <xf numFmtId="0" fontId="9" fillId="0" borderId="38" xfId="53" applyFill="1" applyBorder="1" applyAlignment="1" applyProtection="1">
      <alignment horizontal="left"/>
      <protection/>
    </xf>
    <xf numFmtId="0" fontId="21" fillId="37" borderId="0" xfId="0" applyFont="1" applyFill="1" applyBorder="1" applyAlignment="1">
      <alignment horizontal="left" vertical="top"/>
    </xf>
    <xf numFmtId="0" fontId="0" fillId="37" borderId="0" xfId="0" applyFill="1" applyBorder="1" applyAlignment="1">
      <alignment/>
    </xf>
    <xf numFmtId="0" fontId="0" fillId="37" borderId="0" xfId="0" applyFill="1" applyBorder="1" applyAlignment="1">
      <alignment horizontal="center"/>
    </xf>
    <xf numFmtId="0" fontId="0" fillId="0" borderId="38" xfId="0" applyFont="1" applyFill="1" applyBorder="1" applyAlignment="1">
      <alignment horizontal="left"/>
    </xf>
    <xf numFmtId="0" fontId="9" fillId="37" borderId="0" xfId="53" applyFill="1" applyBorder="1" applyAlignment="1" applyProtection="1">
      <alignment horizontal="left" wrapText="1"/>
      <protection/>
    </xf>
    <xf numFmtId="0" fontId="0" fillId="37" borderId="0" xfId="0" applyFont="1" applyFill="1" applyBorder="1" applyAlignment="1">
      <alignment horizontal="left" wrapText="1"/>
    </xf>
    <xf numFmtId="0" fontId="7" fillId="36" borderId="26" xfId="0" applyFont="1" applyFill="1" applyBorder="1" applyAlignment="1">
      <alignment horizontal="center"/>
    </xf>
    <xf numFmtId="0" fontId="0" fillId="36" borderId="26" xfId="0" applyFont="1" applyFill="1" applyBorder="1" applyAlignment="1">
      <alignment horizontal="center"/>
    </xf>
    <xf numFmtId="0" fontId="0" fillId="36" borderId="14" xfId="0" applyFont="1" applyFill="1" applyBorder="1" applyAlignment="1">
      <alignment horizontal="center"/>
    </xf>
    <xf numFmtId="1" fontId="0" fillId="0" borderId="0" xfId="0" applyNumberFormat="1" applyFont="1" applyFill="1" applyBorder="1" applyAlignment="1">
      <alignment horizontal="left" wrapText="1"/>
    </xf>
    <xf numFmtId="0" fontId="2" fillId="36" borderId="34" xfId="0" applyFont="1" applyFill="1" applyBorder="1" applyAlignment="1">
      <alignment horizontal="center"/>
    </xf>
    <xf numFmtId="3" fontId="0" fillId="0" borderId="0" xfId="0" applyNumberFormat="1" applyFont="1" applyFill="1" applyBorder="1" applyAlignment="1">
      <alignment horizontal="center"/>
    </xf>
    <xf numFmtId="164" fontId="0" fillId="0" borderId="0" xfId="0" applyNumberFormat="1" applyFont="1" applyFill="1" applyBorder="1" applyAlignment="1">
      <alignment horizontal="left" wrapText="1"/>
    </xf>
    <xf numFmtId="164" fontId="0" fillId="33" borderId="43" xfId="0" applyNumberFormat="1" applyFont="1" applyFill="1" applyBorder="1" applyAlignment="1" applyProtection="1">
      <alignment horizontal="center"/>
      <protection locked="0"/>
    </xf>
    <xf numFmtId="164" fontId="0" fillId="33" borderId="30" xfId="0" applyNumberFormat="1" applyFont="1" applyFill="1" applyBorder="1" applyAlignment="1" applyProtection="1">
      <alignment horizontal="center"/>
      <protection locked="0"/>
    </xf>
    <xf numFmtId="164" fontId="0" fillId="33" borderId="31" xfId="0" applyNumberFormat="1" applyFont="1" applyFill="1" applyBorder="1" applyAlignment="1" applyProtection="1">
      <alignment horizontal="center"/>
      <protection locked="0"/>
    </xf>
    <xf numFmtId="1" fontId="2" fillId="0" borderId="17"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1" fontId="2" fillId="37" borderId="18" xfId="0" applyNumberFormat="1" applyFont="1" applyFill="1" applyBorder="1" applyAlignment="1">
      <alignment horizontal="center" vertical="center" wrapText="1"/>
    </xf>
    <xf numFmtId="1" fontId="2" fillId="0" borderId="45" xfId="0" applyNumberFormat="1" applyFont="1" applyBorder="1" applyAlignment="1">
      <alignment horizontal="center"/>
    </xf>
    <xf numFmtId="1" fontId="2" fillId="37" borderId="16" xfId="0" applyNumberFormat="1" applyFont="1" applyFill="1" applyBorder="1" applyAlignment="1">
      <alignment horizontal="center"/>
    </xf>
    <xf numFmtId="0" fontId="33" fillId="34" borderId="10" xfId="0" applyFont="1" applyFill="1" applyBorder="1" applyAlignment="1">
      <alignment horizontal="left"/>
    </xf>
    <xf numFmtId="0" fontId="33" fillId="34" borderId="38" xfId="0" applyFont="1" applyFill="1" applyBorder="1" applyAlignment="1">
      <alignment horizontal="center"/>
    </xf>
    <xf numFmtId="0" fontId="33" fillId="34" borderId="0" xfId="0" applyFont="1" applyFill="1" applyBorder="1" applyAlignment="1">
      <alignment horizontal="center"/>
    </xf>
    <xf numFmtId="1" fontId="33" fillId="34" borderId="46" xfId="0" applyNumberFormat="1" applyFont="1" applyFill="1" applyBorder="1" applyAlignment="1">
      <alignment horizontal="center"/>
    </xf>
    <xf numFmtId="1" fontId="33" fillId="34" borderId="0" xfId="0" applyNumberFormat="1" applyFont="1" applyFill="1" applyBorder="1" applyAlignment="1">
      <alignment horizontal="center"/>
    </xf>
    <xf numFmtId="0" fontId="33" fillId="34" borderId="46" xfId="0" applyFont="1" applyFill="1" applyBorder="1" applyAlignment="1">
      <alignment horizontal="center"/>
    </xf>
    <xf numFmtId="0" fontId="33" fillId="34" borderId="47" xfId="0" applyFont="1" applyFill="1" applyBorder="1" applyAlignment="1">
      <alignment horizontal="center"/>
    </xf>
    <xf numFmtId="164" fontId="34" fillId="34" borderId="19" xfId="0" applyNumberFormat="1" applyFont="1" applyFill="1" applyBorder="1" applyAlignment="1">
      <alignment horizontal="center"/>
    </xf>
    <xf numFmtId="164" fontId="34" fillId="34" borderId="12" xfId="0" applyNumberFormat="1" applyFont="1" applyFill="1" applyBorder="1" applyAlignment="1">
      <alignment horizontal="center"/>
    </xf>
    <xf numFmtId="164" fontId="11" fillId="0" borderId="45" xfId="0" applyNumberFormat="1" applyFont="1" applyBorder="1" applyAlignment="1">
      <alignment horizontal="center"/>
    </xf>
    <xf numFmtId="164" fontId="34" fillId="34" borderId="46" xfId="0" applyNumberFormat="1" applyFont="1" applyFill="1" applyBorder="1" applyAlignment="1">
      <alignment horizontal="center"/>
    </xf>
    <xf numFmtId="164" fontId="34" fillId="34" borderId="48" xfId="0" applyNumberFormat="1" applyFont="1" applyFill="1" applyBorder="1" applyAlignment="1">
      <alignment horizontal="center"/>
    </xf>
    <xf numFmtId="0" fontId="34" fillId="34" borderId="49" xfId="0" applyFont="1" applyFill="1" applyBorder="1" applyAlignment="1">
      <alignment horizontal="centerContinuous"/>
    </xf>
    <xf numFmtId="0" fontId="34" fillId="34" borderId="47" xfId="0" applyFont="1" applyFill="1" applyBorder="1" applyAlignment="1">
      <alignment horizontal="centerContinuous"/>
    </xf>
    <xf numFmtId="9" fontId="2" fillId="39" borderId="50" xfId="0" applyNumberFormat="1" applyFont="1" applyFill="1" applyBorder="1" applyAlignment="1">
      <alignment horizontal="center" wrapText="1"/>
    </xf>
    <xf numFmtId="0" fontId="2" fillId="39" borderId="51" xfId="0" applyFont="1" applyFill="1" applyBorder="1" applyAlignment="1">
      <alignment wrapText="1"/>
    </xf>
    <xf numFmtId="167" fontId="2" fillId="39" borderId="52" xfId="0" applyNumberFormat="1" applyFont="1" applyFill="1" applyBorder="1" applyAlignment="1">
      <alignment horizontal="center"/>
    </xf>
    <xf numFmtId="7" fontId="2" fillId="39" borderId="53" xfId="0" applyNumberFormat="1" applyFont="1" applyFill="1" applyBorder="1" applyAlignment="1">
      <alignment horizontal="center"/>
    </xf>
    <xf numFmtId="3" fontId="2" fillId="39" borderId="52" xfId="59" applyNumberFormat="1" applyFont="1" applyFill="1" applyBorder="1" applyAlignment="1">
      <alignment horizontal="center"/>
    </xf>
    <xf numFmtId="4" fontId="2" fillId="39" borderId="52" xfId="0" applyNumberFormat="1" applyFont="1" applyFill="1" applyBorder="1" applyAlignment="1">
      <alignment horizontal="center"/>
    </xf>
    <xf numFmtId="4" fontId="2" fillId="39" borderId="54" xfId="0" applyNumberFormat="1" applyFont="1" applyFill="1" applyBorder="1" applyAlignment="1">
      <alignment horizontal="center"/>
    </xf>
    <xf numFmtId="5" fontId="2" fillId="39" borderId="55" xfId="0" applyNumberFormat="1" applyFont="1" applyFill="1" applyBorder="1" applyAlignment="1">
      <alignment horizontal="center"/>
    </xf>
    <xf numFmtId="0" fontId="2" fillId="39" borderId="56" xfId="0" applyFont="1" applyFill="1" applyBorder="1" applyAlignment="1">
      <alignment horizontal="center"/>
    </xf>
    <xf numFmtId="9" fontId="2" fillId="39" borderId="38" xfId="0" applyNumberFormat="1" applyFont="1" applyFill="1" applyBorder="1" applyAlignment="1">
      <alignment horizontal="center" wrapText="1"/>
    </xf>
    <xf numFmtId="0" fontId="2" fillId="39" borderId="0" xfId="0" applyFont="1" applyFill="1" applyBorder="1" applyAlignment="1">
      <alignment horizontal="left" wrapText="1"/>
    </xf>
    <xf numFmtId="167" fontId="2" fillId="39" borderId="57" xfId="0" applyNumberFormat="1" applyFont="1" applyFill="1" applyBorder="1" applyAlignment="1">
      <alignment horizontal="center"/>
    </xf>
    <xf numFmtId="7" fontId="2" fillId="39" borderId="0" xfId="0" applyNumberFormat="1" applyFont="1" applyFill="1" applyBorder="1" applyAlignment="1">
      <alignment horizontal="center"/>
    </xf>
    <xf numFmtId="3" fontId="2" fillId="39" borderId="57" xfId="59" applyNumberFormat="1" applyFont="1" applyFill="1" applyBorder="1" applyAlignment="1">
      <alignment horizontal="center"/>
    </xf>
    <xf numFmtId="4" fontId="2" fillId="39" borderId="57" xfId="0" applyNumberFormat="1" applyFont="1" applyFill="1" applyBorder="1" applyAlignment="1">
      <alignment horizontal="center"/>
    </xf>
    <xf numFmtId="4" fontId="2" fillId="39" borderId="58" xfId="0" applyNumberFormat="1" applyFont="1" applyFill="1" applyBorder="1" applyAlignment="1">
      <alignment horizontal="center"/>
    </xf>
    <xf numFmtId="5" fontId="2" fillId="39" borderId="57" xfId="0" applyNumberFormat="1" applyFont="1" applyFill="1" applyBorder="1" applyAlignment="1">
      <alignment horizontal="center"/>
    </xf>
    <xf numFmtId="2" fontId="2" fillId="39" borderId="59" xfId="0" applyNumberFormat="1" applyFont="1" applyFill="1" applyBorder="1" applyAlignment="1">
      <alignment horizontal="center"/>
    </xf>
    <xf numFmtId="9" fontId="2" fillId="39" borderId="60" xfId="0" applyNumberFormat="1" applyFont="1" applyFill="1" applyBorder="1" applyAlignment="1">
      <alignment horizontal="center" wrapText="1"/>
    </xf>
    <xf numFmtId="0" fontId="2" fillId="0" borderId="58" xfId="0" applyFont="1" applyBorder="1" applyAlignment="1">
      <alignment vertical="center" wrapText="1"/>
    </xf>
    <xf numFmtId="186" fontId="2" fillId="39" borderId="52" xfId="0" applyNumberFormat="1" applyFont="1" applyFill="1" applyBorder="1" applyAlignment="1">
      <alignment horizontal="center"/>
    </xf>
    <xf numFmtId="186" fontId="2" fillId="39" borderId="51" xfId="0" applyNumberFormat="1" applyFont="1" applyFill="1" applyBorder="1" applyAlignment="1">
      <alignment horizontal="center"/>
    </xf>
    <xf numFmtId="186" fontId="2" fillId="39" borderId="57" xfId="0" applyNumberFormat="1" applyFont="1" applyFill="1" applyBorder="1" applyAlignment="1">
      <alignment horizontal="center"/>
    </xf>
    <xf numFmtId="186" fontId="2" fillId="39" borderId="0" xfId="0" applyNumberFormat="1" applyFont="1" applyFill="1" applyBorder="1" applyAlignment="1">
      <alignment horizontal="center"/>
    </xf>
    <xf numFmtId="186" fontId="2" fillId="39" borderId="35" xfId="0" applyNumberFormat="1" applyFont="1" applyFill="1" applyBorder="1" applyAlignment="1">
      <alignment horizontal="center"/>
    </xf>
    <xf numFmtId="0" fontId="2" fillId="36" borderId="61" xfId="0" applyFont="1" applyFill="1" applyBorder="1" applyAlignment="1">
      <alignment horizontal="center"/>
    </xf>
    <xf numFmtId="0" fontId="2" fillId="39" borderId="20" xfId="0" applyFont="1" applyFill="1" applyBorder="1" applyAlignment="1">
      <alignment horizontal="left" wrapText="1"/>
    </xf>
    <xf numFmtId="167" fontId="2" fillId="39" borderId="22" xfId="0" applyNumberFormat="1" applyFont="1" applyFill="1" applyBorder="1" applyAlignment="1">
      <alignment horizontal="center"/>
    </xf>
    <xf numFmtId="7" fontId="2" fillId="39" borderId="20" xfId="0" applyNumberFormat="1" applyFont="1" applyFill="1" applyBorder="1" applyAlignment="1">
      <alignment horizontal="center"/>
    </xf>
    <xf numFmtId="3" fontId="2" fillId="39" borderId="22" xfId="59" applyNumberFormat="1" applyFont="1" applyFill="1" applyBorder="1" applyAlignment="1">
      <alignment horizontal="center"/>
    </xf>
    <xf numFmtId="4" fontId="2" fillId="39" borderId="22" xfId="0" applyNumberFormat="1" applyFont="1" applyFill="1" applyBorder="1" applyAlignment="1">
      <alignment horizontal="center"/>
    </xf>
    <xf numFmtId="4" fontId="2" fillId="39" borderId="35" xfId="0" applyNumberFormat="1" applyFont="1" applyFill="1" applyBorder="1" applyAlignment="1">
      <alignment horizontal="center"/>
    </xf>
    <xf numFmtId="5" fontId="2" fillId="39" borderId="22" xfId="0" applyNumberFormat="1" applyFont="1" applyFill="1" applyBorder="1" applyAlignment="1">
      <alignment horizontal="center"/>
    </xf>
    <xf numFmtId="2" fontId="2" fillId="39" borderId="29" xfId="0" applyNumberFormat="1" applyFont="1" applyFill="1" applyBorder="1" applyAlignment="1">
      <alignment horizontal="center"/>
    </xf>
    <xf numFmtId="186" fontId="2" fillId="39" borderId="22" xfId="0" applyNumberFormat="1" applyFont="1" applyFill="1" applyBorder="1" applyAlignment="1">
      <alignment horizontal="center"/>
    </xf>
    <xf numFmtId="186" fontId="2" fillId="39" borderId="62" xfId="0" applyNumberFormat="1" applyFont="1" applyFill="1" applyBorder="1" applyAlignment="1">
      <alignment horizontal="center"/>
    </xf>
    <xf numFmtId="186" fontId="2" fillId="39" borderId="58" xfId="0" applyNumberFormat="1" applyFont="1" applyFill="1" applyBorder="1" applyAlignment="1">
      <alignment horizontal="center"/>
    </xf>
    <xf numFmtId="0" fontId="2" fillId="35" borderId="27" xfId="0" applyFont="1" applyFill="1" applyBorder="1" applyAlignment="1">
      <alignment horizontal="center"/>
    </xf>
    <xf numFmtId="0" fontId="0" fillId="33" borderId="63" xfId="0" applyFill="1" applyBorder="1" applyAlignment="1" applyProtection="1">
      <alignment/>
      <protection locked="0"/>
    </xf>
    <xf numFmtId="0" fontId="0" fillId="33" borderId="17" xfId="0" applyFill="1" applyBorder="1" applyAlignment="1" applyProtection="1">
      <alignment/>
      <protection locked="0"/>
    </xf>
    <xf numFmtId="3" fontId="16" fillId="34" borderId="26" xfId="0" applyNumberFormat="1" applyFont="1" applyFill="1" applyBorder="1" applyAlignment="1" applyProtection="1">
      <alignment horizontal="center"/>
      <protection/>
    </xf>
    <xf numFmtId="164" fontId="16" fillId="34" borderId="26" xfId="0" applyNumberFormat="1" applyFont="1" applyFill="1" applyBorder="1" applyAlignment="1" applyProtection="1">
      <alignment horizontal="center"/>
      <protection/>
    </xf>
    <xf numFmtId="168" fontId="16" fillId="34" borderId="26" xfId="0" applyNumberFormat="1" applyFont="1" applyFill="1" applyBorder="1" applyAlignment="1" applyProtection="1">
      <alignment horizontal="center"/>
      <protection/>
    </xf>
    <xf numFmtId="0" fontId="16" fillId="34" borderId="31" xfId="0" applyFont="1" applyFill="1" applyBorder="1" applyAlignment="1" applyProtection="1">
      <alignment horizontal="center"/>
      <protection/>
    </xf>
    <xf numFmtId="0" fontId="16" fillId="34" borderId="26" xfId="0" applyFont="1" applyFill="1" applyBorder="1" applyAlignment="1" applyProtection="1">
      <alignment horizontal="center"/>
      <protection/>
    </xf>
    <xf numFmtId="0" fontId="16" fillId="34" borderId="13" xfId="0" applyFont="1" applyFill="1" applyBorder="1" applyAlignment="1" applyProtection="1">
      <alignment horizontal="center"/>
      <protection/>
    </xf>
    <xf numFmtId="0" fontId="0" fillId="33" borderId="45" xfId="0" applyFill="1" applyBorder="1" applyAlignment="1" applyProtection="1">
      <alignment/>
      <protection locked="0"/>
    </xf>
    <xf numFmtId="1" fontId="0" fillId="33" borderId="20" xfId="0" applyNumberFormat="1" applyFill="1" applyBorder="1" applyAlignment="1" applyProtection="1">
      <alignment horizontal="center"/>
      <protection locked="0"/>
    </xf>
    <xf numFmtId="2" fontId="2" fillId="39" borderId="56" xfId="0" applyNumberFormat="1" applyFont="1" applyFill="1" applyBorder="1" applyAlignment="1">
      <alignment horizontal="center"/>
    </xf>
    <xf numFmtId="0" fontId="2" fillId="39" borderId="58" xfId="0" applyFont="1" applyFill="1" applyBorder="1" applyAlignment="1">
      <alignment horizontal="left" wrapText="1"/>
    </xf>
    <xf numFmtId="0" fontId="21" fillId="37" borderId="64" xfId="0" applyFont="1" applyFill="1" applyBorder="1" applyAlignment="1">
      <alignment horizontal="center" vertical="top" wrapText="1"/>
    </xf>
    <xf numFmtId="0" fontId="21" fillId="37" borderId="44" xfId="0" applyFont="1" applyFill="1" applyBorder="1" applyAlignment="1">
      <alignment horizontal="center" vertical="top" wrapText="1"/>
    </xf>
    <xf numFmtId="0" fontId="21" fillId="37" borderId="64" xfId="0" applyFont="1" applyFill="1" applyBorder="1" applyAlignment="1">
      <alignment horizontal="center" vertical="top"/>
    </xf>
    <xf numFmtId="0" fontId="22" fillId="37" borderId="44" xfId="0" applyFont="1" applyFill="1" applyBorder="1" applyAlignment="1">
      <alignment/>
    </xf>
    <xf numFmtId="0" fontId="32" fillId="37" borderId="15" xfId="0" applyFont="1" applyFill="1" applyBorder="1" applyAlignment="1">
      <alignment horizontal="center" vertical="top" wrapText="1"/>
    </xf>
    <xf numFmtId="0" fontId="32" fillId="37" borderId="21" xfId="0" applyFont="1" applyFill="1" applyBorder="1" applyAlignment="1">
      <alignment horizontal="center" vertical="top" wrapText="1"/>
    </xf>
    <xf numFmtId="0" fontId="32" fillId="37" borderId="65" xfId="0" applyFont="1" applyFill="1" applyBorder="1" applyAlignment="1">
      <alignment horizontal="center" vertical="top" wrapText="1"/>
    </xf>
    <xf numFmtId="0" fontId="21" fillId="37" borderId="44" xfId="0" applyFont="1" applyFill="1" applyBorder="1" applyAlignment="1">
      <alignment horizontal="center" vertical="top"/>
    </xf>
    <xf numFmtId="0" fontId="0" fillId="0" borderId="0" xfId="0" applyFont="1" applyFill="1" applyBorder="1" applyAlignment="1">
      <alignment/>
    </xf>
    <xf numFmtId="9" fontId="0" fillId="0" borderId="0" xfId="0" applyNumberFormat="1" applyFont="1" applyFill="1" applyBorder="1" applyAlignment="1">
      <alignment horizontal="center" wrapText="1"/>
    </xf>
    <xf numFmtId="0" fontId="0" fillId="0" borderId="38" xfId="0" applyFont="1" applyBorder="1" applyAlignment="1">
      <alignment horizontal="left"/>
    </xf>
    <xf numFmtId="0" fontId="0" fillId="0" borderId="66" xfId="0" applyFont="1" applyFill="1" applyBorder="1" applyAlignment="1">
      <alignment horizontal="left" wrapText="1"/>
    </xf>
    <xf numFmtId="0" fontId="0" fillId="0" borderId="57" xfId="0" applyFont="1" applyFill="1" applyBorder="1" applyAlignment="1">
      <alignment horizontal="left" wrapText="1"/>
    </xf>
    <xf numFmtId="0" fontId="1" fillId="0" borderId="0" xfId="0" applyFont="1" applyBorder="1" applyAlignment="1">
      <alignment/>
    </xf>
    <xf numFmtId="0" fontId="0" fillId="0" borderId="57" xfId="0" applyFont="1" applyFill="1" applyBorder="1" applyAlignment="1">
      <alignment horizontal="left"/>
    </xf>
    <xf numFmtId="0" fontId="0" fillId="0" borderId="57" xfId="0" applyFill="1" applyBorder="1" applyAlignment="1">
      <alignment/>
    </xf>
    <xf numFmtId="0" fontId="0" fillId="0" borderId="0" xfId="0" applyBorder="1" applyAlignment="1">
      <alignment horizontal="center"/>
    </xf>
    <xf numFmtId="164" fontId="0" fillId="0" borderId="0" xfId="0" applyNumberFormat="1" applyBorder="1" applyAlignment="1">
      <alignment horizontal="center"/>
    </xf>
    <xf numFmtId="0" fontId="0" fillId="0" borderId="15" xfId="0" applyFont="1" applyFill="1" applyBorder="1" applyAlignment="1">
      <alignment horizontal="left" wrapText="1"/>
    </xf>
    <xf numFmtId="0" fontId="0" fillId="0" borderId="21" xfId="0" applyFont="1" applyFill="1" applyBorder="1" applyAlignment="1">
      <alignment horizontal="left" wrapText="1"/>
    </xf>
    <xf numFmtId="166" fontId="0" fillId="0" borderId="21" xfId="0" applyNumberFormat="1" applyFont="1" applyFill="1" applyBorder="1" applyAlignment="1">
      <alignment horizontal="center" wrapText="1"/>
    </xf>
    <xf numFmtId="2" fontId="3" fillId="0" borderId="21" xfId="0" applyNumberFormat="1" applyFont="1" applyFill="1" applyBorder="1" applyAlignment="1">
      <alignment horizontal="center" wrapText="1"/>
    </xf>
    <xf numFmtId="2" fontId="0" fillId="0" borderId="21" xfId="0" applyNumberFormat="1" applyFont="1" applyFill="1" applyBorder="1" applyAlignment="1">
      <alignment horizontal="center" wrapText="1"/>
    </xf>
    <xf numFmtId="0" fontId="0" fillId="0" borderId="21" xfId="0" applyFont="1" applyFill="1" applyBorder="1" applyAlignment="1">
      <alignment horizontal="left"/>
    </xf>
    <xf numFmtId="0" fontId="0" fillId="0" borderId="65" xfId="0" applyFont="1" applyFill="1" applyBorder="1" applyAlignment="1">
      <alignment horizontal="left"/>
    </xf>
    <xf numFmtId="0" fontId="0" fillId="0" borderId="66" xfId="0" applyFill="1" applyBorder="1" applyAlignment="1">
      <alignment horizontal="left" vertical="center"/>
    </xf>
    <xf numFmtId="0" fontId="0" fillId="0" borderId="38" xfId="0" applyFill="1" applyBorder="1" applyAlignment="1">
      <alignment horizontal="left" vertical="center"/>
    </xf>
    <xf numFmtId="0" fontId="0" fillId="0" borderId="65" xfId="0" applyFill="1" applyBorder="1" applyAlignment="1">
      <alignment horizontal="left" vertical="center"/>
    </xf>
    <xf numFmtId="0" fontId="0" fillId="0" borderId="6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6" fillId="36" borderId="17" xfId="0" applyFont="1" applyFill="1" applyBorder="1" applyAlignment="1">
      <alignment horizontal="left" vertical="center" wrapText="1"/>
    </xf>
    <xf numFmtId="0" fontId="6" fillId="36" borderId="26" xfId="0" applyFont="1" applyFill="1" applyBorder="1" applyAlignment="1">
      <alignment horizontal="left" vertical="center" wrapText="1"/>
    </xf>
    <xf numFmtId="0" fontId="6" fillId="36" borderId="17" xfId="0" applyFont="1" applyFill="1" applyBorder="1" applyAlignment="1">
      <alignment vertical="center" wrapText="1"/>
    </xf>
    <xf numFmtId="0" fontId="6" fillId="36" borderId="26" xfId="0" applyFont="1" applyFill="1" applyBorder="1" applyAlignment="1">
      <alignment vertical="center" wrapText="1"/>
    </xf>
    <xf numFmtId="0" fontId="21" fillId="37" borderId="67" xfId="0" applyFont="1" applyFill="1" applyBorder="1" applyAlignment="1">
      <alignment horizontal="center" vertical="top" wrapText="1"/>
    </xf>
    <xf numFmtId="0" fontId="21" fillId="37" borderId="68" xfId="0" applyFont="1" applyFill="1" applyBorder="1" applyAlignment="1">
      <alignment horizontal="center" vertical="top" wrapText="1"/>
    </xf>
    <xf numFmtId="0" fontId="21" fillId="37" borderId="66" xfId="0" applyFont="1" applyFill="1" applyBorder="1" applyAlignment="1">
      <alignment horizontal="center" vertical="top" wrapText="1"/>
    </xf>
    <xf numFmtId="0" fontId="6" fillId="36" borderId="17" xfId="0" applyFont="1" applyFill="1" applyBorder="1" applyAlignment="1">
      <alignment horizontal="left" wrapText="1"/>
    </xf>
    <xf numFmtId="0" fontId="6" fillId="36" borderId="26" xfId="0" applyFont="1" applyFill="1" applyBorder="1" applyAlignment="1">
      <alignment horizontal="left" wrapText="1"/>
    </xf>
    <xf numFmtId="0" fontId="2" fillId="0" borderId="26" xfId="0" applyFont="1" applyBorder="1" applyAlignment="1">
      <alignment horizontal="center"/>
    </xf>
    <xf numFmtId="0" fontId="2" fillId="0" borderId="14" xfId="0" applyFont="1" applyBorder="1" applyAlignment="1">
      <alignment horizontal="center"/>
    </xf>
    <xf numFmtId="164" fontId="2" fillId="0" borderId="17" xfId="0" applyNumberFormat="1" applyFont="1" applyBorder="1" applyAlignment="1">
      <alignment horizontal="center"/>
    </xf>
    <xf numFmtId="164" fontId="2" fillId="0" borderId="14" xfId="0" applyNumberFormat="1" applyFont="1" applyBorder="1" applyAlignment="1">
      <alignment horizontal="center"/>
    </xf>
    <xf numFmtId="1" fontId="2" fillId="35" borderId="69" xfId="0" applyNumberFormat="1" applyFont="1" applyFill="1" applyBorder="1" applyAlignment="1">
      <alignment horizontal="center"/>
    </xf>
    <xf numFmtId="1" fontId="2" fillId="35" borderId="70" xfId="0" applyNumberFormat="1" applyFont="1" applyFill="1" applyBorder="1" applyAlignment="1">
      <alignment horizontal="center"/>
    </xf>
    <xf numFmtId="1" fontId="2" fillId="35" borderId="71" xfId="0" applyNumberFormat="1" applyFont="1" applyFill="1" applyBorder="1" applyAlignment="1">
      <alignment horizontal="center"/>
    </xf>
    <xf numFmtId="1" fontId="2" fillId="0" borderId="17" xfId="0" applyNumberFormat="1" applyFont="1" applyBorder="1" applyAlignment="1">
      <alignment horizontal="center"/>
    </xf>
    <xf numFmtId="1" fontId="2" fillId="0" borderId="26" xfId="0" applyNumberFormat="1" applyFont="1" applyBorder="1" applyAlignment="1">
      <alignment horizontal="center"/>
    </xf>
    <xf numFmtId="1" fontId="2" fillId="0" borderId="14" xfId="0" applyNumberFormat="1" applyFont="1" applyBorder="1" applyAlignment="1">
      <alignment horizontal="center"/>
    </xf>
    <xf numFmtId="0" fontId="0" fillId="0" borderId="0" xfId="0" applyBorder="1" applyAlignment="1">
      <alignment/>
    </xf>
    <xf numFmtId="0" fontId="0" fillId="0" borderId="36" xfId="0" applyBorder="1" applyAlignment="1">
      <alignment/>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2" fontId="2" fillId="35" borderId="19" xfId="0" applyNumberFormat="1" applyFont="1" applyFill="1" applyBorder="1" applyAlignment="1">
      <alignment horizontal="center" vertical="center"/>
    </xf>
    <xf numFmtId="2" fontId="2" fillId="35" borderId="36" xfId="0" applyNumberFormat="1" applyFont="1" applyFill="1" applyBorder="1" applyAlignment="1">
      <alignment horizontal="center" vertical="center"/>
    </xf>
    <xf numFmtId="2" fontId="2" fillId="35" borderId="12" xfId="0" applyNumberFormat="1" applyFont="1" applyFill="1" applyBorder="1" applyAlignment="1">
      <alignment horizontal="center" vertical="center"/>
    </xf>
    <xf numFmtId="2" fontId="2" fillId="35" borderId="15" xfId="0" applyNumberFormat="1" applyFont="1" applyFill="1" applyBorder="1" applyAlignment="1">
      <alignment horizontal="center" vertical="center"/>
    </xf>
    <xf numFmtId="2" fontId="2" fillId="35" borderId="21" xfId="0" applyNumberFormat="1" applyFont="1" applyFill="1" applyBorder="1" applyAlignment="1">
      <alignment horizontal="center" vertical="center"/>
    </xf>
    <xf numFmtId="2" fontId="2" fillId="35" borderId="65" xfId="0" applyNumberFormat="1" applyFont="1" applyFill="1" applyBorder="1" applyAlignment="1">
      <alignment horizontal="center" vertical="center"/>
    </xf>
    <xf numFmtId="0" fontId="2" fillId="0" borderId="58" xfId="0" applyFont="1" applyBorder="1" applyAlignment="1">
      <alignment horizontal="center" vertical="center" wrapText="1"/>
    </xf>
    <xf numFmtId="0" fontId="2" fillId="0" borderId="35" xfId="0" applyFont="1" applyBorder="1" applyAlignment="1">
      <alignment horizontal="center" vertical="center" wrapText="1"/>
    </xf>
    <xf numFmtId="166" fontId="2" fillId="35" borderId="69" xfId="0" applyNumberFormat="1" applyFont="1" applyFill="1" applyBorder="1" applyAlignment="1">
      <alignment horizontal="center"/>
    </xf>
    <xf numFmtId="0" fontId="3" fillId="35" borderId="70" xfId="0" applyFont="1" applyFill="1" applyBorder="1" applyAlignment="1">
      <alignment horizontal="center"/>
    </xf>
    <xf numFmtId="0" fontId="3" fillId="35" borderId="72" xfId="0" applyFont="1" applyFill="1" applyBorder="1" applyAlignment="1">
      <alignment horizontal="center"/>
    </xf>
    <xf numFmtId="0" fontId="30" fillId="0" borderId="73" xfId="0" applyFont="1" applyBorder="1" applyAlignment="1">
      <alignment horizontal="center"/>
    </xf>
    <xf numFmtId="0" fontId="30" fillId="0" borderId="74" xfId="0" applyFont="1" applyBorder="1" applyAlignment="1">
      <alignment horizontal="center"/>
    </xf>
    <xf numFmtId="0" fontId="30" fillId="0" borderId="4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A1" sqref="A1"/>
    </sheetView>
  </sheetViews>
  <sheetFormatPr defaultColWidth="9.140625" defaultRowHeight="12.75"/>
  <cols>
    <col min="1" max="1" width="106.00390625" style="0" customWidth="1"/>
  </cols>
  <sheetData>
    <row r="1" ht="12.75">
      <c r="A1" s="49">
        <f ca="1">TODAY()</f>
        <v>39825</v>
      </c>
    </row>
    <row r="2" spans="1:4" ht="15.75">
      <c r="A2" s="4" t="s">
        <v>25</v>
      </c>
      <c r="D2" s="9"/>
    </row>
    <row r="3" spans="1:4" ht="15.75">
      <c r="A3" s="4"/>
      <c r="D3" s="9"/>
    </row>
    <row r="4" spans="1:4" ht="12.75">
      <c r="A4" s="20" t="s">
        <v>49</v>
      </c>
      <c r="D4" s="9"/>
    </row>
    <row r="5" spans="1:4" ht="51">
      <c r="A5" s="6" t="s">
        <v>246</v>
      </c>
      <c r="D5" s="9"/>
    </row>
    <row r="6" spans="1:4" ht="15.75">
      <c r="A6" s="4"/>
      <c r="D6" s="9"/>
    </row>
    <row r="7" spans="1:8" ht="12.75">
      <c r="A7" s="8" t="s">
        <v>50</v>
      </c>
      <c r="B7" s="3"/>
      <c r="C7" s="3"/>
      <c r="D7" s="5"/>
      <c r="E7" s="3"/>
      <c r="F7" s="3"/>
      <c r="G7" s="3"/>
      <c r="H7" s="3"/>
    </row>
    <row r="8" spans="1:8" ht="12.75">
      <c r="A8" s="3" t="s">
        <v>52</v>
      </c>
      <c r="B8" s="3"/>
      <c r="C8" s="3"/>
      <c r="D8" s="3"/>
      <c r="E8" s="3"/>
      <c r="F8" s="3"/>
      <c r="G8" s="3"/>
      <c r="H8" s="3"/>
    </row>
    <row r="9" spans="1:8" ht="12.75">
      <c r="A9" s="40" t="s">
        <v>3</v>
      </c>
      <c r="B9" s="3"/>
      <c r="C9" s="3"/>
      <c r="D9" s="3"/>
      <c r="E9" s="3"/>
      <c r="F9" s="3"/>
      <c r="G9" s="3"/>
      <c r="H9" s="3"/>
    </row>
    <row r="10" spans="1:8" ht="38.25">
      <c r="A10" s="6" t="s">
        <v>64</v>
      </c>
      <c r="B10" s="3"/>
      <c r="C10" s="3"/>
      <c r="D10" s="3"/>
      <c r="E10" s="3"/>
      <c r="F10" s="3"/>
      <c r="G10" s="3"/>
      <c r="H10" s="3"/>
    </row>
    <row r="11" spans="1:8" ht="25.5">
      <c r="A11" s="6" t="s">
        <v>65</v>
      </c>
      <c r="B11" s="3"/>
      <c r="C11" s="3"/>
      <c r="D11" s="3"/>
      <c r="E11" s="3"/>
      <c r="F11" s="3"/>
      <c r="G11" s="3"/>
      <c r="H11" s="3"/>
    </row>
    <row r="12" spans="1:8" ht="12.75">
      <c r="A12" s="6" t="s">
        <v>66</v>
      </c>
      <c r="B12" s="3"/>
      <c r="C12" s="3"/>
      <c r="D12" s="3"/>
      <c r="E12" s="3"/>
      <c r="F12" s="3"/>
      <c r="G12" s="3"/>
      <c r="H12" s="3"/>
    </row>
    <row r="13" spans="1:8" ht="12.75">
      <c r="A13" s="6"/>
      <c r="B13" s="3"/>
      <c r="C13" s="3"/>
      <c r="D13" s="3"/>
      <c r="E13" s="3"/>
      <c r="F13" s="3"/>
      <c r="G13" s="3"/>
      <c r="H13" s="3"/>
    </row>
    <row r="14" spans="1:8" ht="12.75">
      <c r="A14" s="8" t="s">
        <v>51</v>
      </c>
      <c r="B14" s="3"/>
      <c r="C14" s="3"/>
      <c r="D14" s="3"/>
      <c r="E14" s="3"/>
      <c r="F14" s="3"/>
      <c r="G14" s="3"/>
      <c r="H14" s="3"/>
    </row>
    <row r="16" ht="12.75">
      <c r="A16" s="50" t="s">
        <v>16</v>
      </c>
    </row>
    <row r="17" ht="12.75">
      <c r="A17" s="21" t="s">
        <v>17</v>
      </c>
    </row>
    <row r="18" ht="12.75">
      <c r="A18" s="21" t="s">
        <v>237</v>
      </c>
    </row>
    <row r="19" ht="12.75">
      <c r="A19" s="85" t="s">
        <v>236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3"/>
  <sheetViews>
    <sheetView zoomScale="75" zoomScaleNormal="7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49.140625" style="64" customWidth="1"/>
    <col min="2" max="2" width="33.140625" style="64" customWidth="1"/>
    <col min="3" max="3" width="9.57421875" style="65" customWidth="1"/>
    <col min="4" max="4" width="17.57421875" style="65" customWidth="1"/>
    <col min="5" max="5" width="10.140625" style="65" customWidth="1"/>
    <col min="6" max="6" width="12.7109375" style="65" customWidth="1"/>
    <col min="7" max="7" width="12.140625" style="64" customWidth="1"/>
    <col min="8" max="8" width="64.421875" style="64" customWidth="1"/>
    <col min="9" max="9" width="93.7109375" style="64" customWidth="1"/>
    <col min="10" max="16384" width="9.140625" style="66" customWidth="1"/>
  </cols>
  <sheetData>
    <row r="1" spans="1:9" ht="18">
      <c r="A1" s="143" t="s">
        <v>24</v>
      </c>
      <c r="B1" s="144"/>
      <c r="C1" s="145"/>
      <c r="D1" s="145"/>
      <c r="E1" s="145"/>
      <c r="F1" s="145"/>
      <c r="G1" s="144"/>
      <c r="H1" s="144"/>
      <c r="I1" s="144"/>
    </row>
    <row r="2" spans="1:9" ht="36">
      <c r="A2" s="230" t="s">
        <v>35</v>
      </c>
      <c r="B2" s="230" t="s">
        <v>36</v>
      </c>
      <c r="C2" s="230" t="s">
        <v>37</v>
      </c>
      <c r="D2" s="228" t="s">
        <v>145</v>
      </c>
      <c r="E2" s="263" t="s">
        <v>144</v>
      </c>
      <c r="F2" s="264"/>
      <c r="G2" s="265"/>
      <c r="H2" s="230" t="s">
        <v>53</v>
      </c>
      <c r="I2" s="230" t="s">
        <v>45</v>
      </c>
    </row>
    <row r="3" spans="1:11" s="69" customFormat="1" ht="30">
      <c r="A3" s="231"/>
      <c r="B3" s="231"/>
      <c r="C3" s="231"/>
      <c r="D3" s="229"/>
      <c r="E3" s="232" t="s">
        <v>98</v>
      </c>
      <c r="F3" s="233" t="s">
        <v>99</v>
      </c>
      <c r="G3" s="234" t="s">
        <v>161</v>
      </c>
      <c r="H3" s="235"/>
      <c r="I3" s="235"/>
      <c r="J3" s="66"/>
      <c r="K3" s="66"/>
    </row>
    <row r="4" spans="1:11" s="67" customFormat="1" ht="24.75" customHeight="1">
      <c r="A4" s="266" t="s">
        <v>151</v>
      </c>
      <c r="B4" s="267"/>
      <c r="C4" s="149"/>
      <c r="D4" s="149"/>
      <c r="E4" s="149"/>
      <c r="F4" s="149"/>
      <c r="G4" s="150"/>
      <c r="H4" s="149"/>
      <c r="I4" s="151"/>
      <c r="J4" s="66"/>
      <c r="K4" s="66"/>
    </row>
    <row r="5" spans="1:9" s="67" customFormat="1" ht="15.75">
      <c r="A5" s="240" t="s">
        <v>134</v>
      </c>
      <c r="B5" s="128" t="s">
        <v>135</v>
      </c>
      <c r="C5" s="99" t="s">
        <v>146</v>
      </c>
      <c r="D5" s="99">
        <v>250</v>
      </c>
      <c r="E5" s="98"/>
      <c r="F5" s="98"/>
      <c r="G5" s="99"/>
      <c r="H5" s="98"/>
      <c r="I5" s="146" t="s">
        <v>238</v>
      </c>
    </row>
    <row r="6" spans="1:10" s="67" customFormat="1" ht="12.75">
      <c r="A6" s="240" t="s">
        <v>192</v>
      </c>
      <c r="B6" s="128" t="s">
        <v>193</v>
      </c>
      <c r="C6" s="121" t="s">
        <v>31</v>
      </c>
      <c r="D6" s="154">
        <v>6</v>
      </c>
      <c r="E6" s="99"/>
      <c r="F6" s="154"/>
      <c r="G6" s="125"/>
      <c r="H6" s="99"/>
      <c r="I6" s="146" t="s">
        <v>233</v>
      </c>
      <c r="J6" s="100"/>
    </row>
    <row r="7" spans="1:9" ht="24.75" customHeight="1">
      <c r="A7" s="266" t="s">
        <v>152</v>
      </c>
      <c r="B7" s="267"/>
      <c r="C7" s="57"/>
      <c r="D7" s="60"/>
      <c r="E7" s="60"/>
      <c r="F7" s="60"/>
      <c r="G7" s="61"/>
      <c r="H7" s="56"/>
      <c r="I7" s="62"/>
    </row>
    <row r="8" spans="1:9" s="67" customFormat="1" ht="12.75">
      <c r="A8" s="240" t="s">
        <v>136</v>
      </c>
      <c r="B8" s="120" t="s">
        <v>140</v>
      </c>
      <c r="C8" s="120"/>
      <c r="D8" s="120"/>
      <c r="E8" s="120">
        <v>2007</v>
      </c>
      <c r="F8" s="122">
        <v>449.6558933333333</v>
      </c>
      <c r="G8" s="155">
        <f>F8</f>
        <v>449.6558933333333</v>
      </c>
      <c r="H8" s="241" t="s">
        <v>147</v>
      </c>
      <c r="I8" s="256" t="s">
        <v>249</v>
      </c>
    </row>
    <row r="9" spans="1:9" s="67" customFormat="1" ht="12.75">
      <c r="A9" s="240" t="s">
        <v>137</v>
      </c>
      <c r="B9" s="120" t="s">
        <v>141</v>
      </c>
      <c r="C9" s="120"/>
      <c r="D9" s="120"/>
      <c r="E9" s="120">
        <v>2007</v>
      </c>
      <c r="F9" s="122">
        <v>2482.3113618666666</v>
      </c>
      <c r="G9" s="155">
        <f>F9</f>
        <v>2482.3113618666666</v>
      </c>
      <c r="H9" s="241" t="s">
        <v>148</v>
      </c>
      <c r="I9" s="257"/>
    </row>
    <row r="10" spans="1:9" s="67" customFormat="1" ht="12.75">
      <c r="A10" s="240" t="s">
        <v>163</v>
      </c>
      <c r="B10" s="120" t="s">
        <v>162</v>
      </c>
      <c r="C10" s="120"/>
      <c r="D10" s="120"/>
      <c r="E10" s="120">
        <v>2007</v>
      </c>
      <c r="F10" s="121">
        <v>118</v>
      </c>
      <c r="G10" s="152">
        <f>F10</f>
        <v>118</v>
      </c>
      <c r="H10" s="120"/>
      <c r="I10" s="257"/>
    </row>
    <row r="11" spans="1:9" s="67" customFormat="1" ht="12.75">
      <c r="A11" s="240" t="s">
        <v>138</v>
      </c>
      <c r="B11" s="120" t="s">
        <v>142</v>
      </c>
      <c r="C11" s="120"/>
      <c r="D11" s="120"/>
      <c r="E11" s="120">
        <v>2007</v>
      </c>
      <c r="F11" s="121">
        <v>100</v>
      </c>
      <c r="G11" s="152">
        <f>F11</f>
        <v>100</v>
      </c>
      <c r="H11" s="120"/>
      <c r="I11" s="258"/>
    </row>
    <row r="12" spans="1:9" ht="24.75" customHeight="1">
      <c r="A12" s="259" t="s">
        <v>153</v>
      </c>
      <c r="B12" s="260"/>
      <c r="C12" s="138"/>
      <c r="D12" s="138"/>
      <c r="E12" s="138"/>
      <c r="F12" s="138"/>
      <c r="G12" s="139"/>
      <c r="H12" s="140"/>
      <c r="I12" s="141"/>
    </row>
    <row r="13" spans="1:9" ht="12.75">
      <c r="A13" s="242" t="s">
        <v>107</v>
      </c>
      <c r="B13" s="128" t="s">
        <v>108</v>
      </c>
      <c r="C13" s="129"/>
      <c r="D13" s="130"/>
      <c r="E13" s="128">
        <v>2007</v>
      </c>
      <c r="F13" s="130">
        <v>351.184</v>
      </c>
      <c r="G13" s="130">
        <f>F13*CPI_2007/CPI_2007</f>
        <v>351.18399999999997</v>
      </c>
      <c r="H13" s="126" t="s">
        <v>198</v>
      </c>
      <c r="I13" s="253" t="s">
        <v>250</v>
      </c>
    </row>
    <row r="14" spans="1:9" s="236" customFormat="1" ht="12.75">
      <c r="A14" s="240" t="s">
        <v>194</v>
      </c>
      <c r="B14" s="120" t="s">
        <v>195</v>
      </c>
      <c r="C14" s="121" t="s">
        <v>31</v>
      </c>
      <c r="D14" s="121">
        <v>5</v>
      </c>
      <c r="E14" s="128"/>
      <c r="F14" s="130"/>
      <c r="G14" s="130"/>
      <c r="H14" s="126"/>
      <c r="I14" s="254"/>
    </row>
    <row r="15" spans="1:9" s="236" customFormat="1" ht="12.75">
      <c r="A15" s="243" t="s">
        <v>196</v>
      </c>
      <c r="B15" s="120" t="s">
        <v>197</v>
      </c>
      <c r="C15" s="121" t="s">
        <v>38</v>
      </c>
      <c r="D15" s="237">
        <v>0.4105</v>
      </c>
      <c r="E15" s="128"/>
      <c r="F15" s="130"/>
      <c r="G15" s="130"/>
      <c r="H15" s="126"/>
      <c r="I15" s="254"/>
    </row>
    <row r="16" spans="1:9" s="236" customFormat="1" ht="12.75">
      <c r="A16" s="242" t="s">
        <v>199</v>
      </c>
      <c r="B16" s="128" t="s">
        <v>203</v>
      </c>
      <c r="C16" s="129"/>
      <c r="D16" s="130"/>
      <c r="E16" s="128">
        <v>2007</v>
      </c>
      <c r="F16" s="130">
        <v>491.6576</v>
      </c>
      <c r="G16" s="130">
        <f>F16*CPI_2007/CPI_2007</f>
        <v>491.6576</v>
      </c>
      <c r="H16" s="126"/>
      <c r="I16" s="254"/>
    </row>
    <row r="17" spans="1:9" s="236" customFormat="1" ht="12.75">
      <c r="A17" s="240" t="s">
        <v>200</v>
      </c>
      <c r="B17" s="120" t="s">
        <v>202</v>
      </c>
      <c r="C17" s="121" t="s">
        <v>31</v>
      </c>
      <c r="D17" s="121">
        <v>5</v>
      </c>
      <c r="E17" s="128"/>
      <c r="F17" s="130"/>
      <c r="G17" s="130"/>
      <c r="H17" s="126"/>
      <c r="I17" s="254"/>
    </row>
    <row r="18" spans="1:9" s="236" customFormat="1" ht="12.75">
      <c r="A18" s="243" t="s">
        <v>201</v>
      </c>
      <c r="B18" s="120" t="s">
        <v>204</v>
      </c>
      <c r="C18" s="121" t="s">
        <v>38</v>
      </c>
      <c r="D18" s="237">
        <v>0.4105</v>
      </c>
      <c r="E18" s="128"/>
      <c r="F18" s="130"/>
      <c r="G18" s="130"/>
      <c r="H18" s="126"/>
      <c r="I18" s="254"/>
    </row>
    <row r="19" spans="1:9" s="236" customFormat="1" ht="12.75">
      <c r="A19" s="243" t="s">
        <v>168</v>
      </c>
      <c r="B19" s="120" t="s">
        <v>169</v>
      </c>
      <c r="C19" s="121" t="s">
        <v>26</v>
      </c>
      <c r="D19" s="121"/>
      <c r="E19" s="128">
        <v>2007</v>
      </c>
      <c r="F19" s="127">
        <v>144.9144</v>
      </c>
      <c r="G19" s="129">
        <f>F19*CPI_2007/CPI_2007</f>
        <v>144.9144</v>
      </c>
      <c r="H19" s="126"/>
      <c r="I19" s="254"/>
    </row>
    <row r="20" spans="1:9" s="236" customFormat="1" ht="12.75">
      <c r="A20" s="243" t="s">
        <v>170</v>
      </c>
      <c r="B20" s="120" t="s">
        <v>171</v>
      </c>
      <c r="C20" s="121" t="s">
        <v>31</v>
      </c>
      <c r="D20" s="121">
        <v>5</v>
      </c>
      <c r="E20" s="128"/>
      <c r="F20" s="121"/>
      <c r="G20" s="129"/>
      <c r="H20" s="126"/>
      <c r="I20" s="254"/>
    </row>
    <row r="21" spans="1:9" s="236" customFormat="1" ht="12.75">
      <c r="A21" s="243" t="s">
        <v>172</v>
      </c>
      <c r="B21" s="120" t="s">
        <v>173</v>
      </c>
      <c r="C21" s="121" t="s">
        <v>38</v>
      </c>
      <c r="D21" s="237">
        <v>0.545</v>
      </c>
      <c r="E21" s="128"/>
      <c r="F21" s="121"/>
      <c r="G21" s="99"/>
      <c r="H21" s="126"/>
      <c r="I21" s="254"/>
    </row>
    <row r="22" spans="1:9" s="236" customFormat="1" ht="12.75">
      <c r="A22" s="243" t="s">
        <v>174</v>
      </c>
      <c r="B22" s="120" t="s">
        <v>175</v>
      </c>
      <c r="C22" s="121" t="s">
        <v>26</v>
      </c>
      <c r="D22" s="121"/>
      <c r="E22" s="128">
        <v>2007</v>
      </c>
      <c r="F22" s="127">
        <v>213.0328</v>
      </c>
      <c r="G22" s="129">
        <f>F22*CPI_2007/CPI_2007</f>
        <v>213.0328</v>
      </c>
      <c r="H22" s="126"/>
      <c r="I22" s="254"/>
    </row>
    <row r="23" spans="1:9" s="236" customFormat="1" ht="12.75">
      <c r="A23" s="243" t="s">
        <v>176</v>
      </c>
      <c r="B23" s="120" t="s">
        <v>177</v>
      </c>
      <c r="C23" s="121" t="s">
        <v>31</v>
      </c>
      <c r="D23" s="121">
        <v>10</v>
      </c>
      <c r="E23" s="128"/>
      <c r="F23" s="121"/>
      <c r="G23" s="129"/>
      <c r="H23" s="126"/>
      <c r="I23" s="254"/>
    </row>
    <row r="24" spans="1:9" s="236" customFormat="1" ht="12.75">
      <c r="A24" s="243" t="s">
        <v>178</v>
      </c>
      <c r="B24" s="120" t="s">
        <v>179</v>
      </c>
      <c r="C24" s="121" t="s">
        <v>38</v>
      </c>
      <c r="D24" s="237">
        <v>0.138</v>
      </c>
      <c r="E24" s="128"/>
      <c r="F24" s="121"/>
      <c r="G24" s="99"/>
      <c r="H24" s="126"/>
      <c r="I24" s="254"/>
    </row>
    <row r="25" spans="1:9" s="236" customFormat="1" ht="12.75">
      <c r="A25" s="243" t="s">
        <v>180</v>
      </c>
      <c r="B25" s="120" t="s">
        <v>181</v>
      </c>
      <c r="C25" s="121" t="s">
        <v>26</v>
      </c>
      <c r="D25" s="121"/>
      <c r="E25" s="128">
        <v>2007</v>
      </c>
      <c r="F25" s="127">
        <v>368.09200000000004</v>
      </c>
      <c r="G25" s="129">
        <f>F25*CPI_2007/CPI_2007</f>
        <v>368.09200000000004</v>
      </c>
      <c r="H25" s="126"/>
      <c r="I25" s="254"/>
    </row>
    <row r="26" spans="1:9" s="236" customFormat="1" ht="12.75">
      <c r="A26" s="243" t="s">
        <v>182</v>
      </c>
      <c r="B26" s="120" t="s">
        <v>183</v>
      </c>
      <c r="C26" s="121" t="s">
        <v>31</v>
      </c>
      <c r="D26" s="121">
        <v>15</v>
      </c>
      <c r="E26" s="128"/>
      <c r="F26" s="121"/>
      <c r="G26" s="99"/>
      <c r="H26" s="126"/>
      <c r="I26" s="254"/>
    </row>
    <row r="27" spans="1:9" s="236" customFormat="1" ht="12.75">
      <c r="A27" s="243" t="s">
        <v>184</v>
      </c>
      <c r="B27" s="120" t="s">
        <v>185</v>
      </c>
      <c r="C27" s="121" t="s">
        <v>38</v>
      </c>
      <c r="D27" s="237">
        <v>0.0542</v>
      </c>
      <c r="E27" s="128"/>
      <c r="F27" s="121"/>
      <c r="G27" s="99"/>
      <c r="H27" s="126"/>
      <c r="I27" s="254"/>
    </row>
    <row r="28" spans="1:9" s="236" customFormat="1" ht="12.75">
      <c r="A28" s="243" t="s">
        <v>186</v>
      </c>
      <c r="B28" s="120" t="s">
        <v>187</v>
      </c>
      <c r="C28" s="99" t="s">
        <v>26</v>
      </c>
      <c r="D28" s="99"/>
      <c r="E28" s="128">
        <v>2007</v>
      </c>
      <c r="F28" s="99">
        <v>0</v>
      </c>
      <c r="G28" s="99">
        <f>F28</f>
        <v>0</v>
      </c>
      <c r="H28" s="126"/>
      <c r="I28" s="254"/>
    </row>
    <row r="29" spans="1:9" s="236" customFormat="1" ht="12.75">
      <c r="A29" s="243" t="s">
        <v>188</v>
      </c>
      <c r="B29" s="120" t="s">
        <v>189</v>
      </c>
      <c r="C29" s="121" t="s">
        <v>31</v>
      </c>
      <c r="D29" s="121">
        <v>10</v>
      </c>
      <c r="E29" s="99"/>
      <c r="F29" s="99"/>
      <c r="G29" s="99"/>
      <c r="H29" s="126"/>
      <c r="I29" s="254"/>
    </row>
    <row r="30" spans="1:9" s="236" customFormat="1" ht="12.75">
      <c r="A30" s="243" t="s">
        <v>190</v>
      </c>
      <c r="B30" s="120" t="s">
        <v>191</v>
      </c>
      <c r="C30" s="121" t="s">
        <v>38</v>
      </c>
      <c r="D30" s="237">
        <v>0</v>
      </c>
      <c r="E30" s="99"/>
      <c r="F30" s="99"/>
      <c r="G30" s="99"/>
      <c r="H30" s="126"/>
      <c r="I30" s="255"/>
    </row>
    <row r="31" spans="1:9" ht="24.75" customHeight="1">
      <c r="A31" s="259" t="s">
        <v>154</v>
      </c>
      <c r="B31" s="260"/>
      <c r="C31" s="60"/>
      <c r="D31" s="60"/>
      <c r="E31" s="60"/>
      <c r="F31" s="60"/>
      <c r="G31" s="61"/>
      <c r="H31" s="56"/>
      <c r="I31" s="62"/>
    </row>
    <row r="32" spans="1:10" s="67" customFormat="1" ht="13.5" customHeight="1">
      <c r="A32" s="240" t="s">
        <v>75</v>
      </c>
      <c r="B32" s="120" t="s">
        <v>76</v>
      </c>
      <c r="C32" s="121" t="s">
        <v>77</v>
      </c>
      <c r="D32" s="122">
        <v>130.7</v>
      </c>
      <c r="E32" s="122"/>
      <c r="F32" s="122"/>
      <c r="G32" s="122"/>
      <c r="H32" s="120"/>
      <c r="I32" s="142" t="s">
        <v>234</v>
      </c>
      <c r="J32" s="147"/>
    </row>
    <row r="33" spans="1:10" s="67" customFormat="1" ht="12.75">
      <c r="A33" s="240" t="s">
        <v>78</v>
      </c>
      <c r="B33" s="120" t="s">
        <v>79</v>
      </c>
      <c r="C33" s="121" t="s">
        <v>77</v>
      </c>
      <c r="D33" s="244">
        <v>136.2</v>
      </c>
      <c r="E33" s="244"/>
      <c r="F33" s="244"/>
      <c r="G33" s="122"/>
      <c r="H33" s="120"/>
      <c r="I33" s="123" t="s">
        <v>234</v>
      </c>
      <c r="J33" s="147"/>
    </row>
    <row r="34" spans="1:10" s="67" customFormat="1" ht="12.75">
      <c r="A34" s="240" t="s">
        <v>80</v>
      </c>
      <c r="B34" s="120" t="s">
        <v>81</v>
      </c>
      <c r="C34" s="121" t="s">
        <v>77</v>
      </c>
      <c r="D34" s="122">
        <v>140.3</v>
      </c>
      <c r="E34" s="122"/>
      <c r="F34" s="122"/>
      <c r="G34" s="122"/>
      <c r="H34" s="120"/>
      <c r="I34" s="123" t="s">
        <v>234</v>
      </c>
      <c r="J34" s="148"/>
    </row>
    <row r="35" spans="1:10" s="67" customFormat="1" ht="12.75">
      <c r="A35" s="240" t="s">
        <v>82</v>
      </c>
      <c r="B35" s="120" t="s">
        <v>83</v>
      </c>
      <c r="C35" s="121" t="s">
        <v>77</v>
      </c>
      <c r="D35" s="245">
        <v>163</v>
      </c>
      <c r="E35" s="245"/>
      <c r="F35" s="245"/>
      <c r="G35" s="122"/>
      <c r="H35" s="120"/>
      <c r="I35" s="123" t="s">
        <v>234</v>
      </c>
      <c r="J35" s="148"/>
    </row>
    <row r="36" spans="1:10" s="67" customFormat="1" ht="12.75">
      <c r="A36" s="240" t="s">
        <v>84</v>
      </c>
      <c r="B36" s="120" t="s">
        <v>85</v>
      </c>
      <c r="C36" s="121" t="s">
        <v>77</v>
      </c>
      <c r="D36" s="122">
        <v>166.6</v>
      </c>
      <c r="E36" s="122"/>
      <c r="F36" s="122"/>
      <c r="G36" s="122"/>
      <c r="H36" s="120"/>
      <c r="I36" s="123" t="s">
        <v>234</v>
      </c>
      <c r="J36" s="148"/>
    </row>
    <row r="37" spans="1:10" s="67" customFormat="1" ht="12.75">
      <c r="A37" s="240" t="s">
        <v>86</v>
      </c>
      <c r="B37" s="120" t="s">
        <v>87</v>
      </c>
      <c r="C37" s="121" t="s">
        <v>77</v>
      </c>
      <c r="D37" s="122">
        <v>177.1</v>
      </c>
      <c r="E37" s="122"/>
      <c r="F37" s="122"/>
      <c r="G37" s="122"/>
      <c r="H37" s="120"/>
      <c r="I37" s="123" t="s">
        <v>234</v>
      </c>
      <c r="J37" s="148"/>
    </row>
    <row r="38" spans="1:10" s="67" customFormat="1" ht="12.75">
      <c r="A38" s="240" t="s">
        <v>88</v>
      </c>
      <c r="B38" s="120" t="s">
        <v>89</v>
      </c>
      <c r="C38" s="121" t="s">
        <v>77</v>
      </c>
      <c r="D38" s="122">
        <v>179.9</v>
      </c>
      <c r="E38" s="122"/>
      <c r="F38" s="122"/>
      <c r="G38" s="122"/>
      <c r="H38" s="120"/>
      <c r="I38" s="123" t="s">
        <v>234</v>
      </c>
      <c r="J38" s="148"/>
    </row>
    <row r="39" spans="1:10" s="67" customFormat="1" ht="12.75">
      <c r="A39" s="240" t="s">
        <v>90</v>
      </c>
      <c r="B39" s="120" t="s">
        <v>91</v>
      </c>
      <c r="C39" s="121" t="s">
        <v>77</v>
      </c>
      <c r="D39" s="122">
        <v>184</v>
      </c>
      <c r="E39" s="122"/>
      <c r="F39" s="122"/>
      <c r="G39" s="122"/>
      <c r="H39" s="120"/>
      <c r="I39" s="123" t="s">
        <v>234</v>
      </c>
      <c r="J39" s="148"/>
    </row>
    <row r="40" spans="1:10" s="67" customFormat="1" ht="12.75">
      <c r="A40" s="240" t="s">
        <v>92</v>
      </c>
      <c r="B40" s="120" t="s">
        <v>93</v>
      </c>
      <c r="C40" s="121" t="s">
        <v>77</v>
      </c>
      <c r="D40" s="122">
        <v>188.9</v>
      </c>
      <c r="E40" s="122"/>
      <c r="F40" s="122"/>
      <c r="G40" s="122"/>
      <c r="H40" s="120"/>
      <c r="I40" s="123" t="s">
        <v>234</v>
      </c>
      <c r="J40" s="148"/>
    </row>
    <row r="41" spans="1:9" s="67" customFormat="1" ht="12.75">
      <c r="A41" s="240" t="s">
        <v>94</v>
      </c>
      <c r="B41" s="120" t="s">
        <v>95</v>
      </c>
      <c r="C41" s="121" t="s">
        <v>77</v>
      </c>
      <c r="D41" s="124">
        <v>195.3</v>
      </c>
      <c r="E41" s="124"/>
      <c r="F41" s="124"/>
      <c r="G41" s="124"/>
      <c r="H41" s="125"/>
      <c r="I41" s="146" t="s">
        <v>234</v>
      </c>
    </row>
    <row r="42" spans="1:9" s="67" customFormat="1" ht="13.5" customHeight="1">
      <c r="A42" s="240" t="s">
        <v>96</v>
      </c>
      <c r="B42" s="120" t="s">
        <v>97</v>
      </c>
      <c r="C42" s="121" t="s">
        <v>77</v>
      </c>
      <c r="D42" s="124">
        <v>201.6</v>
      </c>
      <c r="E42" s="124"/>
      <c r="F42" s="124"/>
      <c r="G42" s="124"/>
      <c r="H42" s="125"/>
      <c r="I42" s="146" t="s">
        <v>234</v>
      </c>
    </row>
    <row r="43" spans="1:9" s="67" customFormat="1" ht="13.5" customHeight="1">
      <c r="A43" s="240" t="s">
        <v>165</v>
      </c>
      <c r="B43" s="120" t="s">
        <v>164</v>
      </c>
      <c r="C43" s="121" t="s">
        <v>77</v>
      </c>
      <c r="D43" s="124">
        <v>207.342</v>
      </c>
      <c r="E43" s="124"/>
      <c r="F43" s="124"/>
      <c r="G43" s="124"/>
      <c r="H43" s="125"/>
      <c r="I43" s="146" t="s">
        <v>234</v>
      </c>
    </row>
    <row r="44" spans="1:9" s="68" customFormat="1" ht="24.75" customHeight="1">
      <c r="A44" s="259" t="s">
        <v>155</v>
      </c>
      <c r="B44" s="260"/>
      <c r="C44" s="58"/>
      <c r="D44" s="61"/>
      <c r="E44" s="61"/>
      <c r="F44" s="61"/>
      <c r="G44" s="61"/>
      <c r="H44" s="59"/>
      <c r="I44" s="63"/>
    </row>
    <row r="45" spans="1:9" s="67" customFormat="1" ht="12.75">
      <c r="A45" s="240" t="s">
        <v>109</v>
      </c>
      <c r="B45" s="120" t="s">
        <v>110</v>
      </c>
      <c r="C45" s="121" t="s">
        <v>77</v>
      </c>
      <c r="D45" s="127">
        <v>1.38</v>
      </c>
      <c r="E45" s="127"/>
      <c r="F45" s="125"/>
      <c r="G45" s="99"/>
      <c r="H45" s="128" t="s">
        <v>239</v>
      </c>
      <c r="I45" s="146" t="s">
        <v>240</v>
      </c>
    </row>
    <row r="46" spans="1:9" s="67" customFormat="1" ht="12.75">
      <c r="A46" s="240" t="s">
        <v>111</v>
      </c>
      <c r="B46" s="120" t="s">
        <v>112</v>
      </c>
      <c r="C46" s="121" t="s">
        <v>77</v>
      </c>
      <c r="D46" s="127">
        <v>1.35</v>
      </c>
      <c r="E46" s="127"/>
      <c r="F46" s="125"/>
      <c r="G46" s="99"/>
      <c r="H46" s="99"/>
      <c r="I46" s="238" t="s">
        <v>241</v>
      </c>
    </row>
    <row r="47" spans="1:9" s="67" customFormat="1" ht="12.75">
      <c r="A47" s="240" t="s">
        <v>143</v>
      </c>
      <c r="B47" s="120" t="s">
        <v>113</v>
      </c>
      <c r="C47" s="121" t="s">
        <v>77</v>
      </c>
      <c r="D47" s="127">
        <v>1.11</v>
      </c>
      <c r="E47" s="127"/>
      <c r="F47" s="125"/>
      <c r="G47" s="99"/>
      <c r="H47" s="99"/>
      <c r="I47" s="238" t="s">
        <v>241</v>
      </c>
    </row>
    <row r="48" spans="1:9" s="67" customFormat="1" ht="12.75">
      <c r="A48" s="240" t="s">
        <v>114</v>
      </c>
      <c r="B48" s="120" t="s">
        <v>115</v>
      </c>
      <c r="C48" s="121" t="s">
        <v>77</v>
      </c>
      <c r="D48" s="127">
        <v>1.1</v>
      </c>
      <c r="E48" s="127"/>
      <c r="F48" s="125"/>
      <c r="G48" s="99"/>
      <c r="H48" s="125"/>
      <c r="I48" s="238" t="s">
        <v>242</v>
      </c>
    </row>
    <row r="49" spans="1:9" s="67" customFormat="1" ht="12.75">
      <c r="A49" s="240" t="s">
        <v>149</v>
      </c>
      <c r="B49" s="120" t="s">
        <v>116</v>
      </c>
      <c r="C49" s="121" t="s">
        <v>77</v>
      </c>
      <c r="D49" s="127">
        <v>1.1</v>
      </c>
      <c r="E49" s="127"/>
      <c r="F49" s="125"/>
      <c r="G49" s="99"/>
      <c r="H49" s="125"/>
      <c r="I49" s="238" t="s">
        <v>242</v>
      </c>
    </row>
    <row r="50" spans="1:9" s="67" customFormat="1" ht="12.75">
      <c r="A50" s="240" t="s">
        <v>117</v>
      </c>
      <c r="B50" s="120" t="s">
        <v>118</v>
      </c>
      <c r="C50" s="121" t="s">
        <v>77</v>
      </c>
      <c r="D50" s="127">
        <v>1.31</v>
      </c>
      <c r="E50" s="121"/>
      <c r="F50" s="125"/>
      <c r="G50" s="99"/>
      <c r="H50" s="125"/>
      <c r="I50" s="238" t="s">
        <v>243</v>
      </c>
    </row>
    <row r="51" spans="1:9" s="67" customFormat="1" ht="12.75">
      <c r="A51" s="240" t="s">
        <v>150</v>
      </c>
      <c r="B51" s="120" t="s">
        <v>119</v>
      </c>
      <c r="C51" s="121" t="s">
        <v>77</v>
      </c>
      <c r="D51" s="127">
        <v>1.26</v>
      </c>
      <c r="E51" s="121"/>
      <c r="F51" s="125"/>
      <c r="G51" s="99"/>
      <c r="H51" s="125"/>
      <c r="I51" s="238" t="s">
        <v>243</v>
      </c>
    </row>
    <row r="52" spans="1:9" s="67" customFormat="1" ht="12.75">
      <c r="A52" s="240" t="s">
        <v>120</v>
      </c>
      <c r="B52" s="120" t="s">
        <v>121</v>
      </c>
      <c r="C52" s="121" t="s">
        <v>77</v>
      </c>
      <c r="D52" s="121">
        <v>1.066</v>
      </c>
      <c r="E52" s="121"/>
      <c r="F52" s="125"/>
      <c r="G52" s="99"/>
      <c r="H52" s="125"/>
      <c r="I52" s="146" t="s">
        <v>244</v>
      </c>
    </row>
    <row r="53" spans="1:9" s="67" customFormat="1" ht="12.75">
      <c r="A53" s="240" t="s">
        <v>122</v>
      </c>
      <c r="B53" s="120" t="s">
        <v>123</v>
      </c>
      <c r="C53" s="121" t="s">
        <v>77</v>
      </c>
      <c r="D53" s="127">
        <f>distr_markup*contr_markup*(frac_new_constr*bld_markup+frac_replacement*sales_tax)</f>
        <v>1.7014951800000004</v>
      </c>
      <c r="E53" s="127"/>
      <c r="F53" s="125"/>
      <c r="G53" s="99"/>
      <c r="H53" s="128" t="s">
        <v>245</v>
      </c>
      <c r="I53" s="146" t="s">
        <v>235</v>
      </c>
    </row>
    <row r="54" spans="1:9" s="67" customFormat="1" ht="12.75">
      <c r="A54" s="240" t="s">
        <v>124</v>
      </c>
      <c r="B54" s="120" t="s">
        <v>125</v>
      </c>
      <c r="C54" s="121" t="s">
        <v>77</v>
      </c>
      <c r="D54" s="127">
        <f>incr_distr_markup*incr_contr_markup*(frac_new_constr*incr_bld_markup+frac_replacement*sales_tax)</f>
        <v>1.3790437980000005</v>
      </c>
      <c r="E54" s="127"/>
      <c r="F54" s="125"/>
      <c r="G54" s="99"/>
      <c r="H54" s="128" t="s">
        <v>245</v>
      </c>
      <c r="I54" s="146" t="s">
        <v>235</v>
      </c>
    </row>
    <row r="55" spans="1:9" ht="24.75" customHeight="1">
      <c r="A55" s="261" t="s">
        <v>156</v>
      </c>
      <c r="B55" s="262"/>
      <c r="C55" s="61"/>
      <c r="D55" s="61"/>
      <c r="E55" s="61"/>
      <c r="F55" s="61"/>
      <c r="G55" s="61"/>
      <c r="H55" s="56"/>
      <c r="I55" s="62"/>
    </row>
    <row r="56" spans="1:9" s="67" customFormat="1" ht="12.75">
      <c r="A56" s="240" t="s">
        <v>205</v>
      </c>
      <c r="B56" s="120" t="s">
        <v>100</v>
      </c>
      <c r="C56" s="120" t="s">
        <v>101</v>
      </c>
      <c r="D56" s="120"/>
      <c r="E56" s="121">
        <v>2006</v>
      </c>
      <c r="F56" s="127">
        <f>30.3085327148438*3.412/1000</f>
        <v>0.10341271362304703</v>
      </c>
      <c r="G56" s="127">
        <v>0.10978903670266166</v>
      </c>
      <c r="H56" s="120" t="s">
        <v>232</v>
      </c>
      <c r="I56" s="123" t="s">
        <v>160</v>
      </c>
    </row>
    <row r="57" spans="1:9" s="67" customFormat="1" ht="12.75">
      <c r="A57" s="240" t="s">
        <v>102</v>
      </c>
      <c r="B57" s="120" t="s">
        <v>103</v>
      </c>
      <c r="C57" s="120" t="s">
        <v>104</v>
      </c>
      <c r="D57" s="120"/>
      <c r="E57" s="121">
        <v>2006</v>
      </c>
      <c r="F57" s="127">
        <v>11.4623289108276</v>
      </c>
      <c r="G57" s="127">
        <v>12.16908449067494</v>
      </c>
      <c r="H57" s="120" t="s">
        <v>158</v>
      </c>
      <c r="I57" s="123" t="s">
        <v>160</v>
      </c>
    </row>
    <row r="58" spans="1:9" s="67" customFormat="1" ht="12.75">
      <c r="A58" s="240" t="s">
        <v>105</v>
      </c>
      <c r="B58" s="120" t="s">
        <v>106</v>
      </c>
      <c r="C58" s="120" t="s">
        <v>104</v>
      </c>
      <c r="D58" s="120"/>
      <c r="E58" s="121">
        <v>2006</v>
      </c>
      <c r="F58" s="127">
        <v>24.4579639434814</v>
      </c>
      <c r="G58" s="127">
        <v>25.966017204143988</v>
      </c>
      <c r="H58" s="120" t="s">
        <v>159</v>
      </c>
      <c r="I58" s="123" t="s">
        <v>160</v>
      </c>
    </row>
    <row r="59" spans="1:9" s="67" customFormat="1" ht="12.75">
      <c r="A59" s="240" t="s">
        <v>129</v>
      </c>
      <c r="B59" s="120" t="s">
        <v>130</v>
      </c>
      <c r="C59" s="120" t="s">
        <v>104</v>
      </c>
      <c r="D59" s="120"/>
      <c r="E59" s="121">
        <v>2006</v>
      </c>
      <c r="F59" s="135"/>
      <c r="G59" s="127">
        <f>NG_price*(1-frac_lpg)+LPG_price*frac_lpg</f>
        <v>14.931971234941557</v>
      </c>
      <c r="H59" s="120"/>
      <c r="I59" s="123" t="s">
        <v>235</v>
      </c>
    </row>
    <row r="60" spans="1:9" ht="24.75" customHeight="1">
      <c r="A60" s="259" t="s">
        <v>157</v>
      </c>
      <c r="B60" s="260"/>
      <c r="C60" s="61"/>
      <c r="D60" s="61"/>
      <c r="E60" s="61"/>
      <c r="F60" s="61"/>
      <c r="G60" s="61"/>
      <c r="H60" s="56"/>
      <c r="I60" s="62"/>
    </row>
    <row r="61" spans="1:9" s="67" customFormat="1" ht="12.75">
      <c r="A61" s="240" t="s">
        <v>128</v>
      </c>
      <c r="B61" s="120" t="s">
        <v>126</v>
      </c>
      <c r="C61" s="120" t="s">
        <v>38</v>
      </c>
      <c r="D61" s="134">
        <v>0.20025369418301134</v>
      </c>
      <c r="E61" s="134"/>
      <c r="F61" s="135"/>
      <c r="G61" s="127"/>
      <c r="H61" s="120"/>
      <c r="I61" s="239" t="s">
        <v>127</v>
      </c>
    </row>
    <row r="62" spans="1:9" s="67" customFormat="1" ht="12.75">
      <c r="A62" s="240" t="s">
        <v>132</v>
      </c>
      <c r="B62" s="120" t="s">
        <v>133</v>
      </c>
      <c r="C62" s="120" t="s">
        <v>38</v>
      </c>
      <c r="D62" s="137">
        <v>0.327</v>
      </c>
      <c r="E62" s="120"/>
      <c r="F62" s="135"/>
      <c r="G62" s="127"/>
      <c r="H62" s="128"/>
      <c r="I62" s="146" t="s">
        <v>251</v>
      </c>
    </row>
    <row r="63" spans="1:9" ht="12.75">
      <c r="A63" s="246" t="s">
        <v>131</v>
      </c>
      <c r="B63" s="247" t="s">
        <v>139</v>
      </c>
      <c r="C63" s="247" t="s">
        <v>38</v>
      </c>
      <c r="D63" s="248">
        <f>1-frac_new_constr</f>
        <v>0.673</v>
      </c>
      <c r="E63" s="247"/>
      <c r="F63" s="249"/>
      <c r="G63" s="250"/>
      <c r="H63" s="251"/>
      <c r="I63" s="252" t="s">
        <v>251</v>
      </c>
    </row>
  </sheetData>
  <sheetProtection/>
  <mergeCells count="10">
    <mergeCell ref="E2:G2"/>
    <mergeCell ref="A4:B4"/>
    <mergeCell ref="A7:B7"/>
    <mergeCell ref="A12:B12"/>
    <mergeCell ref="I13:I30"/>
    <mergeCell ref="I8:I11"/>
    <mergeCell ref="A60:B60"/>
    <mergeCell ref="A31:B31"/>
    <mergeCell ref="A44:B44"/>
    <mergeCell ref="A55:B55"/>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3.xml><?xml version="1.0" encoding="utf-8"?>
<worksheet xmlns="http://schemas.openxmlformats.org/spreadsheetml/2006/main" xmlns:r="http://schemas.openxmlformats.org/officeDocument/2006/relationships">
  <dimension ref="A1:CA28"/>
  <sheetViews>
    <sheetView zoomScale="70" zoomScaleNormal="7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2.00390625" style="0" customWidth="1"/>
    <col min="2" max="2" width="13.421875" style="0" customWidth="1"/>
    <col min="3" max="3" width="71.140625" style="0" customWidth="1"/>
    <col min="4" max="4" width="27.140625" style="0" customWidth="1"/>
    <col min="5" max="5" width="25.7109375" style="0" customWidth="1"/>
    <col min="6" max="6" width="14.421875" style="0" customWidth="1"/>
    <col min="7" max="7" width="15.57421875" style="0" customWidth="1"/>
    <col min="8" max="8" width="14.00390625" style="0" bestFit="1" customWidth="1"/>
    <col min="9" max="9" width="15.421875" style="0" bestFit="1" customWidth="1"/>
    <col min="10" max="10" width="6.8515625" style="0" bestFit="1" customWidth="1"/>
    <col min="11" max="11" width="9.7109375" style="0" customWidth="1"/>
    <col min="12" max="12" width="10.7109375" style="0" bestFit="1" customWidth="1"/>
    <col min="13" max="13" width="11.00390625" style="0" bestFit="1" customWidth="1"/>
    <col min="14" max="14" width="12.421875" style="0" bestFit="1" customWidth="1"/>
    <col min="15" max="15" width="11.00390625" style="0" bestFit="1" customWidth="1"/>
  </cols>
  <sheetData>
    <row r="1" spans="1:79" ht="19.5">
      <c r="A1" s="7" t="s">
        <v>214</v>
      </c>
      <c r="B1" s="1"/>
      <c r="C1" s="1"/>
      <c r="D1" s="70"/>
      <c r="E1" s="1"/>
      <c r="F1" s="1"/>
      <c r="G1" s="1"/>
      <c r="H1" s="4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1:79" ht="20.25" thickBot="1">
      <c r="A2" s="7"/>
      <c r="B2" s="1"/>
      <c r="C2" s="1"/>
      <c r="D2" s="70"/>
      <c r="E2" s="1"/>
      <c r="F2" s="1"/>
      <c r="G2" s="1"/>
      <c r="H2" s="4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row>
    <row r="3" spans="1:15" ht="15.75">
      <c r="A3" s="10"/>
      <c r="B3" s="11"/>
      <c r="C3" s="118"/>
      <c r="D3" s="272" t="s">
        <v>27</v>
      </c>
      <c r="E3" s="273"/>
      <c r="F3" s="273"/>
      <c r="G3" s="273"/>
      <c r="H3" s="273"/>
      <c r="I3" s="274"/>
      <c r="J3" s="282" t="s">
        <v>46</v>
      </c>
      <c r="K3" s="283"/>
      <c r="L3" s="284"/>
      <c r="M3" s="290" t="s">
        <v>32</v>
      </c>
      <c r="N3" s="291"/>
      <c r="O3" s="292"/>
    </row>
    <row r="4" spans="1:15" ht="15.75">
      <c r="A4" s="2"/>
      <c r="B4" s="197"/>
      <c r="D4" s="275" t="s">
        <v>209</v>
      </c>
      <c r="E4" s="276"/>
      <c r="F4" s="277"/>
      <c r="G4" s="268" t="s">
        <v>210</v>
      </c>
      <c r="H4" s="268"/>
      <c r="I4" s="269"/>
      <c r="J4" s="285"/>
      <c r="K4" s="286"/>
      <c r="L4" s="287"/>
      <c r="M4" s="270" t="s">
        <v>33</v>
      </c>
      <c r="N4" s="271"/>
      <c r="O4" s="12"/>
    </row>
    <row r="5" spans="1:15" ht="31.5">
      <c r="A5" s="280" t="s">
        <v>72</v>
      </c>
      <c r="B5" s="288" t="s">
        <v>73</v>
      </c>
      <c r="C5" s="288" t="s">
        <v>223</v>
      </c>
      <c r="D5" s="159" t="s">
        <v>208</v>
      </c>
      <c r="E5" s="160" t="s">
        <v>206</v>
      </c>
      <c r="F5" s="161" t="s">
        <v>207</v>
      </c>
      <c r="G5" s="131" t="s">
        <v>28</v>
      </c>
      <c r="H5" s="13" t="s">
        <v>228</v>
      </c>
      <c r="I5" s="13" t="s">
        <v>229</v>
      </c>
      <c r="J5" s="18" t="s">
        <v>43</v>
      </c>
      <c r="K5" s="14" t="s">
        <v>29</v>
      </c>
      <c r="L5" s="14" t="s">
        <v>41</v>
      </c>
      <c r="M5" s="17" t="s">
        <v>47</v>
      </c>
      <c r="N5" s="18" t="s">
        <v>48</v>
      </c>
      <c r="O5" s="19" t="s">
        <v>42</v>
      </c>
    </row>
    <row r="6" spans="1:15" ht="16.5" thickBot="1">
      <c r="A6" s="281"/>
      <c r="B6" s="289"/>
      <c r="C6" s="289"/>
      <c r="D6" s="162" t="s">
        <v>161</v>
      </c>
      <c r="E6" s="162" t="s">
        <v>161</v>
      </c>
      <c r="F6" s="163" t="s">
        <v>161</v>
      </c>
      <c r="G6" s="132" t="s">
        <v>26</v>
      </c>
      <c r="H6" s="133" t="s">
        <v>26</v>
      </c>
      <c r="I6" s="133" t="s">
        <v>26</v>
      </c>
      <c r="J6" s="15" t="s">
        <v>44</v>
      </c>
      <c r="K6" s="16" t="s">
        <v>40</v>
      </c>
      <c r="L6" s="173" t="s">
        <v>30</v>
      </c>
      <c r="M6" s="173" t="s">
        <v>26</v>
      </c>
      <c r="N6" s="16" t="s">
        <v>34</v>
      </c>
      <c r="O6" s="136" t="s">
        <v>31</v>
      </c>
    </row>
    <row r="7" spans="1:15" ht="16.5" thickBot="1">
      <c r="A7" s="164" t="s">
        <v>218</v>
      </c>
      <c r="B7" s="165"/>
      <c r="C7" s="166"/>
      <c r="D7" s="167"/>
      <c r="E7" s="168"/>
      <c r="F7" s="168"/>
      <c r="G7" s="169"/>
      <c r="H7" s="169"/>
      <c r="I7" s="170"/>
      <c r="J7" s="171"/>
      <c r="K7" s="172"/>
      <c r="L7" s="174"/>
      <c r="M7" s="175"/>
      <c r="N7" s="177"/>
      <c r="O7" s="176"/>
    </row>
    <row r="8" spans="1:18" s="41" customFormat="1" ht="16.5" thickBot="1">
      <c r="A8" s="203">
        <v>0</v>
      </c>
      <c r="B8" s="178">
        <v>0.78</v>
      </c>
      <c r="C8" s="179" t="s">
        <v>220</v>
      </c>
      <c r="D8" s="198">
        <v>520</v>
      </c>
      <c r="E8" s="199">
        <v>718</v>
      </c>
      <c r="F8" s="199"/>
      <c r="G8" s="180">
        <f>Total_Mfr_Cost*markup_base_cost</f>
        <v>1221.6735392400003</v>
      </c>
      <c r="H8" s="181">
        <f>Installation_Cost_Replacement*frac_replacement+Installation_Cost_New_Construction*frac_new_constr</f>
        <v>1114.3342315437333</v>
      </c>
      <c r="I8" s="181">
        <f>Baseline_Maint_Cost*maint_cost_baseline_prob/ph_lifetime+repair_pilot_ignition*repair_pilot_ignition_prob/ph_lifetime</f>
        <v>37.18989666666666</v>
      </c>
      <c r="J8" s="182">
        <f>TP_EnergyUseCalc!K11</f>
        <v>104.10256410256412</v>
      </c>
      <c r="K8" s="183">
        <f>TP_EnergyUseCalc!L11</f>
        <v>30.385538461538463</v>
      </c>
      <c r="L8" s="184">
        <f>TP_EnergyUseCalc!M11</f>
        <v>0</v>
      </c>
      <c r="M8" s="185">
        <f aca="true" t="shared" si="0" ref="M8:M26">Retail_Price+Installation_Cost</f>
        <v>2336.0077707837336</v>
      </c>
      <c r="N8" s="181">
        <f aca="true" t="shared" si="1" ref="N8:N26">Maintenance_Cost+fuel_price*fuel_use+elec_price+elec_use</f>
        <v>491.0156719692719</v>
      </c>
      <c r="O8" s="186"/>
      <c r="P8" s="22"/>
      <c r="Q8" s="22"/>
      <c r="R8" s="22"/>
    </row>
    <row r="9" spans="1:18" s="41" customFormat="1" ht="16.5" thickTop="1">
      <c r="A9" s="215">
        <v>1</v>
      </c>
      <c r="B9" s="187">
        <v>0.79</v>
      </c>
      <c r="C9" s="188" t="s">
        <v>166</v>
      </c>
      <c r="D9" s="200">
        <v>531</v>
      </c>
      <c r="E9" s="213">
        <v>733</v>
      </c>
      <c r="F9" s="201">
        <v>15</v>
      </c>
      <c r="G9" s="189">
        <f aca="true" t="shared" si="2" ref="G9:G16">Base_Cost+Incremental_Cost*markup_increm_cost</f>
        <v>1242.3591962100004</v>
      </c>
      <c r="H9" s="190">
        <f>Installation_Cost_Replacement*frac_replacement+Installation_Cost_New_Construction*frac_new_constr</f>
        <v>1114.3342315437333</v>
      </c>
      <c r="I9" s="190">
        <f>Baseline_Maint_Cost*maint_cost_baseline_prob/ph_lifetime+repair_pilot_ignition*repair_pilot_ignition_prob/ph_lifetime</f>
        <v>37.18989666666666</v>
      </c>
      <c r="J9" s="191">
        <f>TP_EnergyUseCalc!K12</f>
        <v>102.78481012658229</v>
      </c>
      <c r="K9" s="192">
        <f>TP_EnergyUseCalc!L12</f>
        <v>30.056417721518986</v>
      </c>
      <c r="L9" s="193">
        <f>TP_EnergyUseCalc!M12</f>
        <v>0</v>
      </c>
      <c r="M9" s="194">
        <f t="shared" si="0"/>
        <v>2356.693427753734</v>
      </c>
      <c r="N9" s="190">
        <f t="shared" si="1"/>
        <v>486.1012505464784</v>
      </c>
      <c r="O9" s="195">
        <f aca="true" t="shared" si="3" ref="O9:O16">(Total_Installed-Total_Installed_Baseline)/(Total_Operating_Baseline-Total_Operating)</f>
        <v>4.209174425713361</v>
      </c>
      <c r="P9" s="22"/>
      <c r="Q9" s="22"/>
      <c r="R9" s="22"/>
    </row>
    <row r="10" spans="1:15" s="22" customFormat="1" ht="15.75">
      <c r="A10" s="77">
        <v>2</v>
      </c>
      <c r="B10" s="187">
        <v>0.81</v>
      </c>
      <c r="C10" s="188" t="s">
        <v>166</v>
      </c>
      <c r="D10" s="200">
        <v>544</v>
      </c>
      <c r="E10" s="214">
        <v>751</v>
      </c>
      <c r="F10" s="201">
        <v>33</v>
      </c>
      <c r="G10" s="189">
        <f t="shared" si="2"/>
        <v>1267.1819845740004</v>
      </c>
      <c r="H10" s="190">
        <f>Installation_Cost_Replacement*frac_replacement+Installation_Cost_New_Construction*frac_new_constr</f>
        <v>1114.3342315437333</v>
      </c>
      <c r="I10" s="190">
        <f>Baseline_Maint_Cost*maint_cost_baseline_prob/ph_lifetime+repair_pilot_ignition*repair_pilot_ignition_prob/ph_lifetime</f>
        <v>37.18989666666666</v>
      </c>
      <c r="J10" s="191">
        <f>TP_EnergyUseCalc!K13</f>
        <v>100.24691358024691</v>
      </c>
      <c r="K10" s="192">
        <f>TP_EnergyUseCalc!L13</f>
        <v>29.424481481481482</v>
      </c>
      <c r="L10" s="193">
        <f>TP_EnergyUseCalc!M13</f>
        <v>0</v>
      </c>
      <c r="M10" s="194">
        <f t="shared" si="0"/>
        <v>2381.5162161177336</v>
      </c>
      <c r="N10" s="190">
        <f t="shared" si="1"/>
        <v>476.6651967879213</v>
      </c>
      <c r="O10" s="195">
        <f t="shared" si="3"/>
        <v>3.1712152217190104</v>
      </c>
    </row>
    <row r="11" spans="1:15" s="22" customFormat="1" ht="15.75">
      <c r="A11" s="215">
        <v>3</v>
      </c>
      <c r="B11" s="187">
        <v>0.82</v>
      </c>
      <c r="C11" s="227" t="s">
        <v>213</v>
      </c>
      <c r="D11" s="200">
        <v>559</v>
      </c>
      <c r="E11" s="214">
        <v>771</v>
      </c>
      <c r="F11" s="214">
        <v>53</v>
      </c>
      <c r="G11" s="189">
        <f t="shared" si="2"/>
        <v>1294.7628605340003</v>
      </c>
      <c r="H11" s="190">
        <f>Installation_Cost_Replacement*frac_replacement+Installation_Cost_New_Construction*frac_new_constr</f>
        <v>1114.3342315437333</v>
      </c>
      <c r="I11" s="190">
        <f>Baseline_Maint_Cost*maint_cost_baseline_prob/ph_lifetime+repair_pilot_ignition*repair_pilot_ignition_prob/ph_lifetime</f>
        <v>37.18989666666666</v>
      </c>
      <c r="J11" s="191">
        <f>TP_EnergyUseCalc!K14</f>
        <v>99.02439024390243</v>
      </c>
      <c r="K11" s="192">
        <f>TP_EnergyUseCalc!L14</f>
        <v>29.120073170731704</v>
      </c>
      <c r="L11" s="193">
        <f>TP_EnergyUseCalc!M14</f>
        <v>0</v>
      </c>
      <c r="M11" s="194">
        <f t="shared" si="0"/>
        <v>2409.0970920777336</v>
      </c>
      <c r="N11" s="190">
        <f t="shared" si="1"/>
        <v>472.1197806481284</v>
      </c>
      <c r="O11" s="195">
        <f t="shared" si="3"/>
        <v>3.868000723110476</v>
      </c>
    </row>
    <row r="12" spans="1:15" ht="15.75">
      <c r="A12" s="77">
        <v>4</v>
      </c>
      <c r="B12" s="187">
        <v>0.83</v>
      </c>
      <c r="C12" s="188" t="s">
        <v>167</v>
      </c>
      <c r="D12" s="200">
        <v>648</v>
      </c>
      <c r="E12" s="214">
        <v>894</v>
      </c>
      <c r="F12" s="214">
        <v>172</v>
      </c>
      <c r="G12" s="189">
        <f t="shared" si="2"/>
        <v>1458.8690724960004</v>
      </c>
      <c r="H12" s="190">
        <f>Installation_Cost_Replacement*frac_replacement+Installation_Cost_New_Construction*frac_new_constr+Installation_Cost_Adder_Elec</f>
        <v>1232.3342315437333</v>
      </c>
      <c r="I12" s="190">
        <f>Baseline_Maint_Cost*maint_cost_baseline_prob/ph_lifetime+(repair_elec_ignition*repair_elec_ignition_prob+repair_power_vent*repair_power_vent_prob)/ph_lifetime</f>
        <v>32.2516908</v>
      </c>
      <c r="J12" s="191">
        <f>TP_EnergyUseCalc!K15</f>
        <v>97.83132530120481</v>
      </c>
      <c r="K12" s="192">
        <f>TP_EnergyUseCalc!L15</f>
        <v>24.457831325301203</v>
      </c>
      <c r="L12" s="193">
        <f>TP_EnergyUseCalc!M15</f>
        <v>5.136144578313252</v>
      </c>
      <c r="M12" s="194">
        <f t="shared" si="0"/>
        <v>2691.2033040397337</v>
      </c>
      <c r="N12" s="190">
        <f t="shared" si="1"/>
        <v>402.701258233466</v>
      </c>
      <c r="O12" s="195">
        <f t="shared" si="3"/>
        <v>4.021942944880702</v>
      </c>
    </row>
    <row r="13" spans="1:15" ht="15.75">
      <c r="A13" s="215">
        <v>5</v>
      </c>
      <c r="B13" s="187">
        <v>0.84</v>
      </c>
      <c r="C13" s="188" t="s">
        <v>215</v>
      </c>
      <c r="D13" s="200">
        <v>664</v>
      </c>
      <c r="E13" s="214">
        <v>916</v>
      </c>
      <c r="F13" s="214">
        <v>194</v>
      </c>
      <c r="G13" s="189">
        <f t="shared" si="2"/>
        <v>1489.2080360520004</v>
      </c>
      <c r="H13" s="190">
        <f>Installation_Cost_Replacement*frac_replacement+Installation_Cost_New_Construction*frac_new_constr+Installation_Cost_Adder_Elec</f>
        <v>1232.3342315437333</v>
      </c>
      <c r="I13" s="190">
        <f>Baseline_Maint_Cost*maint_cost_baseline_prob/ph_lifetime+(repair_elec_ignition*repair_elec_ignition_prob+repair_power_vent*repair_power_vent_prob)/ph_lifetime</f>
        <v>32.2516908</v>
      </c>
      <c r="J13" s="191">
        <f>TP_EnergyUseCalc!K16</f>
        <v>96.66666666666667</v>
      </c>
      <c r="K13" s="192">
        <f>TP_EnergyUseCalc!L16</f>
        <v>24.166666666666668</v>
      </c>
      <c r="L13" s="193">
        <f>TP_EnergyUseCalc!M16</f>
        <v>5.075</v>
      </c>
      <c r="M13" s="194">
        <f t="shared" si="0"/>
        <v>2721.5422675957334</v>
      </c>
      <c r="N13" s="190">
        <f t="shared" si="1"/>
        <v>398.2924513477903</v>
      </c>
      <c r="O13" s="195">
        <f t="shared" si="3"/>
        <v>4.157906662731699</v>
      </c>
    </row>
    <row r="14" spans="1:15" ht="15.75">
      <c r="A14" s="77">
        <v>6</v>
      </c>
      <c r="B14" s="187">
        <v>0.86</v>
      </c>
      <c r="C14" s="188" t="s">
        <v>216</v>
      </c>
      <c r="D14" s="200">
        <v>691</v>
      </c>
      <c r="E14" s="214">
        <v>954</v>
      </c>
      <c r="F14" s="214">
        <v>232</v>
      </c>
      <c r="G14" s="189">
        <f t="shared" si="2"/>
        <v>1541.6117003760005</v>
      </c>
      <c r="H14" s="190">
        <f>Installation_Cost_Replacement*frac_replacement+Installation_Cost_New_Construction*frac_new_constr+Installation_Cost_Adder_Elec</f>
        <v>1232.3342315437333</v>
      </c>
      <c r="I14" s="190">
        <f>maint_Cost_advDesign*maint_cost_advDesign_prob/ph_lifetime+(repair_elec_ignition*repair_elec_ignition_prob+repair_power_vent*repair_power_vent_prob)/ph_lifetime</f>
        <v>41.86242626666667</v>
      </c>
      <c r="J14" s="191">
        <f>TP_EnergyUseCalc!K17</f>
        <v>94.4186046511628</v>
      </c>
      <c r="K14" s="192">
        <f>TP_EnergyUseCalc!L17</f>
        <v>23.6046511627907</v>
      </c>
      <c r="L14" s="193">
        <f>TP_EnergyUseCalc!M17</f>
        <v>4.956976744186046</v>
      </c>
      <c r="M14" s="194">
        <f t="shared" si="0"/>
        <v>2773.945931919734</v>
      </c>
      <c r="N14" s="190">
        <f t="shared" si="1"/>
        <v>399.3931642211758</v>
      </c>
      <c r="O14" s="195">
        <f t="shared" si="3"/>
        <v>4.779809807651774</v>
      </c>
    </row>
    <row r="15" spans="1:15" ht="15.75">
      <c r="A15" s="215">
        <v>7</v>
      </c>
      <c r="B15" s="187">
        <v>0.9</v>
      </c>
      <c r="C15" s="188" t="s">
        <v>217</v>
      </c>
      <c r="D15" s="200">
        <v>903</v>
      </c>
      <c r="E15" s="214">
        <v>1246</v>
      </c>
      <c r="F15" s="214">
        <v>524</v>
      </c>
      <c r="G15" s="189">
        <f t="shared" si="2"/>
        <v>1944.2924893920006</v>
      </c>
      <c r="H15" s="190">
        <f>Installation_Cost_Replacement*frac_replacement+Installation_Cost_New_Construction*frac_new_constr+Installation_Cost_Adder_Elec+Installation_Cost_Adder_Condensing</f>
        <v>1332.3342315437333</v>
      </c>
      <c r="I15" s="190">
        <f>maint_Cost_advDesign*maint_cost_advDesign_prob/ph_lifetime+(repair_elec_ignition*repair_elec_ignition_prob+repair_power_vent*repair_power_vent_prob)/ph_lifetime</f>
        <v>41.86242626666667</v>
      </c>
      <c r="J15" s="191">
        <f>TP_EnergyUseCalc!K18</f>
        <v>90.22222222222223</v>
      </c>
      <c r="K15" s="192">
        <f>TP_EnergyUseCalc!L18</f>
        <v>22.555555555555557</v>
      </c>
      <c r="L15" s="193">
        <f>TP_EnergyUseCalc!M18</f>
        <v>4.736666666666667</v>
      </c>
      <c r="M15" s="194">
        <f t="shared" si="0"/>
        <v>3276.626720935734</v>
      </c>
      <c r="N15" s="190">
        <f t="shared" si="1"/>
        <v>383.5077887137178</v>
      </c>
      <c r="O15" s="195">
        <f t="shared" si="3"/>
        <v>8.749302113186248</v>
      </c>
    </row>
    <row r="16" spans="1:15" ht="16.5" thickBot="1">
      <c r="A16" s="153">
        <v>8</v>
      </c>
      <c r="B16" s="196">
        <v>0.95</v>
      </c>
      <c r="C16" s="204" t="s">
        <v>222</v>
      </c>
      <c r="D16" s="212">
        <v>961</v>
      </c>
      <c r="E16" s="202">
        <v>1326</v>
      </c>
      <c r="F16" s="202">
        <v>604</v>
      </c>
      <c r="G16" s="205">
        <f t="shared" si="2"/>
        <v>2054.6159932320006</v>
      </c>
      <c r="H16" s="206">
        <f>Installation_Cost_Replacement*frac_replacement+Installation_Cost_New_Construction*frac_new_constr+Installation_Cost_Adder_Elec+Installation_Cost_Adder_Condensing</f>
        <v>1332.3342315437333</v>
      </c>
      <c r="I16" s="206">
        <f>maint_Cost_advDesign*maint_cost_advDesign_prob/ph_lifetime+(repair_elec_ignition*repair_elec_ignition_prob+repair_power_vent*repair_power_vent_prob)/ph_lifetime</f>
        <v>41.86242626666667</v>
      </c>
      <c r="J16" s="191">
        <f>TP_EnergyUseCalc!K19</f>
        <v>85.47368421052632</v>
      </c>
      <c r="K16" s="192">
        <f>TP_EnergyUseCalc!L19</f>
        <v>21.36842105263158</v>
      </c>
      <c r="L16" s="193">
        <f>TP_EnergyUseCalc!M19</f>
        <v>4.487368421052631</v>
      </c>
      <c r="M16" s="210">
        <f t="shared" si="0"/>
        <v>3386.9502247757337</v>
      </c>
      <c r="N16" s="206">
        <f t="shared" si="1"/>
        <v>365.5322322184362</v>
      </c>
      <c r="O16" s="195">
        <f t="shared" si="3"/>
        <v>8.375148593940269</v>
      </c>
    </row>
    <row r="17" spans="1:15" ht="16.5" thickBot="1">
      <c r="A17" s="164" t="s">
        <v>219</v>
      </c>
      <c r="B17" s="165"/>
      <c r="C17" s="166"/>
      <c r="D17" s="167"/>
      <c r="E17" s="168"/>
      <c r="F17" s="168"/>
      <c r="G17" s="169"/>
      <c r="H17" s="169"/>
      <c r="I17" s="170"/>
      <c r="J17" s="171"/>
      <c r="K17" s="172"/>
      <c r="L17" s="174"/>
      <c r="M17" s="175"/>
      <c r="N17" s="177"/>
      <c r="O17" s="176"/>
    </row>
    <row r="18" spans="1:15" ht="16.5" thickBot="1">
      <c r="A18" s="203" t="s">
        <v>224</v>
      </c>
      <c r="B18" s="178">
        <v>0.78</v>
      </c>
      <c r="C18" s="179" t="s">
        <v>221</v>
      </c>
      <c r="D18" s="198">
        <v>523</v>
      </c>
      <c r="E18" s="199">
        <v>722</v>
      </c>
      <c r="F18" s="199"/>
      <c r="G18" s="180">
        <f>Total_Mfr_Cost*markup_base_cost</f>
        <v>1228.4795199600003</v>
      </c>
      <c r="H18" s="181">
        <f aca="true" t="shared" si="4" ref="H18:H24">Installation_Cost_Replacement*frac_replacement+Installation_Cost_New_Construction*frac_new_constr+Installation_Cost_Adder_Elec</f>
        <v>1232.3342315437333</v>
      </c>
      <c r="I18" s="181">
        <f>Baseline_Maint_Cost*maint_cost_baseline_prob/ph_lifetime+repair_elec_ignition*repair_elec_ignition_prob/ph_lifetime</f>
        <v>28.926593066666662</v>
      </c>
      <c r="J18" s="182">
        <f>TP_EnergyUseCalc!K21</f>
        <v>104.10256410256412</v>
      </c>
      <c r="K18" s="183">
        <f>TP_EnergyUseCalc!L21</f>
        <v>26.02564102564103</v>
      </c>
      <c r="L18" s="184">
        <f>TP_EnergyUseCalc!M21</f>
        <v>0.2602564102564103</v>
      </c>
      <c r="M18" s="185">
        <f t="shared" si="0"/>
        <v>2460.8137515037333</v>
      </c>
      <c r="N18" s="181">
        <f t="shared" si="1"/>
        <v>417.9107616794125</v>
      </c>
      <c r="O18" s="226"/>
    </row>
    <row r="19" spans="1:15" ht="16.5" thickTop="1">
      <c r="A19" s="215" t="s">
        <v>225</v>
      </c>
      <c r="B19" s="187">
        <v>0.79</v>
      </c>
      <c r="C19" s="188" t="s">
        <v>166</v>
      </c>
      <c r="D19" s="200">
        <v>534</v>
      </c>
      <c r="E19" s="213">
        <v>737</v>
      </c>
      <c r="F19" s="213">
        <v>15</v>
      </c>
      <c r="G19" s="189">
        <f aca="true" t="shared" si="5" ref="G19:G26">Base_Cost+Incremental_Cost*markup_increm_cost</f>
        <v>1242.3591962100004</v>
      </c>
      <c r="H19" s="190">
        <f t="shared" si="4"/>
        <v>1232.3342315437333</v>
      </c>
      <c r="I19" s="190">
        <f>Baseline_Maint_Cost*maint_cost_baseline_prob/ph_lifetime+repair_elec_ignition*repair_elec_ignition_prob/ph_lifetime</f>
        <v>28.926593066666662</v>
      </c>
      <c r="J19" s="191">
        <f>TP_EnergyUseCalc!K22</f>
        <v>102.78481012658229</v>
      </c>
      <c r="K19" s="192">
        <f>TP_EnergyUseCalc!L22</f>
        <v>25.69620253164557</v>
      </c>
      <c r="L19" s="193">
        <f>TP_EnergyUseCalc!M22</f>
        <v>0.25696202531645573</v>
      </c>
      <c r="M19" s="194">
        <f t="shared" si="0"/>
        <v>2474.693427753734</v>
      </c>
      <c r="N19" s="190">
        <f t="shared" si="1"/>
        <v>412.98830117844983</v>
      </c>
      <c r="O19" s="195">
        <f aca="true" t="shared" si="6" ref="O19:O26">(Total_Installed-Total_Installed_Baseline2)/(Total_Operating_Baseline2-Total_Operating)</f>
        <v>2.8196622902888158</v>
      </c>
    </row>
    <row r="20" spans="1:15" ht="15.75">
      <c r="A20" s="77" t="s">
        <v>226</v>
      </c>
      <c r="B20" s="187">
        <v>0.81</v>
      </c>
      <c r="C20" s="188" t="s">
        <v>166</v>
      </c>
      <c r="D20" s="200">
        <v>547</v>
      </c>
      <c r="E20" s="214">
        <v>755</v>
      </c>
      <c r="F20" s="214">
        <v>33</v>
      </c>
      <c r="G20" s="189">
        <f t="shared" si="5"/>
        <v>1267.1819845740004</v>
      </c>
      <c r="H20" s="190">
        <f t="shared" si="4"/>
        <v>1232.3342315437333</v>
      </c>
      <c r="I20" s="190">
        <f>Baseline_Maint_Cost*maint_cost_baseline_prob/ph_lifetime+repair_elec_ignition*repair_elec_ignition_prob/ph_lifetime</f>
        <v>28.926593066666662</v>
      </c>
      <c r="J20" s="191">
        <f>TP_EnergyUseCalc!K23</f>
        <v>100.24691358024691</v>
      </c>
      <c r="K20" s="192">
        <f>TP_EnergyUseCalc!L23</f>
        <v>25.061728395061728</v>
      </c>
      <c r="L20" s="193">
        <f>TP_EnergyUseCalc!M23</f>
        <v>0.2506172839506173</v>
      </c>
      <c r="M20" s="194">
        <f t="shared" si="0"/>
        <v>2499.5162161177336</v>
      </c>
      <c r="N20" s="190">
        <f t="shared" si="1"/>
        <v>403.50800688029966</v>
      </c>
      <c r="O20" s="195">
        <f t="shared" si="6"/>
        <v>2.6871570858364056</v>
      </c>
    </row>
    <row r="21" spans="1:15" ht="15.75">
      <c r="A21" s="215" t="s">
        <v>227</v>
      </c>
      <c r="B21" s="187">
        <v>0.82</v>
      </c>
      <c r="C21" s="188" t="s">
        <v>213</v>
      </c>
      <c r="D21" s="200">
        <v>578</v>
      </c>
      <c r="E21" s="214">
        <v>798</v>
      </c>
      <c r="F21" s="214">
        <v>76</v>
      </c>
      <c r="G21" s="189">
        <f t="shared" si="5"/>
        <v>1326.4808678880004</v>
      </c>
      <c r="H21" s="190">
        <f t="shared" si="4"/>
        <v>1232.3342315437333</v>
      </c>
      <c r="I21" s="190">
        <f>Baseline_Maint_Cost*maint_cost_baseline_prob/ph_lifetime+repair_elec_ignition*repair_elec_ignition_prob/ph_lifetime</f>
        <v>28.926593066666662</v>
      </c>
      <c r="J21" s="191">
        <f>TP_EnergyUseCalc!K24</f>
        <v>99.02439024390243</v>
      </c>
      <c r="K21" s="192">
        <f>TP_EnergyUseCalc!L24</f>
        <v>24.756097560975608</v>
      </c>
      <c r="L21" s="193">
        <f>TP_EnergyUseCalc!M24</f>
        <v>0.2475609756097561</v>
      </c>
      <c r="M21" s="194">
        <f t="shared" si="0"/>
        <v>2558.815099431734</v>
      </c>
      <c r="N21" s="190">
        <f t="shared" si="1"/>
        <v>398.9412797488737</v>
      </c>
      <c r="O21" s="195">
        <f t="shared" si="6"/>
        <v>5.166263806616094</v>
      </c>
    </row>
    <row r="22" spans="1:15" ht="15.75">
      <c r="A22" s="77">
        <v>4</v>
      </c>
      <c r="B22" s="187">
        <v>0.83</v>
      </c>
      <c r="C22" s="188" t="s">
        <v>167</v>
      </c>
      <c r="D22" s="200">
        <v>648</v>
      </c>
      <c r="E22" s="214">
        <v>894</v>
      </c>
      <c r="F22" s="214">
        <v>172</v>
      </c>
      <c r="G22" s="189">
        <f>Base_Cost+Incremental_Cost*markup_increm_cost</f>
        <v>1458.8690724960004</v>
      </c>
      <c r="H22" s="190">
        <f t="shared" si="4"/>
        <v>1232.3342315437333</v>
      </c>
      <c r="I22" s="190">
        <f>Baseline_Maint_Cost*maint_cost_baseline_prob/ph_lifetime+(repair_elec_ignition*repair_elec_ignition_prob+repair_power_vent*repair_power_vent_prob)/ph_lifetime</f>
        <v>32.2516908</v>
      </c>
      <c r="J22" s="191">
        <f>TP_EnergyUseCalc!K25</f>
        <v>97.83132530120481</v>
      </c>
      <c r="K22" s="192">
        <f>TP_EnergyUseCalc!L25</f>
        <v>24.457831325301203</v>
      </c>
      <c r="L22" s="193">
        <f>TP_EnergyUseCalc!M25</f>
        <v>5.136144578313252</v>
      </c>
      <c r="M22" s="194">
        <f t="shared" si="0"/>
        <v>2691.2033040397337</v>
      </c>
      <c r="N22" s="190">
        <f t="shared" si="1"/>
        <v>402.701258233466</v>
      </c>
      <c r="O22" s="195">
        <f t="shared" si="6"/>
        <v>15.14773663418984</v>
      </c>
    </row>
    <row r="23" spans="1:15" ht="15.75">
      <c r="A23" s="215">
        <v>5</v>
      </c>
      <c r="B23" s="187">
        <v>0.84</v>
      </c>
      <c r="C23" s="188" t="s">
        <v>215</v>
      </c>
      <c r="D23" s="200">
        <v>664</v>
      </c>
      <c r="E23" s="214">
        <v>916</v>
      </c>
      <c r="F23" s="214">
        <v>194</v>
      </c>
      <c r="G23" s="189">
        <f t="shared" si="5"/>
        <v>1489.2080360520004</v>
      </c>
      <c r="H23" s="190">
        <f t="shared" si="4"/>
        <v>1232.3342315437333</v>
      </c>
      <c r="I23" s="190">
        <f>Baseline_Maint_Cost*maint_cost_baseline_prob/ph_lifetime+(repair_elec_ignition*repair_elec_ignition_prob+repair_power_vent*repair_power_vent_prob)/ph_lifetime</f>
        <v>32.2516908</v>
      </c>
      <c r="J23" s="191">
        <f>TP_EnergyUseCalc!K26</f>
        <v>96.66666666666667</v>
      </c>
      <c r="K23" s="192">
        <f>TP_EnergyUseCalc!L26</f>
        <v>24.166666666666668</v>
      </c>
      <c r="L23" s="193">
        <f>TP_EnergyUseCalc!M26</f>
        <v>5.075</v>
      </c>
      <c r="M23" s="194">
        <f t="shared" si="0"/>
        <v>2721.5422675957334</v>
      </c>
      <c r="N23" s="190">
        <f t="shared" si="1"/>
        <v>398.2924513477903</v>
      </c>
      <c r="O23" s="195">
        <f t="shared" si="6"/>
        <v>13.290059729136782</v>
      </c>
    </row>
    <row r="24" spans="1:15" ht="15.75">
      <c r="A24" s="77">
        <v>6</v>
      </c>
      <c r="B24" s="187">
        <v>0.86</v>
      </c>
      <c r="C24" s="188" t="s">
        <v>216</v>
      </c>
      <c r="D24" s="200">
        <v>691</v>
      </c>
      <c r="E24" s="214">
        <v>954</v>
      </c>
      <c r="F24" s="214">
        <v>232</v>
      </c>
      <c r="G24" s="189">
        <f t="shared" si="5"/>
        <v>1541.6117003760005</v>
      </c>
      <c r="H24" s="190">
        <f t="shared" si="4"/>
        <v>1232.3342315437333</v>
      </c>
      <c r="I24" s="190">
        <f>maint_Cost_advDesign*maint_cost_advDesign_prob/ph_lifetime+(repair_elec_ignition*repair_elec_ignition_prob+repair_power_vent*repair_power_vent_prob)/ph_lifetime</f>
        <v>41.86242626666667</v>
      </c>
      <c r="J24" s="191">
        <f>TP_EnergyUseCalc!K27</f>
        <v>94.4186046511628</v>
      </c>
      <c r="K24" s="192">
        <f>TP_EnergyUseCalc!L27</f>
        <v>23.6046511627907</v>
      </c>
      <c r="L24" s="193">
        <f>TP_EnergyUseCalc!M27</f>
        <v>4.956976744186046</v>
      </c>
      <c r="M24" s="194">
        <f t="shared" si="0"/>
        <v>2773.945931919734</v>
      </c>
      <c r="N24" s="190">
        <f t="shared" si="1"/>
        <v>399.3931642211758</v>
      </c>
      <c r="O24" s="195">
        <f t="shared" si="6"/>
        <v>16.90997879839531</v>
      </c>
    </row>
    <row r="25" spans="1:15" ht="15.75">
      <c r="A25" s="215">
        <v>7</v>
      </c>
      <c r="B25" s="187">
        <v>0.9</v>
      </c>
      <c r="C25" s="188" t="s">
        <v>217</v>
      </c>
      <c r="D25" s="200">
        <v>903</v>
      </c>
      <c r="E25" s="214">
        <v>1246</v>
      </c>
      <c r="F25" s="214">
        <v>524</v>
      </c>
      <c r="G25" s="189">
        <f t="shared" si="5"/>
        <v>1944.2924893920006</v>
      </c>
      <c r="H25" s="190">
        <f>Installation_Cost_Replacement*frac_replacement+Installation_Cost_New_Construction*frac_new_constr+Installation_Cost_Adder_Elec+Installation_Cost_Adder_Condensing</f>
        <v>1332.3342315437333</v>
      </c>
      <c r="I25" s="190">
        <f>maint_Cost_advDesign*maint_cost_advDesign_prob/ph_lifetime+(repair_elec_ignition*repair_elec_ignition_prob+repair_power_vent*repair_power_vent_prob)/ph_lifetime</f>
        <v>41.86242626666667</v>
      </c>
      <c r="J25" s="191">
        <f>TP_EnergyUseCalc!K28</f>
        <v>90.22222222222223</v>
      </c>
      <c r="K25" s="192">
        <f>TP_EnergyUseCalc!L28</f>
        <v>22.555555555555557</v>
      </c>
      <c r="L25" s="193">
        <f>TP_EnergyUseCalc!M28</f>
        <v>4.736666666666667</v>
      </c>
      <c r="M25" s="194">
        <f t="shared" si="0"/>
        <v>3276.626720935734</v>
      </c>
      <c r="N25" s="190">
        <f t="shared" si="1"/>
        <v>383.5077887137178</v>
      </c>
      <c r="O25" s="195">
        <f t="shared" si="6"/>
        <v>23.71344390048783</v>
      </c>
    </row>
    <row r="26" spans="1:15" ht="16.5" thickBot="1">
      <c r="A26" s="153">
        <v>8</v>
      </c>
      <c r="B26" s="196">
        <v>0.95</v>
      </c>
      <c r="C26" s="204" t="s">
        <v>222</v>
      </c>
      <c r="D26" s="212">
        <v>961</v>
      </c>
      <c r="E26" s="202">
        <v>1326</v>
      </c>
      <c r="F26" s="202">
        <v>604</v>
      </c>
      <c r="G26" s="205">
        <f t="shared" si="5"/>
        <v>2054.6159932320006</v>
      </c>
      <c r="H26" s="206">
        <f>Installation_Cost_Replacement*frac_replacement+Installation_Cost_New_Construction*frac_new_constr+Installation_Cost_Adder_Elec+Installation_Cost_Adder_Condensing</f>
        <v>1332.3342315437333</v>
      </c>
      <c r="I26" s="206">
        <f>maint_Cost_advDesign*maint_cost_advDesign_prob/ph_lifetime+(repair_elec_ignition*repair_elec_ignition_prob+repair_power_vent*repair_power_vent_prob)/ph_lifetime</f>
        <v>41.86242626666667</v>
      </c>
      <c r="J26" s="207">
        <f>TP_EnergyUseCalc!K29</f>
        <v>85.47368421052632</v>
      </c>
      <c r="K26" s="208">
        <f>TP_EnergyUseCalc!L29</f>
        <v>21.36842105263158</v>
      </c>
      <c r="L26" s="209">
        <f>TP_EnergyUseCalc!M29</f>
        <v>4.487368421052631</v>
      </c>
      <c r="M26" s="210">
        <f t="shared" si="0"/>
        <v>3386.9502247757337</v>
      </c>
      <c r="N26" s="206">
        <f t="shared" si="1"/>
        <v>365.5322322184362</v>
      </c>
      <c r="O26" s="211">
        <f t="shared" si="6"/>
        <v>17.681605092827255</v>
      </c>
    </row>
    <row r="27" spans="1:13" ht="12.75">
      <c r="A27" s="279" t="s">
        <v>212</v>
      </c>
      <c r="B27" s="279"/>
      <c r="C27" s="279"/>
      <c r="D27" s="279"/>
      <c r="E27" s="278"/>
      <c r="F27" s="279"/>
      <c r="G27" s="279"/>
      <c r="H27" s="279"/>
      <c r="I27" s="279"/>
      <c r="J27" s="279"/>
      <c r="K27" s="279"/>
      <c r="L27" s="279"/>
      <c r="M27" s="279"/>
    </row>
    <row r="28" spans="1:13" ht="12.75">
      <c r="A28" s="278" t="s">
        <v>211</v>
      </c>
      <c r="B28" s="278"/>
      <c r="C28" s="278"/>
      <c r="D28" s="278"/>
      <c r="E28" s="278"/>
      <c r="F28" s="278"/>
      <c r="G28" s="278"/>
      <c r="H28" s="278"/>
      <c r="I28" s="278"/>
      <c r="J28" s="278"/>
      <c r="K28" s="278"/>
      <c r="L28" s="278"/>
      <c r="M28" s="278"/>
    </row>
  </sheetData>
  <sheetProtection/>
  <mergeCells count="11">
    <mergeCell ref="M3:O3"/>
    <mergeCell ref="G4:I4"/>
    <mergeCell ref="M4:N4"/>
    <mergeCell ref="D3:I3"/>
    <mergeCell ref="D4:F4"/>
    <mergeCell ref="A28:M28"/>
    <mergeCell ref="A27:M27"/>
    <mergeCell ref="A5:A6"/>
    <mergeCell ref="J3:L4"/>
    <mergeCell ref="B5:B6"/>
    <mergeCell ref="C5:C6"/>
  </mergeCells>
  <printOptions/>
  <pageMargins left="0.28" right="0.18" top="0.75" bottom="0.75" header="0.5" footer="0.5"/>
  <pageSetup horizontalDpi="600" verticalDpi="600" orientation="landscape" r:id="rId1"/>
  <headerFooter alignWithMargins="0">
    <oddHeader>&amp;C/&amp;F/&amp;A</oddHeader>
    <oddFooter>&amp;L&amp;D   &amp;T&amp;R&amp;P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B5" sqref="B5"/>
    </sheetView>
  </sheetViews>
  <sheetFormatPr defaultColWidth="9.140625" defaultRowHeight="12.75"/>
  <cols>
    <col min="1" max="1" width="3.57421875" style="0" customWidth="1"/>
    <col min="2" max="2" width="75.00390625" style="0" bestFit="1" customWidth="1"/>
    <col min="3" max="4" width="8.7109375" style="23" customWidth="1"/>
    <col min="5" max="5" width="8.7109375" style="24" customWidth="1"/>
    <col min="6" max="6" width="8.7109375" style="25" customWidth="1"/>
    <col min="7" max="10" width="9.57421875" style="0" customWidth="1"/>
    <col min="11" max="11" width="9.421875" style="0" customWidth="1"/>
    <col min="12" max="12" width="10.7109375" style="0" customWidth="1"/>
    <col min="13" max="13" width="10.140625" style="36" customWidth="1"/>
    <col min="14" max="14" width="5.57421875" style="36" customWidth="1"/>
    <col min="15" max="16384" width="9.140625" style="36" customWidth="1"/>
  </cols>
  <sheetData>
    <row r="1" spans="1:12" ht="18.75" customHeight="1">
      <c r="A1" s="39" t="s">
        <v>59</v>
      </c>
      <c r="F1"/>
      <c r="G1" s="36"/>
      <c r="H1" s="36"/>
      <c r="I1" s="36"/>
      <c r="J1" s="36"/>
      <c r="L1" s="36"/>
    </row>
    <row r="2" spans="6:12" ht="12.75" customHeight="1">
      <c r="F2"/>
      <c r="G2" s="36"/>
      <c r="H2" s="36"/>
      <c r="I2" s="36"/>
      <c r="J2" s="36"/>
      <c r="K2" s="36"/>
      <c r="L2" s="36"/>
    </row>
    <row r="3" ht="12.75" customHeight="1">
      <c r="F3"/>
    </row>
    <row r="4" ht="12.75" customHeight="1"/>
    <row r="5" ht="12.75" customHeight="1">
      <c r="F5"/>
    </row>
    <row r="6" spans="10:12" ht="12.75" customHeight="1" thickBot="1">
      <c r="J6" s="116" t="s">
        <v>67</v>
      </c>
      <c r="K6" s="8">
        <v>203</v>
      </c>
      <c r="L6" t="s">
        <v>68</v>
      </c>
    </row>
    <row r="7" spans="4:17" ht="13.5" thickBot="1">
      <c r="D7" s="37"/>
      <c r="E7" s="37"/>
      <c r="F7" s="79"/>
      <c r="G7" s="293" t="s">
        <v>74</v>
      </c>
      <c r="H7" s="294"/>
      <c r="I7" s="295"/>
      <c r="O7"/>
      <c r="P7"/>
      <c r="Q7"/>
    </row>
    <row r="8" spans="1:17" ht="15.75">
      <c r="A8" s="47"/>
      <c r="B8" s="26" t="s">
        <v>13</v>
      </c>
      <c r="C8" s="43" t="s">
        <v>21</v>
      </c>
      <c r="D8" s="43" t="s">
        <v>22</v>
      </c>
      <c r="E8" s="44" t="s">
        <v>11</v>
      </c>
      <c r="F8" s="101" t="s">
        <v>39</v>
      </c>
      <c r="G8" s="103" t="s">
        <v>60</v>
      </c>
      <c r="H8" s="104" t="s">
        <v>61</v>
      </c>
      <c r="I8" s="105" t="s">
        <v>62</v>
      </c>
      <c r="J8" s="95" t="s">
        <v>2</v>
      </c>
      <c r="K8" s="95" t="s">
        <v>63</v>
      </c>
      <c r="L8" s="90" t="s">
        <v>0</v>
      </c>
      <c r="M8" s="91" t="s">
        <v>20</v>
      </c>
      <c r="O8"/>
      <c r="P8"/>
      <c r="Q8"/>
    </row>
    <row r="9" spans="1:18" s="38" customFormat="1" ht="13.5" thickBot="1">
      <c r="A9" s="52"/>
      <c r="B9" s="27"/>
      <c r="C9" s="45" t="s">
        <v>14</v>
      </c>
      <c r="D9" s="45" t="s">
        <v>18</v>
      </c>
      <c r="E9" s="46" t="s">
        <v>38</v>
      </c>
      <c r="F9" s="94" t="s">
        <v>19</v>
      </c>
      <c r="G9" s="106" t="s">
        <v>1</v>
      </c>
      <c r="H9" s="107" t="s">
        <v>1</v>
      </c>
      <c r="I9" s="108" t="s">
        <v>38</v>
      </c>
      <c r="J9" s="96" t="s">
        <v>23</v>
      </c>
      <c r="K9" s="96" t="s">
        <v>23</v>
      </c>
      <c r="L9" s="92" t="s">
        <v>1</v>
      </c>
      <c r="M9" s="93" t="s">
        <v>15</v>
      </c>
      <c r="N9" s="36"/>
      <c r="O9"/>
      <c r="P9"/>
      <c r="Q9"/>
      <c r="R9" s="36"/>
    </row>
    <row r="10" spans="1:18" s="35" customFormat="1" ht="12.75">
      <c r="A10" s="53" t="s">
        <v>230</v>
      </c>
      <c r="B10" s="51"/>
      <c r="C10" s="31"/>
      <c r="D10" s="31"/>
      <c r="E10" s="32"/>
      <c r="F10" s="33"/>
      <c r="G10" s="87"/>
      <c r="H10" s="34"/>
      <c r="I10" s="48"/>
      <c r="J10" s="34"/>
      <c r="K10" s="34"/>
      <c r="L10" s="87"/>
      <c r="M10" s="48"/>
      <c r="N10" s="36"/>
      <c r="O10"/>
      <c r="P10"/>
      <c r="Q10"/>
      <c r="R10" s="36"/>
    </row>
    <row r="11" spans="1:17" ht="13.5" thickBot="1">
      <c r="A11" s="54">
        <f>'Pool Heaters'!A8</f>
        <v>0</v>
      </c>
      <c r="B11" s="109" t="str">
        <f>'Pool Heaters'!B8&amp;" Thermal Efficiency - "&amp;'Pool Heaters'!C8</f>
        <v>0.78 Thermal Efficiency - Standing Pilot (Baseline)</v>
      </c>
      <c r="C11" s="110">
        <v>250000</v>
      </c>
      <c r="D11" s="110">
        <v>1000</v>
      </c>
      <c r="E11" s="111">
        <v>78</v>
      </c>
      <c r="F11" s="112">
        <v>0</v>
      </c>
      <c r="G11" s="115">
        <f aca="true" t="shared" si="0" ref="G11:G29">BOH*((E_t/100)*(Q_IN+3412*PE))/1000000</f>
        <v>20.300000000000004</v>
      </c>
      <c r="H11" s="111">
        <f aca="true" t="shared" si="1" ref="H11:H29">(BOH*(Q_IN+3412*PE)+(POH-BOH)*Q_P)/1000000</f>
        <v>30.385538461538463</v>
      </c>
      <c r="I11" s="114">
        <f aca="true" t="shared" si="2" ref="I11:I29">100*(E_OUT/E_IN)</f>
        <v>66.808096969206</v>
      </c>
      <c r="J11" s="113">
        <v>4464</v>
      </c>
      <c r="K11" s="111">
        <f aca="true" t="shared" si="3" ref="K11:K29">LOAD/(Q_IN*E_t/100)*100000</f>
        <v>104.10256410256412</v>
      </c>
      <c r="L11" s="156">
        <f>(BOH*Q_IN+(POH-BOH)*Q_P)/1000000</f>
        <v>30.385538461538463</v>
      </c>
      <c r="M11" s="114">
        <f aca="true" t="shared" si="4" ref="M11:M29">BOH*PE</f>
        <v>0</v>
      </c>
      <c r="O11"/>
      <c r="P11"/>
      <c r="Q11"/>
    </row>
    <row r="12" spans="1:17" ht="13.5" thickTop="1">
      <c r="A12" s="54">
        <f>'Pool Heaters'!A9</f>
        <v>1</v>
      </c>
      <c r="B12" s="216" t="str">
        <f>'Pool Heaters'!B9&amp;" Thermal Efficiency - "&amp;'Pool Heaters'!C9</f>
        <v>0.79 Thermal Efficiency - Improved HX</v>
      </c>
      <c r="C12" s="28">
        <f aca="true" t="shared" si="5" ref="C12:C29">$C$11</f>
        <v>250000</v>
      </c>
      <c r="D12" s="28">
        <f>D11</f>
        <v>1000</v>
      </c>
      <c r="E12" s="29">
        <v>79</v>
      </c>
      <c r="F12" s="71">
        <v>0</v>
      </c>
      <c r="G12" s="102">
        <f t="shared" si="0"/>
        <v>20.3</v>
      </c>
      <c r="H12" s="29">
        <f t="shared" si="1"/>
        <v>30.057417721518984</v>
      </c>
      <c r="I12" s="78">
        <f t="shared" si="2"/>
        <v>67.53740520253221</v>
      </c>
      <c r="J12" s="30">
        <f>J14</f>
        <v>4464</v>
      </c>
      <c r="K12" s="29">
        <f t="shared" si="3"/>
        <v>102.78481012658229</v>
      </c>
      <c r="L12" s="157">
        <f aca="true" t="shared" si="6" ref="L12:L29">(BOH*Q_IN-Q_P+(POH-BOH)*Q_P)/1000000</f>
        <v>30.056417721518986</v>
      </c>
      <c r="M12" s="78">
        <f t="shared" si="4"/>
        <v>0</v>
      </c>
      <c r="O12"/>
      <c r="P12"/>
      <c r="Q12"/>
    </row>
    <row r="13" spans="1:15" ht="12.75">
      <c r="A13" s="54">
        <f>'Pool Heaters'!A10</f>
        <v>2</v>
      </c>
      <c r="B13" s="217" t="str">
        <f>'Pool Heaters'!B10&amp;" Thermal Efficiency - "&amp;'Pool Heaters'!C10</f>
        <v>0.81 Thermal Efficiency - Improved HX</v>
      </c>
      <c r="C13" s="28">
        <f t="shared" si="5"/>
        <v>250000</v>
      </c>
      <c r="D13" s="28">
        <f>D11</f>
        <v>1000</v>
      </c>
      <c r="E13" s="29">
        <v>81</v>
      </c>
      <c r="F13" s="71">
        <v>0</v>
      </c>
      <c r="G13" s="102">
        <f t="shared" si="0"/>
        <v>20.3</v>
      </c>
      <c r="H13" s="29">
        <f t="shared" si="1"/>
        <v>29.42548148148148</v>
      </c>
      <c r="I13" s="78">
        <f t="shared" si="2"/>
        <v>68.98782612198046</v>
      </c>
      <c r="J13" s="30">
        <v>4464</v>
      </c>
      <c r="K13" s="29">
        <f t="shared" si="3"/>
        <v>100.24691358024691</v>
      </c>
      <c r="L13" s="157">
        <f t="shared" si="6"/>
        <v>29.424481481481482</v>
      </c>
      <c r="M13" s="78">
        <f t="shared" si="4"/>
        <v>0</v>
      </c>
      <c r="O13"/>
    </row>
    <row r="14" spans="1:15" ht="12.75">
      <c r="A14" s="54">
        <f>'Pool Heaters'!A11</f>
        <v>3</v>
      </c>
      <c r="B14" s="217" t="str">
        <f>'Pool Heaters'!B11&amp;" Thermal Efficiency - "&amp;'Pool Heaters'!C11</f>
        <v>0.82 Thermal Efficiency - Improved HX, More Effective Insulation (Combustion Chamber)</v>
      </c>
      <c r="C14" s="28">
        <f t="shared" si="5"/>
        <v>250000</v>
      </c>
      <c r="D14" s="28">
        <f>D11</f>
        <v>1000</v>
      </c>
      <c r="E14" s="29">
        <v>82</v>
      </c>
      <c r="F14" s="71">
        <v>0</v>
      </c>
      <c r="G14" s="102">
        <f t="shared" si="0"/>
        <v>20.3</v>
      </c>
      <c r="H14" s="29">
        <f t="shared" si="1"/>
        <v>29.121073170731705</v>
      </c>
      <c r="I14" s="78">
        <f t="shared" si="2"/>
        <v>69.70896944966516</v>
      </c>
      <c r="J14" s="30">
        <v>4464</v>
      </c>
      <c r="K14" s="29">
        <f t="shared" si="3"/>
        <v>99.02439024390243</v>
      </c>
      <c r="L14" s="102">
        <f t="shared" si="6"/>
        <v>29.120073170731704</v>
      </c>
      <c r="M14" s="78">
        <f t="shared" si="4"/>
        <v>0</v>
      </c>
      <c r="O14"/>
    </row>
    <row r="15" spans="1:15" ht="12.75">
      <c r="A15" s="54">
        <f>'Pool Heaters'!A12</f>
        <v>4</v>
      </c>
      <c r="B15" s="217" t="str">
        <f>'Pool Heaters'!B12&amp;" Thermal Efficiency - "&amp;'Pool Heaters'!C12</f>
        <v>0.83 Thermal Efficiency - Power Venting</v>
      </c>
      <c r="C15" s="28">
        <f t="shared" si="5"/>
        <v>250000</v>
      </c>
      <c r="D15" s="28">
        <v>0</v>
      </c>
      <c r="E15" s="29">
        <v>83</v>
      </c>
      <c r="F15" s="71">
        <v>0.0525</v>
      </c>
      <c r="G15" s="102">
        <f t="shared" si="0"/>
        <v>20.314545356</v>
      </c>
      <c r="H15" s="29">
        <f t="shared" si="1"/>
        <v>24.47535585060241</v>
      </c>
      <c r="I15" s="78">
        <f t="shared" si="2"/>
        <v>83</v>
      </c>
      <c r="J15" s="30">
        <v>4464</v>
      </c>
      <c r="K15" s="29">
        <f t="shared" si="3"/>
        <v>97.83132530120481</v>
      </c>
      <c r="L15" s="88">
        <f t="shared" si="6"/>
        <v>24.457831325301203</v>
      </c>
      <c r="M15" s="78">
        <f t="shared" si="4"/>
        <v>5.136144578313252</v>
      </c>
      <c r="O15"/>
    </row>
    <row r="16" spans="1:15" ht="12.75">
      <c r="A16" s="54">
        <f>'Pool Heaters'!A13</f>
        <v>5</v>
      </c>
      <c r="B16" s="217" t="str">
        <f>'Pool Heaters'!B13&amp;" Thermal Efficiency - "&amp;'Pool Heaters'!C13</f>
        <v>0.84 Thermal Efficiency - Power Venting, Improved HX</v>
      </c>
      <c r="C16" s="28">
        <f t="shared" si="5"/>
        <v>250000</v>
      </c>
      <c r="D16" s="28">
        <v>0</v>
      </c>
      <c r="E16" s="29">
        <v>84</v>
      </c>
      <c r="F16" s="71">
        <v>0.0525</v>
      </c>
      <c r="G16" s="102">
        <f t="shared" si="0"/>
        <v>20.314545356</v>
      </c>
      <c r="H16" s="29">
        <f t="shared" si="1"/>
        <v>24.18398256666667</v>
      </c>
      <c r="I16" s="78">
        <f t="shared" si="2"/>
        <v>83.99999999999999</v>
      </c>
      <c r="J16" s="30">
        <v>4464</v>
      </c>
      <c r="K16" s="29">
        <f t="shared" si="3"/>
        <v>96.66666666666667</v>
      </c>
      <c r="L16" s="88">
        <f t="shared" si="6"/>
        <v>24.166666666666668</v>
      </c>
      <c r="M16" s="78">
        <f t="shared" si="4"/>
        <v>5.075</v>
      </c>
      <c r="O16"/>
    </row>
    <row r="17" spans="1:15" ht="12.75">
      <c r="A17" s="54">
        <f>'Pool Heaters'!A14</f>
        <v>6</v>
      </c>
      <c r="B17" s="217" t="str">
        <f>'Pool Heaters'!B14&amp;" Thermal Efficiency - "&amp;'Pool Heaters'!C14</f>
        <v>0.86 Thermal Efficiency - Sealed Combustion, Improved HX</v>
      </c>
      <c r="C17" s="28">
        <f t="shared" si="5"/>
        <v>250000</v>
      </c>
      <c r="D17" s="28">
        <v>0</v>
      </c>
      <c r="E17" s="29">
        <v>86</v>
      </c>
      <c r="F17" s="71">
        <v>0.0525</v>
      </c>
      <c r="G17" s="102">
        <f t="shared" si="0"/>
        <v>20.314545356</v>
      </c>
      <c r="H17" s="29">
        <f t="shared" si="1"/>
        <v>23.621564367441863</v>
      </c>
      <c r="I17" s="78">
        <f t="shared" si="2"/>
        <v>85.99999999999999</v>
      </c>
      <c r="J17" s="30">
        <v>4464</v>
      </c>
      <c r="K17" s="29">
        <f t="shared" si="3"/>
        <v>94.4186046511628</v>
      </c>
      <c r="L17" s="88">
        <f t="shared" si="6"/>
        <v>23.6046511627907</v>
      </c>
      <c r="M17" s="78">
        <f t="shared" si="4"/>
        <v>4.956976744186046</v>
      </c>
      <c r="O17"/>
    </row>
    <row r="18" spans="1:15" ht="12.75">
      <c r="A18" s="54">
        <f>'Pool Heaters'!A15</f>
        <v>7</v>
      </c>
      <c r="B18" s="217" t="str">
        <f>'Pool Heaters'!B15&amp;" Thermal Efficiency - "&amp;'Pool Heaters'!C15</f>
        <v>0.9 Thermal Efficiency - Sealed Combustion, Condensing</v>
      </c>
      <c r="C18" s="28">
        <f t="shared" si="5"/>
        <v>250000</v>
      </c>
      <c r="D18" s="28">
        <v>0</v>
      </c>
      <c r="E18" s="29">
        <v>90</v>
      </c>
      <c r="F18" s="71">
        <v>0.0525</v>
      </c>
      <c r="G18" s="102">
        <f t="shared" si="0"/>
        <v>20.314545356000004</v>
      </c>
      <c r="H18" s="29">
        <f t="shared" si="1"/>
        <v>22.571717062222223</v>
      </c>
      <c r="I18" s="78">
        <f t="shared" si="2"/>
        <v>90.00000000000001</v>
      </c>
      <c r="J18" s="30">
        <v>4464</v>
      </c>
      <c r="K18" s="29">
        <f t="shared" si="3"/>
        <v>90.22222222222223</v>
      </c>
      <c r="L18" s="88">
        <f t="shared" si="6"/>
        <v>22.555555555555557</v>
      </c>
      <c r="M18" s="78">
        <f t="shared" si="4"/>
        <v>4.736666666666667</v>
      </c>
      <c r="O18"/>
    </row>
    <row r="19" spans="1:15" ht="13.5" thickBot="1">
      <c r="A19" s="80">
        <f>'Pool Heaters'!A16</f>
        <v>8</v>
      </c>
      <c r="B19" s="224" t="str">
        <f>'Pool Heaters'!B16&amp;" Thermal Efficiency - "&amp;'Pool Heaters'!C16</f>
        <v>0.95 Thermal Efficiency - Sealed Combustion, Condensing, Improved HX (Max-Tech)</v>
      </c>
      <c r="C19" s="81">
        <f t="shared" si="5"/>
        <v>250000</v>
      </c>
      <c r="D19" s="81">
        <v>0</v>
      </c>
      <c r="E19" s="82">
        <v>95</v>
      </c>
      <c r="F19" s="83">
        <v>0.0525</v>
      </c>
      <c r="G19" s="119">
        <f t="shared" si="0"/>
        <v>20.314545356</v>
      </c>
      <c r="H19" s="82">
        <f t="shared" si="1"/>
        <v>21.38373195368421</v>
      </c>
      <c r="I19" s="97">
        <f t="shared" si="2"/>
        <v>95</v>
      </c>
      <c r="J19" s="225">
        <v>4464</v>
      </c>
      <c r="K19" s="97">
        <f t="shared" si="3"/>
        <v>85.47368421052632</v>
      </c>
      <c r="L19" s="89">
        <f t="shared" si="6"/>
        <v>21.36842105263158</v>
      </c>
      <c r="M19" s="84">
        <f t="shared" si="4"/>
        <v>4.487368421052631</v>
      </c>
      <c r="O19"/>
    </row>
    <row r="20" spans="1:18" s="35" customFormat="1" ht="12.75">
      <c r="A20" s="53" t="s">
        <v>231</v>
      </c>
      <c r="B20" s="51"/>
      <c r="C20" s="218"/>
      <c r="D20" s="218"/>
      <c r="E20" s="219"/>
      <c r="F20" s="220"/>
      <c r="G20" s="221"/>
      <c r="H20" s="222"/>
      <c r="I20" s="223"/>
      <c r="J20" s="222"/>
      <c r="K20" s="222"/>
      <c r="L20" s="221"/>
      <c r="M20" s="223"/>
      <c r="N20" s="36"/>
      <c r="O20"/>
      <c r="P20"/>
      <c r="Q20"/>
      <c r="R20" s="36"/>
    </row>
    <row r="21" spans="1:17" ht="12.75">
      <c r="A21" s="54" t="str">
        <f>'Pool Heaters'!A18</f>
        <v>0a</v>
      </c>
      <c r="B21" s="217" t="str">
        <f>'Pool Heaters'!B18&amp;" Thermal Efficiency - "&amp;'Pool Heaters'!C18</f>
        <v>0.78 Thermal Efficiency - Electronic Ignition (Baseline)</v>
      </c>
      <c r="C21" s="28">
        <f>$C$11</f>
        <v>250000</v>
      </c>
      <c r="D21" s="28">
        <v>0</v>
      </c>
      <c r="E21" s="29">
        <v>78</v>
      </c>
      <c r="F21" s="71">
        <v>0.0025</v>
      </c>
      <c r="G21" s="102">
        <f t="shared" si="0"/>
        <v>20.300692636000004</v>
      </c>
      <c r="H21" s="29">
        <f t="shared" si="1"/>
        <v>26.02652902051282</v>
      </c>
      <c r="I21" s="78">
        <f t="shared" si="2"/>
        <v>78.00000000000001</v>
      </c>
      <c r="J21" s="30">
        <v>4464</v>
      </c>
      <c r="K21" s="29">
        <f t="shared" si="3"/>
        <v>104.10256410256412</v>
      </c>
      <c r="L21" s="157">
        <f>(BOH*Q_IN+(POH-BOH)*Q_P)/1000000</f>
        <v>26.02564102564103</v>
      </c>
      <c r="M21" s="78">
        <f t="shared" si="4"/>
        <v>0.2602564102564103</v>
      </c>
      <c r="O21"/>
      <c r="P21"/>
      <c r="Q21"/>
    </row>
    <row r="22" spans="1:15" ht="12.75">
      <c r="A22" s="54" t="str">
        <f>'Pool Heaters'!A19</f>
        <v>1a</v>
      </c>
      <c r="B22" s="217" t="str">
        <f>'Pool Heaters'!B19&amp;" Thermal Efficiency - "&amp;'Pool Heaters'!C19</f>
        <v>0.79 Thermal Efficiency - Improved HX</v>
      </c>
      <c r="C22" s="28">
        <f t="shared" si="5"/>
        <v>250000</v>
      </c>
      <c r="D22" s="28">
        <v>0</v>
      </c>
      <c r="E22" s="29">
        <v>79</v>
      </c>
      <c r="F22" s="71">
        <v>0.0025</v>
      </c>
      <c r="G22" s="102">
        <f t="shared" si="0"/>
        <v>20.300692636000004</v>
      </c>
      <c r="H22" s="29">
        <f t="shared" si="1"/>
        <v>25.69707928607595</v>
      </c>
      <c r="I22" s="78">
        <f t="shared" si="2"/>
        <v>79.00000000000001</v>
      </c>
      <c r="J22" s="30">
        <v>4464</v>
      </c>
      <c r="K22" s="29">
        <f t="shared" si="3"/>
        <v>102.78481012658229</v>
      </c>
      <c r="L22" s="158">
        <f t="shared" si="6"/>
        <v>25.69620253164557</v>
      </c>
      <c r="M22" s="78">
        <f t="shared" si="4"/>
        <v>0.25696202531645573</v>
      </c>
      <c r="O22"/>
    </row>
    <row r="23" spans="1:15" ht="12.75">
      <c r="A23" s="54" t="str">
        <f>'Pool Heaters'!A20</f>
        <v>2a</v>
      </c>
      <c r="B23" s="217" t="str">
        <f>'Pool Heaters'!B20&amp;" Thermal Efficiency - "&amp;'Pool Heaters'!C20</f>
        <v>0.81 Thermal Efficiency - Improved HX</v>
      </c>
      <c r="C23" s="28">
        <f t="shared" si="5"/>
        <v>250000</v>
      </c>
      <c r="D23" s="28">
        <v>0</v>
      </c>
      <c r="E23" s="29">
        <v>81</v>
      </c>
      <c r="F23" s="71">
        <v>0.0025</v>
      </c>
      <c r="G23" s="102">
        <f t="shared" si="0"/>
        <v>20.300692636</v>
      </c>
      <c r="H23" s="29">
        <f t="shared" si="1"/>
        <v>25.06258350123457</v>
      </c>
      <c r="I23" s="78">
        <f t="shared" si="2"/>
        <v>81</v>
      </c>
      <c r="J23" s="30">
        <v>4464</v>
      </c>
      <c r="K23" s="29">
        <f t="shared" si="3"/>
        <v>100.24691358024691</v>
      </c>
      <c r="L23" s="88">
        <f t="shared" si="6"/>
        <v>25.061728395061728</v>
      </c>
      <c r="M23" s="78">
        <f t="shared" si="4"/>
        <v>0.2506172839506173</v>
      </c>
      <c r="O23"/>
    </row>
    <row r="24" spans="1:15" ht="12.75">
      <c r="A24" s="54" t="str">
        <f>'Pool Heaters'!A21</f>
        <v>3a</v>
      </c>
      <c r="B24" s="217" t="str">
        <f>'Pool Heaters'!B21&amp;" Thermal Efficiency - "&amp;'Pool Heaters'!C21</f>
        <v>0.82 Thermal Efficiency - Improved HX, More Effective Insulation (Combustion Chamber)</v>
      </c>
      <c r="C24" s="28">
        <f t="shared" si="5"/>
        <v>250000</v>
      </c>
      <c r="D24" s="28">
        <v>0</v>
      </c>
      <c r="E24" s="29">
        <v>82</v>
      </c>
      <c r="F24" s="71">
        <v>0.0025</v>
      </c>
      <c r="G24" s="102">
        <f t="shared" si="0"/>
        <v>20.300692635999997</v>
      </c>
      <c r="H24" s="29">
        <f t="shared" si="1"/>
        <v>24.75694223902439</v>
      </c>
      <c r="I24" s="78">
        <f t="shared" si="2"/>
        <v>82</v>
      </c>
      <c r="J24" s="30">
        <v>4464</v>
      </c>
      <c r="K24" s="29">
        <f t="shared" si="3"/>
        <v>99.02439024390243</v>
      </c>
      <c r="L24" s="88">
        <f t="shared" si="6"/>
        <v>24.756097560975608</v>
      </c>
      <c r="M24" s="78">
        <f t="shared" si="4"/>
        <v>0.2475609756097561</v>
      </c>
      <c r="O24"/>
    </row>
    <row r="25" spans="1:15" ht="12.75">
      <c r="A25" s="54">
        <f>'Pool Heaters'!A22</f>
        <v>4</v>
      </c>
      <c r="B25" s="217" t="str">
        <f>'Pool Heaters'!B22&amp;" Thermal Efficiency - "&amp;'Pool Heaters'!C22</f>
        <v>0.83 Thermal Efficiency - Power Venting</v>
      </c>
      <c r="C25" s="28">
        <f t="shared" si="5"/>
        <v>250000</v>
      </c>
      <c r="D25" s="28">
        <v>0</v>
      </c>
      <c r="E25" s="29">
        <v>83</v>
      </c>
      <c r="F25" s="71">
        <v>0.0525</v>
      </c>
      <c r="G25" s="102">
        <f t="shared" si="0"/>
        <v>20.314545356</v>
      </c>
      <c r="H25" s="29">
        <f t="shared" si="1"/>
        <v>24.47535585060241</v>
      </c>
      <c r="I25" s="78">
        <f t="shared" si="2"/>
        <v>83</v>
      </c>
      <c r="J25" s="30">
        <v>4464</v>
      </c>
      <c r="K25" s="29">
        <f t="shared" si="3"/>
        <v>97.83132530120481</v>
      </c>
      <c r="L25" s="88">
        <f t="shared" si="6"/>
        <v>24.457831325301203</v>
      </c>
      <c r="M25" s="78">
        <f t="shared" si="4"/>
        <v>5.136144578313252</v>
      </c>
      <c r="O25"/>
    </row>
    <row r="26" spans="1:15" ht="12.75">
      <c r="A26" s="54">
        <f>'Pool Heaters'!A23</f>
        <v>5</v>
      </c>
      <c r="B26" s="217" t="str">
        <f>'Pool Heaters'!B23&amp;" Thermal Efficiency - "&amp;'Pool Heaters'!C23</f>
        <v>0.84 Thermal Efficiency - Power Venting, Improved HX</v>
      </c>
      <c r="C26" s="28">
        <f t="shared" si="5"/>
        <v>250000</v>
      </c>
      <c r="D26" s="28">
        <v>0</v>
      </c>
      <c r="E26" s="29">
        <v>84</v>
      </c>
      <c r="F26" s="71">
        <v>0.0525</v>
      </c>
      <c r="G26" s="102">
        <f t="shared" si="0"/>
        <v>20.314545356</v>
      </c>
      <c r="H26" s="29">
        <f t="shared" si="1"/>
        <v>24.18398256666667</v>
      </c>
      <c r="I26" s="78">
        <f t="shared" si="2"/>
        <v>83.99999999999999</v>
      </c>
      <c r="J26" s="30">
        <v>4464</v>
      </c>
      <c r="K26" s="29">
        <f t="shared" si="3"/>
        <v>96.66666666666667</v>
      </c>
      <c r="L26" s="88">
        <f t="shared" si="6"/>
        <v>24.166666666666668</v>
      </c>
      <c r="M26" s="78">
        <f t="shared" si="4"/>
        <v>5.075</v>
      </c>
      <c r="O26"/>
    </row>
    <row r="27" spans="1:15" ht="12.75">
      <c r="A27" s="54">
        <f>'Pool Heaters'!A24</f>
        <v>6</v>
      </c>
      <c r="B27" s="217" t="str">
        <f>'Pool Heaters'!B24&amp;" Thermal Efficiency - "&amp;'Pool Heaters'!C24</f>
        <v>0.86 Thermal Efficiency - Sealed Combustion, Improved HX</v>
      </c>
      <c r="C27" s="28">
        <f t="shared" si="5"/>
        <v>250000</v>
      </c>
      <c r="D27" s="28">
        <v>0</v>
      </c>
      <c r="E27" s="29">
        <v>86</v>
      </c>
      <c r="F27" s="71">
        <v>0.0525</v>
      </c>
      <c r="G27" s="102">
        <f t="shared" si="0"/>
        <v>20.314545356</v>
      </c>
      <c r="H27" s="29">
        <f t="shared" si="1"/>
        <v>23.621564367441863</v>
      </c>
      <c r="I27" s="78">
        <f t="shared" si="2"/>
        <v>85.99999999999999</v>
      </c>
      <c r="J27" s="30">
        <v>4464</v>
      </c>
      <c r="K27" s="29">
        <f t="shared" si="3"/>
        <v>94.4186046511628</v>
      </c>
      <c r="L27" s="88">
        <f t="shared" si="6"/>
        <v>23.6046511627907</v>
      </c>
      <c r="M27" s="78">
        <f t="shared" si="4"/>
        <v>4.956976744186046</v>
      </c>
      <c r="O27"/>
    </row>
    <row r="28" spans="1:15" ht="12.75">
      <c r="A28" s="54">
        <f>'Pool Heaters'!A25</f>
        <v>7</v>
      </c>
      <c r="B28" s="217" t="str">
        <f>'Pool Heaters'!B25&amp;" Thermal Efficiency - "&amp;'Pool Heaters'!C25</f>
        <v>0.9 Thermal Efficiency - Sealed Combustion, Condensing</v>
      </c>
      <c r="C28" s="28">
        <f t="shared" si="5"/>
        <v>250000</v>
      </c>
      <c r="D28" s="28">
        <v>0</v>
      </c>
      <c r="E28" s="29">
        <v>90</v>
      </c>
      <c r="F28" s="71">
        <v>0.0525</v>
      </c>
      <c r="G28" s="102">
        <f t="shared" si="0"/>
        <v>20.314545356000004</v>
      </c>
      <c r="H28" s="29">
        <f t="shared" si="1"/>
        <v>22.571717062222223</v>
      </c>
      <c r="I28" s="78">
        <f t="shared" si="2"/>
        <v>90.00000000000001</v>
      </c>
      <c r="J28" s="30">
        <v>4464</v>
      </c>
      <c r="K28" s="29">
        <f t="shared" si="3"/>
        <v>90.22222222222223</v>
      </c>
      <c r="L28" s="88">
        <f t="shared" si="6"/>
        <v>22.555555555555557</v>
      </c>
      <c r="M28" s="78">
        <f t="shared" si="4"/>
        <v>4.736666666666667</v>
      </c>
      <c r="O28"/>
    </row>
    <row r="29" spans="1:15" ht="13.5" thickBot="1">
      <c r="A29" s="80">
        <f>'Pool Heaters'!A26</f>
        <v>8</v>
      </c>
      <c r="B29" s="224" t="str">
        <f>'Pool Heaters'!B26&amp;" Thermal Efficiency - "&amp;'Pool Heaters'!C26</f>
        <v>0.95 Thermal Efficiency - Sealed Combustion, Condensing, Improved HX (Max-Tech)</v>
      </c>
      <c r="C29" s="81">
        <f t="shared" si="5"/>
        <v>250000</v>
      </c>
      <c r="D29" s="81">
        <v>0</v>
      </c>
      <c r="E29" s="82">
        <v>95</v>
      </c>
      <c r="F29" s="83">
        <v>0.0525</v>
      </c>
      <c r="G29" s="119">
        <f t="shared" si="0"/>
        <v>20.314545356</v>
      </c>
      <c r="H29" s="82">
        <f t="shared" si="1"/>
        <v>21.38373195368421</v>
      </c>
      <c r="I29" s="97">
        <f t="shared" si="2"/>
        <v>95</v>
      </c>
      <c r="J29" s="225">
        <v>4464</v>
      </c>
      <c r="K29" s="97">
        <f t="shared" si="3"/>
        <v>85.47368421052632</v>
      </c>
      <c r="L29" s="89">
        <f t="shared" si="6"/>
        <v>21.36842105263158</v>
      </c>
      <c r="M29" s="84">
        <f t="shared" si="4"/>
        <v>4.487368421052631</v>
      </c>
      <c r="O29"/>
    </row>
    <row r="30" ht="12.75">
      <c r="G30" s="3"/>
    </row>
  </sheetData>
  <sheetProtection/>
  <mergeCells count="1">
    <mergeCell ref="G7:I7"/>
  </mergeCells>
  <printOptions/>
  <pageMargins left="0.25" right="0.25" top="1" bottom="1" header="0.5" footer="0.5"/>
  <pageSetup fitToHeight="1" fitToWidth="1" horizontalDpi="300" verticalDpi="300" orientation="landscape" scale="43" r:id="rId3"/>
  <headerFooter alignWithMargins="0">
    <oddHeader>&amp;C&amp;A</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A1" sqref="A1"/>
    </sheetView>
  </sheetViews>
  <sheetFormatPr defaultColWidth="9.140625" defaultRowHeight="12.75"/>
  <cols>
    <col min="1" max="1" width="13.8515625" style="72" customWidth="1"/>
    <col min="2" max="2" width="5.00390625" style="0" customWidth="1"/>
    <col min="3" max="3" width="79.00390625" style="0" customWidth="1"/>
    <col min="4" max="4" width="81.57421875" style="0" customWidth="1"/>
  </cols>
  <sheetData>
    <row r="1" spans="1:2" s="55" customFormat="1" ht="12.75">
      <c r="A1" s="86" t="s">
        <v>6</v>
      </c>
      <c r="B1" s="86"/>
    </row>
    <row r="2" spans="3:4" ht="12.75">
      <c r="C2" s="8"/>
      <c r="D2" s="8"/>
    </row>
    <row r="3" spans="1:4" ht="12.75">
      <c r="A3" s="75" t="s">
        <v>8</v>
      </c>
      <c r="B3" s="73" t="s">
        <v>12</v>
      </c>
      <c r="C3" t="s">
        <v>4</v>
      </c>
      <c r="D3" t="s">
        <v>9</v>
      </c>
    </row>
    <row r="4" spans="1:4" ht="15.75">
      <c r="A4" s="74" t="s">
        <v>20</v>
      </c>
      <c r="B4" s="73" t="s">
        <v>12</v>
      </c>
      <c r="C4" s="76" t="s">
        <v>57</v>
      </c>
      <c r="D4" t="s">
        <v>10</v>
      </c>
    </row>
    <row r="5" spans="1:4" ht="12.75">
      <c r="A5" s="74" t="s">
        <v>43</v>
      </c>
      <c r="B5" s="73" t="s">
        <v>12</v>
      </c>
      <c r="C5" s="117" t="s">
        <v>69</v>
      </c>
      <c r="D5" t="s">
        <v>248</v>
      </c>
    </row>
    <row r="6" ht="12.75">
      <c r="B6" s="72"/>
    </row>
    <row r="7" ht="12.75">
      <c r="B7" s="72"/>
    </row>
    <row r="8" spans="1:2" s="55" customFormat="1" ht="12.75">
      <c r="A8" s="86" t="s">
        <v>7</v>
      </c>
      <c r="B8" s="86"/>
    </row>
    <row r="9" ht="12.75">
      <c r="B9" s="72"/>
    </row>
    <row r="10" spans="1:3" ht="15.75">
      <c r="A10" s="74" t="s">
        <v>21</v>
      </c>
      <c r="B10" s="73" t="s">
        <v>12</v>
      </c>
      <c r="C10" t="s">
        <v>54</v>
      </c>
    </row>
    <row r="11" spans="1:3" ht="12.75">
      <c r="A11" s="74" t="s">
        <v>2</v>
      </c>
      <c r="B11" s="73" t="s">
        <v>12</v>
      </c>
      <c r="C11" t="s">
        <v>58</v>
      </c>
    </row>
    <row r="12" spans="1:3" ht="15.75">
      <c r="A12" s="74" t="s">
        <v>22</v>
      </c>
      <c r="B12" s="73" t="s">
        <v>12</v>
      </c>
      <c r="C12" t="s">
        <v>55</v>
      </c>
    </row>
    <row r="13" spans="1:3" ht="12.75">
      <c r="A13" s="74" t="s">
        <v>39</v>
      </c>
      <c r="B13" s="73" t="s">
        <v>12</v>
      </c>
      <c r="C13" t="s">
        <v>5</v>
      </c>
    </row>
    <row r="14" spans="1:3" ht="15.75">
      <c r="A14" s="74" t="s">
        <v>11</v>
      </c>
      <c r="B14" s="73" t="s">
        <v>12</v>
      </c>
      <c r="C14" t="s">
        <v>56</v>
      </c>
    </row>
    <row r="15" spans="1:4" ht="12.75">
      <c r="A15" s="74" t="s">
        <v>70</v>
      </c>
      <c r="B15" s="73" t="s">
        <v>12</v>
      </c>
      <c r="C15" t="s">
        <v>71</v>
      </c>
      <c r="D15" t="s">
        <v>247</v>
      </c>
    </row>
    <row r="16" ht="12.75"/>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Pool Heaters Engineering Spreadsheet</dc:title>
  <dc:subject>This spreadsheet is the engineering analysis for pool heaters. </dc:subject>
  <dc:creator/>
  <cp:keywords/>
  <dc:description>12/8/2006 version</dc:description>
  <cp:lastModifiedBy>Devin Egan </cp:lastModifiedBy>
  <cp:lastPrinted>2008-02-26T13:36:45Z</cp:lastPrinted>
  <dcterms:created xsi:type="dcterms:W3CDTF">1998-03-31T19:46:04Z</dcterms:created>
  <dcterms:modified xsi:type="dcterms:W3CDTF">2009-01-12T16:42:07Z</dcterms:modified>
  <cp:category/>
  <cp:version/>
  <cp:contentType/>
  <cp:contentStatus/>
</cp:coreProperties>
</file>