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Tool" sheetId="1" r:id="rId1"/>
    <sheet name="Documentation" sheetId="2" r:id="rId2"/>
  </sheets>
  <definedNames>
    <definedName name="_xlnm.Print_Area" localSheetId="0">'Tool'!$A$1:$N$54</definedName>
  </definedNames>
  <calcPr fullCalcOnLoad="1"/>
</workbook>
</file>

<file path=xl/sharedStrings.xml><?xml version="1.0" encoding="utf-8"?>
<sst xmlns="http://schemas.openxmlformats.org/spreadsheetml/2006/main" count="265" uniqueCount="59">
  <si>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</si>
  <si>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</si>
  <si>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</si>
  <si>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</si>
  <si>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</si>
  <si>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</si>
  <si>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</si>
  <si>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</si>
  <si>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</si>
  <si>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</si>
  <si>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</si>
  <si>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</si>
  <si>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HWM</t>
  </si>
  <si>
    <t>Avg</t>
  </si>
  <si>
    <t>Load</t>
  </si>
  <si>
    <t>Tier 1</t>
  </si>
  <si>
    <t>Tier 2</t>
  </si>
  <si>
    <t>Annual HWM</t>
  </si>
  <si>
    <t>Monthly HWM</t>
  </si>
  <si>
    <t>System</t>
  </si>
  <si>
    <t>market price</t>
  </si>
  <si>
    <t>Hours</t>
  </si>
  <si>
    <t>nonfed res</t>
  </si>
  <si>
    <t xml:space="preserve">  Total</t>
  </si>
  <si>
    <t>Inputs</t>
  </si>
  <si>
    <t>Slice</t>
  </si>
  <si>
    <t>Nonfed Res</t>
  </si>
  <si>
    <t>Customer =</t>
  </si>
  <si>
    <t>Shaped Block</t>
  </si>
  <si>
    <t>Customer Load</t>
  </si>
  <si>
    <t>System N-S</t>
  </si>
  <si>
    <t>Sum HWM N-S</t>
  </si>
  <si>
    <t>2012 Load N-S</t>
  </si>
  <si>
    <t>2012 T1 Load N-S</t>
  </si>
  <si>
    <t>Flat Block</t>
  </si>
  <si>
    <t>Energy Load</t>
  </si>
  <si>
    <t>Tier 1 energy chg</t>
  </si>
  <si>
    <t>Annual Load Growth =</t>
  </si>
  <si>
    <t>Year =</t>
  </si>
  <si>
    <t>Reshaping</t>
  </si>
  <si>
    <t>Rebalancing</t>
  </si>
  <si>
    <t>w/o Rebalancing</t>
  </si>
  <si>
    <t>w/ Rebalancing</t>
  </si>
  <si>
    <t>Westside Full</t>
  </si>
  <si>
    <t>Irrigator Full</t>
  </si>
  <si>
    <t>User Input</t>
  </si>
  <si>
    <t>Balancing</t>
  </si>
  <si>
    <t>Net Balancing</t>
  </si>
  <si>
    <t>T1 Loads N-S</t>
  </si>
  <si>
    <t>Loads N-S</t>
  </si>
  <si>
    <t>T2 Loads N-S</t>
  </si>
  <si>
    <t>Net Cost</t>
  </si>
  <si>
    <t>T1 Rate</t>
  </si>
  <si>
    <t>comparative cost</t>
  </si>
  <si>
    <t>Winter Peaker</t>
  </si>
  <si>
    <t>INPUT DOCUMENTATION</t>
  </si>
  <si>
    <t>CALCULATION DOCUMENTATION</t>
  </si>
  <si>
    <t>Winter Peaking</t>
  </si>
  <si>
    <t>Summer Peaking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</si>
</sst>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&quot;$&quot;#,##0"/>
    <numFmt numFmtId="169" formatCode="0.0000%"/>
    <numFmt numFmtId="170" formatCode="0.00000"/>
    <numFmt numFmtId="171" formatCode="0.000000"/>
    <numFmt numFmtId="172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9" fontId="6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9" fontId="6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0" fontId="7" fillId="0" borderId="0" xfId="21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0" fontId="0" fillId="0" borderId="0" xfId="21" applyNumberForma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9" fontId="6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9" fontId="6" fillId="0" borderId="0" xfId="0" applyNumberFormat="1" applyFont="1" applyAlignment="1" applyProtection="1">
      <alignment/>
      <protection/>
    </xf>
    <xf numFmtId="2" fontId="6" fillId="0" borderId="2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0" fontId="7" fillId="0" borderId="0" xfId="21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31</xdr:row>
      <xdr:rowOff>57150</xdr:rowOff>
    </xdr:from>
    <xdr:to>
      <xdr:col>3</xdr:col>
      <xdr:colOff>219075</xdr:colOff>
      <xdr:row>36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762000" y="5076825"/>
          <a:ext cx="1409700" cy="857250"/>
        </a:xfrm>
        <a:prstGeom prst="wedgeRectCallout">
          <a:avLst>
            <a:gd name="adj1" fmla="val 58782"/>
            <a:gd name="adj2" fmla="val 9111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Choose a customer shape; pre-set loads are set to 100 aMW. A user-defined load is available.</a:t>
          </a:r>
        </a:p>
      </xdr:txBody>
    </xdr:sp>
    <xdr:clientData/>
  </xdr:twoCellAnchor>
  <xdr:twoCellAnchor>
    <xdr:from>
      <xdr:col>4</xdr:col>
      <xdr:colOff>19050</xdr:colOff>
      <xdr:row>29</xdr:row>
      <xdr:rowOff>47625</xdr:rowOff>
    </xdr:from>
    <xdr:to>
      <xdr:col>7</xdr:col>
      <xdr:colOff>85725</xdr:colOff>
      <xdr:row>36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2419350" y="4743450"/>
          <a:ext cx="1409700" cy="1171575"/>
        </a:xfrm>
        <a:prstGeom prst="wedgeRectCallout">
          <a:avLst>
            <a:gd name="adj1" fmla="val 45268"/>
            <a:gd name="adj2" fmla="val 77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Re-Balance Monthly determines whether balancing purchases are included in the Tier 1 system before applying monthly HWMs.</a:t>
          </a:r>
        </a:p>
      </xdr:txBody>
    </xdr:sp>
    <xdr:clientData/>
  </xdr:twoCellAnchor>
  <xdr:twoCellAnchor>
    <xdr:from>
      <xdr:col>7</xdr:col>
      <xdr:colOff>180975</xdr:colOff>
      <xdr:row>31</xdr:row>
      <xdr:rowOff>104775</xdr:rowOff>
    </xdr:from>
    <xdr:to>
      <xdr:col>10</xdr:col>
      <xdr:colOff>247650</xdr:colOff>
      <xdr:row>36</xdr:row>
      <xdr:rowOff>123825</xdr:rowOff>
    </xdr:to>
    <xdr:sp>
      <xdr:nvSpPr>
        <xdr:cNvPr id="3" name="AutoShape 8"/>
        <xdr:cNvSpPr>
          <a:spLocks/>
        </xdr:cNvSpPr>
      </xdr:nvSpPr>
      <xdr:spPr>
        <a:xfrm>
          <a:off x="3924300" y="5124450"/>
          <a:ext cx="1409700" cy="828675"/>
        </a:xfrm>
        <a:prstGeom prst="wedgeRectCallout">
          <a:avLst>
            <a:gd name="adj1" fmla="val 43916"/>
            <a:gd name="adj2" fmla="val 9252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Select whether load growth changes shape through time (on) or remains static (off).</a:t>
          </a:r>
        </a:p>
      </xdr:txBody>
    </xdr:sp>
    <xdr:clientData/>
  </xdr:twoCellAnchor>
  <xdr:twoCellAnchor>
    <xdr:from>
      <xdr:col>10</xdr:col>
      <xdr:colOff>323850</xdr:colOff>
      <xdr:row>29</xdr:row>
      <xdr:rowOff>76200</xdr:rowOff>
    </xdr:from>
    <xdr:to>
      <xdr:col>13</xdr:col>
      <xdr:colOff>571500</xdr:colOff>
      <xdr:row>36</xdr:row>
      <xdr:rowOff>95250</xdr:rowOff>
    </xdr:to>
    <xdr:sp>
      <xdr:nvSpPr>
        <xdr:cNvPr id="4" name="AutoShape 9"/>
        <xdr:cNvSpPr>
          <a:spLocks/>
        </xdr:cNvSpPr>
      </xdr:nvSpPr>
      <xdr:spPr>
        <a:xfrm>
          <a:off x="5410200" y="4772025"/>
          <a:ext cx="1590675" cy="1152525"/>
        </a:xfrm>
        <a:prstGeom prst="wedgeRectCallout">
          <a:avLst>
            <a:gd name="adj1" fmla="val 35027"/>
            <a:gd name="adj2" fmla="val 8388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The Tier 1 Rate without Demand, Load Variance, and Balancing Purchases.  Balancing Purchase costs are computed and added by the model.</a:t>
          </a:r>
        </a:p>
      </xdr:txBody>
    </xdr:sp>
    <xdr:clientData/>
  </xdr:twoCellAnchor>
  <xdr:twoCellAnchor>
    <xdr:from>
      <xdr:col>0</xdr:col>
      <xdr:colOff>457200</xdr:colOff>
      <xdr:row>41</xdr:row>
      <xdr:rowOff>85725</xdr:rowOff>
    </xdr:from>
    <xdr:to>
      <xdr:col>2</xdr:col>
      <xdr:colOff>438150</xdr:colOff>
      <xdr:row>46</xdr:row>
      <xdr:rowOff>133350</xdr:rowOff>
    </xdr:to>
    <xdr:sp>
      <xdr:nvSpPr>
        <xdr:cNvPr id="5" name="AutoShape 10"/>
        <xdr:cNvSpPr>
          <a:spLocks/>
        </xdr:cNvSpPr>
      </xdr:nvSpPr>
      <xdr:spPr>
        <a:xfrm>
          <a:off x="457200" y="6810375"/>
          <a:ext cx="1485900" cy="857250"/>
        </a:xfrm>
        <a:prstGeom prst="wedgeRectCallout">
          <a:avLst>
            <a:gd name="adj1" fmla="val 96152"/>
            <a:gd name="adj2" fmla="val -6111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The annual load growth that will be applied to the selected customer as well as all other loads.</a:t>
          </a:r>
        </a:p>
      </xdr:txBody>
    </xdr:sp>
    <xdr:clientData/>
  </xdr:twoCellAnchor>
  <xdr:twoCellAnchor>
    <xdr:from>
      <xdr:col>4</xdr:col>
      <xdr:colOff>247650</xdr:colOff>
      <xdr:row>41</xdr:row>
      <xdr:rowOff>152400</xdr:rowOff>
    </xdr:from>
    <xdr:to>
      <xdr:col>7</xdr:col>
      <xdr:colOff>390525</xdr:colOff>
      <xdr:row>46</xdr:row>
      <xdr:rowOff>28575</xdr:rowOff>
    </xdr:to>
    <xdr:sp>
      <xdr:nvSpPr>
        <xdr:cNvPr id="6" name="AutoShape 11"/>
        <xdr:cNvSpPr>
          <a:spLocks/>
        </xdr:cNvSpPr>
      </xdr:nvSpPr>
      <xdr:spPr>
        <a:xfrm>
          <a:off x="2647950" y="6877050"/>
          <a:ext cx="1485900" cy="685800"/>
        </a:xfrm>
        <a:prstGeom prst="wedgeRectCallout">
          <a:avLst>
            <a:gd name="adj1" fmla="val 59615"/>
            <a:gd name="adj2" fmla="val -694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The year of the contract period that will be examined.</a:t>
          </a:r>
        </a:p>
      </xdr:txBody>
    </xdr:sp>
    <xdr:clientData/>
  </xdr:twoCellAnchor>
  <xdr:twoCellAnchor>
    <xdr:from>
      <xdr:col>9</xdr:col>
      <xdr:colOff>390525</xdr:colOff>
      <xdr:row>42</xdr:row>
      <xdr:rowOff>47625</xdr:rowOff>
    </xdr:from>
    <xdr:to>
      <xdr:col>13</xdr:col>
      <xdr:colOff>85725</xdr:colOff>
      <xdr:row>46</xdr:row>
      <xdr:rowOff>85725</xdr:rowOff>
    </xdr:to>
    <xdr:sp>
      <xdr:nvSpPr>
        <xdr:cNvPr id="7" name="AutoShape 12"/>
        <xdr:cNvSpPr>
          <a:spLocks/>
        </xdr:cNvSpPr>
      </xdr:nvSpPr>
      <xdr:spPr>
        <a:xfrm>
          <a:off x="5029200" y="6934200"/>
          <a:ext cx="1485900" cy="685800"/>
        </a:xfrm>
        <a:prstGeom prst="wedgeRectCallout">
          <a:avLst>
            <a:gd name="adj1" fmla="val -34615"/>
            <a:gd name="adj2" fmla="val -7638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Select whether to shape the non-federal resource as flat (off) or to load (on).</a:t>
          </a:r>
        </a:p>
      </xdr:txBody>
    </xdr:sp>
    <xdr:clientData/>
  </xdr:twoCellAnchor>
  <xdr:twoCellAnchor>
    <xdr:from>
      <xdr:col>6</xdr:col>
      <xdr:colOff>85725</xdr:colOff>
      <xdr:row>3</xdr:row>
      <xdr:rowOff>76200</xdr:rowOff>
    </xdr:from>
    <xdr:to>
      <xdr:col>9</xdr:col>
      <xdr:colOff>219075</xdr:colOff>
      <xdr:row>7</xdr:row>
      <xdr:rowOff>85725</xdr:rowOff>
    </xdr:to>
    <xdr:sp>
      <xdr:nvSpPr>
        <xdr:cNvPr id="8" name="AutoShape 13"/>
        <xdr:cNvSpPr>
          <a:spLocks/>
        </xdr:cNvSpPr>
      </xdr:nvSpPr>
      <xdr:spPr>
        <a:xfrm>
          <a:off x="3381375" y="561975"/>
          <a:ext cx="1476375" cy="657225"/>
        </a:xfrm>
        <a:prstGeom prst="wedgeRectCallout">
          <a:avLst>
            <a:gd name="adj1" fmla="val 154513"/>
            <a:gd name="adj2" fmla="val 72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The amount of Tier 2 load served by non-federal resources.</a:t>
          </a:r>
        </a:p>
      </xdr:txBody>
    </xdr:sp>
    <xdr:clientData/>
  </xdr:twoCellAnchor>
  <xdr:twoCellAnchor>
    <xdr:from>
      <xdr:col>2</xdr:col>
      <xdr:colOff>295275</xdr:colOff>
      <xdr:row>49</xdr:row>
      <xdr:rowOff>47625</xdr:rowOff>
    </xdr:from>
    <xdr:to>
      <xdr:col>7</xdr:col>
      <xdr:colOff>133350</xdr:colOff>
      <xdr:row>51</xdr:row>
      <xdr:rowOff>85725</xdr:rowOff>
    </xdr:to>
    <xdr:sp>
      <xdr:nvSpPr>
        <xdr:cNvPr id="9" name="AutoShape 14"/>
        <xdr:cNvSpPr>
          <a:spLocks/>
        </xdr:cNvSpPr>
      </xdr:nvSpPr>
      <xdr:spPr>
        <a:xfrm>
          <a:off x="1800225" y="8067675"/>
          <a:ext cx="2076450" cy="361950"/>
        </a:xfrm>
        <a:prstGeom prst="wedgeRectCallout">
          <a:avLst>
            <a:gd name="adj1" fmla="val -64222"/>
            <a:gd name="adj2" fmla="val -11315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Monthly market price forecast.</a:t>
          </a:r>
        </a:p>
      </xdr:txBody>
    </xdr:sp>
    <xdr:clientData/>
  </xdr:twoCellAnchor>
  <xdr:twoCellAnchor>
    <xdr:from>
      <xdr:col>2</xdr:col>
      <xdr:colOff>123825</xdr:colOff>
      <xdr:row>68</xdr:row>
      <xdr:rowOff>47625</xdr:rowOff>
    </xdr:from>
    <xdr:to>
      <xdr:col>6</xdr:col>
      <xdr:colOff>409575</xdr:colOff>
      <xdr:row>70</xdr:row>
      <xdr:rowOff>85725</xdr:rowOff>
    </xdr:to>
    <xdr:sp>
      <xdr:nvSpPr>
        <xdr:cNvPr id="10" name="AutoShape 15"/>
        <xdr:cNvSpPr>
          <a:spLocks/>
        </xdr:cNvSpPr>
      </xdr:nvSpPr>
      <xdr:spPr>
        <a:xfrm>
          <a:off x="1628775" y="11144250"/>
          <a:ext cx="2076450" cy="361950"/>
        </a:xfrm>
        <a:prstGeom prst="wedgeRectCallout">
          <a:avLst>
            <a:gd name="adj1" fmla="val -55046"/>
            <a:gd name="adj2" fmla="val -150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Monthly market price alternative.</a:t>
          </a:r>
        </a:p>
      </xdr:txBody>
    </xdr:sp>
    <xdr:clientData/>
  </xdr:twoCellAnchor>
  <xdr:twoCellAnchor>
    <xdr:from>
      <xdr:col>1</xdr:col>
      <xdr:colOff>85725</xdr:colOff>
      <xdr:row>54</xdr:row>
      <xdr:rowOff>133350</xdr:rowOff>
    </xdr:from>
    <xdr:to>
      <xdr:col>4</xdr:col>
      <xdr:colOff>152400</xdr:colOff>
      <xdr:row>60</xdr:row>
      <xdr:rowOff>19050</xdr:rowOff>
    </xdr:to>
    <xdr:sp>
      <xdr:nvSpPr>
        <xdr:cNvPr id="11" name="AutoShape 16"/>
        <xdr:cNvSpPr>
          <a:spLocks/>
        </xdr:cNvSpPr>
      </xdr:nvSpPr>
      <xdr:spPr>
        <a:xfrm>
          <a:off x="1143000" y="8963025"/>
          <a:ext cx="1409700" cy="857250"/>
        </a:xfrm>
        <a:prstGeom prst="wedgeRectCallout">
          <a:avLst>
            <a:gd name="adj1" fmla="val -25675"/>
            <a:gd name="adj2" fmla="val 8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Input:
User defined load; load growth will be applied, so should input be on a 2010 basis.</a:t>
          </a:r>
        </a:p>
      </xdr:txBody>
    </xdr:sp>
    <xdr:clientData/>
  </xdr:twoCellAnchor>
  <xdr:twoCellAnchor>
    <xdr:from>
      <xdr:col>19</xdr:col>
      <xdr:colOff>304800</xdr:colOff>
      <xdr:row>0</xdr:row>
      <xdr:rowOff>38100</xdr:rowOff>
    </xdr:from>
    <xdr:to>
      <xdr:col>22</xdr:col>
      <xdr:colOff>438150</xdr:colOff>
      <xdr:row>4</xdr:row>
      <xdr:rowOff>47625</xdr:rowOff>
    </xdr:to>
    <xdr:sp>
      <xdr:nvSpPr>
        <xdr:cNvPr id="12" name="AutoShape 22"/>
        <xdr:cNvSpPr>
          <a:spLocks/>
        </xdr:cNvSpPr>
      </xdr:nvSpPr>
      <xdr:spPr>
        <a:xfrm>
          <a:off x="10163175" y="38100"/>
          <a:ext cx="1476375" cy="657225"/>
        </a:xfrm>
        <a:prstGeom prst="wedgeRectCallout">
          <a:avLst>
            <a:gd name="adj1" fmla="val 189356"/>
            <a:gd name="adj2" fmla="val 507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Definition:
The annual HWM is equal to the input 2010 annual average load.</a:t>
          </a:r>
        </a:p>
      </xdr:txBody>
    </xdr:sp>
    <xdr:clientData/>
  </xdr:twoCellAnchor>
  <xdr:twoCellAnchor>
    <xdr:from>
      <xdr:col>15</xdr:col>
      <xdr:colOff>38100</xdr:colOff>
      <xdr:row>4</xdr:row>
      <xdr:rowOff>19050</xdr:rowOff>
    </xdr:from>
    <xdr:to>
      <xdr:col>18</xdr:col>
      <xdr:colOff>171450</xdr:colOff>
      <xdr:row>9</xdr:row>
      <xdr:rowOff>28575</xdr:rowOff>
    </xdr:to>
    <xdr:sp>
      <xdr:nvSpPr>
        <xdr:cNvPr id="13" name="AutoShape 23"/>
        <xdr:cNvSpPr>
          <a:spLocks/>
        </xdr:cNvSpPr>
      </xdr:nvSpPr>
      <xdr:spPr>
        <a:xfrm>
          <a:off x="8105775" y="666750"/>
          <a:ext cx="1476375" cy="819150"/>
        </a:xfrm>
        <a:prstGeom prst="wedgeRectCallout">
          <a:avLst>
            <a:gd name="adj1" fmla="val 309356"/>
            <a:gd name="adj2" fmla="val -6279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Calculation:
The amount of total load is escalated from the base 2010 load to the chosen year.</a:t>
          </a:r>
        </a:p>
      </xdr:txBody>
    </xdr:sp>
    <xdr:clientData/>
  </xdr:twoCellAnchor>
  <xdr:twoCellAnchor>
    <xdr:from>
      <xdr:col>19</xdr:col>
      <xdr:colOff>38100</xdr:colOff>
      <xdr:row>6</xdr:row>
      <xdr:rowOff>19050</xdr:rowOff>
    </xdr:from>
    <xdr:to>
      <xdr:col>22</xdr:col>
      <xdr:colOff>314325</xdr:colOff>
      <xdr:row>10</xdr:row>
      <xdr:rowOff>28575</xdr:rowOff>
    </xdr:to>
    <xdr:sp>
      <xdr:nvSpPr>
        <xdr:cNvPr id="14" name="AutoShape 24"/>
        <xdr:cNvSpPr>
          <a:spLocks/>
        </xdr:cNvSpPr>
      </xdr:nvSpPr>
      <xdr:spPr>
        <a:xfrm>
          <a:off x="9896475" y="990600"/>
          <a:ext cx="1619250" cy="657225"/>
        </a:xfrm>
        <a:prstGeom prst="wedgeRectCallout">
          <a:avLst>
            <a:gd name="adj1" fmla="val 168236"/>
            <a:gd name="adj2" fmla="val -9057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Calculation:
The amount of Tier 1 load is the minimum of the total annual load and the HWM.</a:t>
          </a:r>
        </a:p>
      </xdr:txBody>
    </xdr:sp>
    <xdr:clientData/>
  </xdr:twoCellAnchor>
  <xdr:twoCellAnchor>
    <xdr:from>
      <xdr:col>22</xdr:col>
      <xdr:colOff>419100</xdr:colOff>
      <xdr:row>7</xdr:row>
      <xdr:rowOff>104775</xdr:rowOff>
    </xdr:from>
    <xdr:to>
      <xdr:col>27</xdr:col>
      <xdr:colOff>419100</xdr:colOff>
      <xdr:row>12</xdr:row>
      <xdr:rowOff>123825</xdr:rowOff>
    </xdr:to>
    <xdr:sp>
      <xdr:nvSpPr>
        <xdr:cNvPr id="15" name="AutoShape 25"/>
        <xdr:cNvSpPr>
          <a:spLocks/>
        </xdr:cNvSpPr>
      </xdr:nvSpPr>
      <xdr:spPr>
        <a:xfrm>
          <a:off x="11620500" y="1238250"/>
          <a:ext cx="2238375" cy="828675"/>
        </a:xfrm>
        <a:prstGeom prst="wedgeRectCallout">
          <a:avLst>
            <a:gd name="adj1" fmla="val 35106"/>
            <a:gd name="adj2" fmla="val -833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Assumption:
The amount of Tier 2 load is the positive difference between total load and Tier 1 plus non-federal resource and is shaped flat across the year.</a:t>
          </a:r>
        </a:p>
      </xdr:txBody>
    </xdr:sp>
    <xdr:clientData/>
  </xdr:twoCellAnchor>
  <xdr:twoCellAnchor>
    <xdr:from>
      <xdr:col>15</xdr:col>
      <xdr:colOff>28575</xdr:colOff>
      <xdr:row>16</xdr:row>
      <xdr:rowOff>123825</xdr:rowOff>
    </xdr:from>
    <xdr:to>
      <xdr:col>18</xdr:col>
      <xdr:colOff>219075</xdr:colOff>
      <xdr:row>20</xdr:row>
      <xdr:rowOff>133350</xdr:rowOff>
    </xdr:to>
    <xdr:sp>
      <xdr:nvSpPr>
        <xdr:cNvPr id="16" name="AutoShape 26"/>
        <xdr:cNvSpPr>
          <a:spLocks/>
        </xdr:cNvSpPr>
      </xdr:nvSpPr>
      <xdr:spPr>
        <a:xfrm>
          <a:off x="8096250" y="2714625"/>
          <a:ext cx="1533525" cy="657225"/>
        </a:xfrm>
        <a:prstGeom prst="wedgeRectCallout">
          <a:avLst>
            <a:gd name="adj1" fmla="val -28259"/>
            <a:gd name="adj2" fmla="val -9347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Definition:
The monthly HWM is the ratio of N-S system to sum of N-S HWMs for month.</a:t>
          </a:r>
        </a:p>
      </xdr:txBody>
    </xdr:sp>
    <xdr:clientData/>
  </xdr:twoCellAnchor>
  <xdr:twoCellAnchor>
    <xdr:from>
      <xdr:col>18</xdr:col>
      <xdr:colOff>438150</xdr:colOff>
      <xdr:row>18</xdr:row>
      <xdr:rowOff>19050</xdr:rowOff>
    </xdr:from>
    <xdr:to>
      <xdr:col>22</xdr:col>
      <xdr:colOff>180975</xdr:colOff>
      <xdr:row>22</xdr:row>
      <xdr:rowOff>28575</xdr:rowOff>
    </xdr:to>
    <xdr:sp>
      <xdr:nvSpPr>
        <xdr:cNvPr id="17" name="AutoShape 27"/>
        <xdr:cNvSpPr>
          <a:spLocks/>
        </xdr:cNvSpPr>
      </xdr:nvSpPr>
      <xdr:spPr>
        <a:xfrm>
          <a:off x="9848850" y="2933700"/>
          <a:ext cx="1533525" cy="657225"/>
        </a:xfrm>
        <a:prstGeom prst="wedgeRectCallout">
          <a:avLst>
            <a:gd name="adj1" fmla="val -24532"/>
            <a:gd name="adj2" fmla="val -760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Calculation:
The monthly Tier 1 load is the minimum of monthly total load and HWM.</a:t>
          </a:r>
        </a:p>
      </xdr:txBody>
    </xdr:sp>
    <xdr:clientData/>
  </xdr:twoCellAnchor>
  <xdr:twoCellAnchor>
    <xdr:from>
      <xdr:col>24</xdr:col>
      <xdr:colOff>133350</xdr:colOff>
      <xdr:row>13</xdr:row>
      <xdr:rowOff>123825</xdr:rowOff>
    </xdr:from>
    <xdr:to>
      <xdr:col>27</xdr:col>
      <xdr:colOff>523875</xdr:colOff>
      <xdr:row>17</xdr:row>
      <xdr:rowOff>133350</xdr:rowOff>
    </xdr:to>
    <xdr:sp>
      <xdr:nvSpPr>
        <xdr:cNvPr id="18" name="AutoShape 28"/>
        <xdr:cNvSpPr>
          <a:spLocks/>
        </xdr:cNvSpPr>
      </xdr:nvSpPr>
      <xdr:spPr>
        <a:xfrm>
          <a:off x="12230100" y="2228850"/>
          <a:ext cx="1733550" cy="657225"/>
        </a:xfrm>
        <a:prstGeom prst="wedgeRectCallout">
          <a:avLst>
            <a:gd name="adj1" fmla="val -82416"/>
            <a:gd name="adj2" fmla="val 5724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Calculation:
The monthly Tier 2 load is the total load less the Tier 1 load less the non-federal resource.</a:t>
          </a:r>
        </a:p>
      </xdr:txBody>
    </xdr:sp>
    <xdr:clientData/>
  </xdr:twoCellAnchor>
  <xdr:twoCellAnchor>
    <xdr:from>
      <xdr:col>22</xdr:col>
      <xdr:colOff>152400</xdr:colOff>
      <xdr:row>25</xdr:row>
      <xdr:rowOff>152400</xdr:rowOff>
    </xdr:from>
    <xdr:to>
      <xdr:col>25</xdr:col>
      <xdr:colOff>285750</xdr:colOff>
      <xdr:row>30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11353800" y="4200525"/>
          <a:ext cx="1476375" cy="657225"/>
        </a:xfrm>
        <a:prstGeom prst="wedgeRectCallout">
          <a:avLst>
            <a:gd name="adj1" fmla="val 91291"/>
            <a:gd name="adj2" fmla="val -3550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Definition:
The Slice percentage is the HWM divided by the total system output.</a:t>
          </a:r>
        </a:p>
      </xdr:txBody>
    </xdr:sp>
    <xdr:clientData/>
  </xdr:twoCellAnchor>
  <xdr:twoCellAnchor>
    <xdr:from>
      <xdr:col>16</xdr:col>
      <xdr:colOff>161925</xdr:colOff>
      <xdr:row>24</xdr:row>
      <xdr:rowOff>76200</xdr:rowOff>
    </xdr:from>
    <xdr:to>
      <xdr:col>22</xdr:col>
      <xdr:colOff>38100</xdr:colOff>
      <xdr:row>28</xdr:row>
      <xdr:rowOff>85725</xdr:rowOff>
    </xdr:to>
    <xdr:sp>
      <xdr:nvSpPr>
        <xdr:cNvPr id="20" name="AutoShape 30"/>
        <xdr:cNvSpPr>
          <a:spLocks/>
        </xdr:cNvSpPr>
      </xdr:nvSpPr>
      <xdr:spPr>
        <a:xfrm>
          <a:off x="8677275" y="3962400"/>
          <a:ext cx="2562225" cy="657225"/>
        </a:xfrm>
        <a:prstGeom prst="wedgeRectCallout">
          <a:avLst>
            <a:gd name="adj1" fmla="val -55203"/>
            <a:gd name="adj2" fmla="val 7318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Assumption:
The Slice customer is responsible for all Tier 2 load. (This is not meant as a complete analysis of the Slice+Block product.)</a:t>
          </a:r>
        </a:p>
      </xdr:txBody>
    </xdr:sp>
    <xdr:clientData/>
  </xdr:twoCellAnchor>
  <xdr:twoCellAnchor>
    <xdr:from>
      <xdr:col>15</xdr:col>
      <xdr:colOff>123825</xdr:colOff>
      <xdr:row>36</xdr:row>
      <xdr:rowOff>114300</xdr:rowOff>
    </xdr:from>
    <xdr:to>
      <xdr:col>18</xdr:col>
      <xdr:colOff>257175</xdr:colOff>
      <xdr:row>40</xdr:row>
      <xdr:rowOff>123825</xdr:rowOff>
    </xdr:to>
    <xdr:sp>
      <xdr:nvSpPr>
        <xdr:cNvPr id="21" name="AutoShape 31"/>
        <xdr:cNvSpPr>
          <a:spLocks/>
        </xdr:cNvSpPr>
      </xdr:nvSpPr>
      <xdr:spPr>
        <a:xfrm>
          <a:off x="8191500" y="5943600"/>
          <a:ext cx="1476375" cy="657225"/>
        </a:xfrm>
        <a:prstGeom prst="wedgeRectCallout">
          <a:avLst>
            <a:gd name="adj1" fmla="val 84837"/>
            <a:gd name="adj2" fmla="val 7174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Assumption:
The total system output is derived from final rate case available resources.</a:t>
          </a:r>
        </a:p>
      </xdr:txBody>
    </xdr:sp>
    <xdr:clientData/>
  </xdr:twoCellAnchor>
  <xdr:twoCellAnchor>
    <xdr:from>
      <xdr:col>19</xdr:col>
      <xdr:colOff>381000</xdr:colOff>
      <xdr:row>35</xdr:row>
      <xdr:rowOff>114300</xdr:rowOff>
    </xdr:from>
    <xdr:to>
      <xdr:col>23</xdr:col>
      <xdr:colOff>66675</xdr:colOff>
      <xdr:row>40</xdr:row>
      <xdr:rowOff>133350</xdr:rowOff>
    </xdr:to>
    <xdr:sp>
      <xdr:nvSpPr>
        <xdr:cNvPr id="22" name="AutoShape 32"/>
        <xdr:cNvSpPr>
          <a:spLocks/>
        </xdr:cNvSpPr>
      </xdr:nvSpPr>
      <xdr:spPr>
        <a:xfrm>
          <a:off x="10239375" y="5781675"/>
          <a:ext cx="1476375" cy="828675"/>
        </a:xfrm>
        <a:prstGeom prst="wedgeRectCallout">
          <a:avLst>
            <a:gd name="adj1" fmla="val -2259"/>
            <a:gd name="adj2" fmla="val 8218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Calculation:
The non-Slice system output is 77.4% of the total output adjusted for balancing, if selected.</a:t>
          </a:r>
        </a:p>
      </xdr:txBody>
    </xdr:sp>
    <xdr:clientData/>
  </xdr:twoCellAnchor>
  <xdr:twoCellAnchor>
    <xdr:from>
      <xdr:col>20</xdr:col>
      <xdr:colOff>104775</xdr:colOff>
      <xdr:row>46</xdr:row>
      <xdr:rowOff>142875</xdr:rowOff>
    </xdr:from>
    <xdr:to>
      <xdr:col>25</xdr:col>
      <xdr:colOff>381000</xdr:colOff>
      <xdr:row>52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10410825" y="7677150"/>
          <a:ext cx="2514600" cy="828675"/>
        </a:xfrm>
        <a:prstGeom prst="wedgeRectCallout">
          <a:avLst>
            <a:gd name="adj1" fmla="val 71967"/>
            <a:gd name="adj2" fmla="val -2700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Calculation:
The Tier 1 energy charge is the input T1 Rate adjusted for balancing.  The first rate is for the annual method, the second rate is for the monthly method</a:t>
          </a:r>
        </a:p>
      </xdr:txBody>
    </xdr:sp>
    <xdr:clientData/>
  </xdr:twoCellAnchor>
  <xdr:twoCellAnchor>
    <xdr:from>
      <xdr:col>17</xdr:col>
      <xdr:colOff>266700</xdr:colOff>
      <xdr:row>56</xdr:row>
      <xdr:rowOff>104775</xdr:rowOff>
    </xdr:from>
    <xdr:to>
      <xdr:col>22</xdr:col>
      <xdr:colOff>57150</xdr:colOff>
      <xdr:row>60</xdr:row>
      <xdr:rowOff>114300</xdr:rowOff>
    </xdr:to>
    <xdr:sp>
      <xdr:nvSpPr>
        <xdr:cNvPr id="24" name="AutoShape 34"/>
        <xdr:cNvSpPr>
          <a:spLocks/>
        </xdr:cNvSpPr>
      </xdr:nvSpPr>
      <xdr:spPr>
        <a:xfrm>
          <a:off x="9229725" y="9258300"/>
          <a:ext cx="2028825" cy="657225"/>
        </a:xfrm>
        <a:prstGeom prst="wedgeRectCallout">
          <a:avLst>
            <a:gd name="adj1" fmla="val -119481"/>
            <a:gd name="adj2" fmla="val -7463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Assumptions:
The customer load is defined as 100 aMW, but with differing monthly shapes.</a:t>
          </a:r>
        </a:p>
      </xdr:txBody>
    </xdr:sp>
    <xdr:clientData/>
  </xdr:twoCellAnchor>
  <xdr:twoCellAnchor>
    <xdr:from>
      <xdr:col>18</xdr:col>
      <xdr:colOff>104775</xdr:colOff>
      <xdr:row>66</xdr:row>
      <xdr:rowOff>123825</xdr:rowOff>
    </xdr:from>
    <xdr:to>
      <xdr:col>23</xdr:col>
      <xdr:colOff>352425</xdr:colOff>
      <xdr:row>70</xdr:row>
      <xdr:rowOff>133350</xdr:rowOff>
    </xdr:to>
    <xdr:sp>
      <xdr:nvSpPr>
        <xdr:cNvPr id="25" name="AutoShape 35"/>
        <xdr:cNvSpPr>
          <a:spLocks/>
        </xdr:cNvSpPr>
      </xdr:nvSpPr>
      <xdr:spPr>
        <a:xfrm>
          <a:off x="9515475" y="10896600"/>
          <a:ext cx="2486025" cy="657225"/>
        </a:xfrm>
        <a:prstGeom prst="wedgeRectCallout">
          <a:avLst>
            <a:gd name="adj1" fmla="val -107087"/>
            <a:gd name="adj2" fmla="val -2970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User Defined Calculation:
Rebalancing is either the non-Slice system without balancing purchases and sales, or reshaped to load through balancing.</a:t>
          </a:r>
        </a:p>
      </xdr:txBody>
    </xdr:sp>
    <xdr:clientData/>
  </xdr:twoCellAnchor>
  <xdr:twoCellAnchor>
    <xdr:from>
      <xdr:col>17</xdr:col>
      <xdr:colOff>123825</xdr:colOff>
      <xdr:row>73</xdr:row>
      <xdr:rowOff>76200</xdr:rowOff>
    </xdr:from>
    <xdr:to>
      <xdr:col>21</xdr:col>
      <xdr:colOff>361950</xdr:colOff>
      <xdr:row>78</xdr:row>
      <xdr:rowOff>95250</xdr:rowOff>
    </xdr:to>
    <xdr:sp>
      <xdr:nvSpPr>
        <xdr:cNvPr id="26" name="AutoShape 36"/>
        <xdr:cNvSpPr>
          <a:spLocks/>
        </xdr:cNvSpPr>
      </xdr:nvSpPr>
      <xdr:spPr>
        <a:xfrm>
          <a:off x="9086850" y="11982450"/>
          <a:ext cx="2028825" cy="828675"/>
        </a:xfrm>
        <a:prstGeom prst="wedgeRectCallout">
          <a:avLst>
            <a:gd name="adj1" fmla="val -108685"/>
            <a:gd name="adj2" fmla="val -649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Assumptions:
This matrix is used to reshape the load over time, if selected, to make winter and summer loads relatively higher than spring and fall loads.</a:t>
          </a:r>
        </a:p>
      </xdr:txBody>
    </xdr:sp>
    <xdr:clientData/>
  </xdr:twoCellAnchor>
  <xdr:twoCellAnchor>
    <xdr:from>
      <xdr:col>18</xdr:col>
      <xdr:colOff>85725</xdr:colOff>
      <xdr:row>96</xdr:row>
      <xdr:rowOff>38100</xdr:rowOff>
    </xdr:from>
    <xdr:to>
      <xdr:col>22</xdr:col>
      <xdr:colOff>323850</xdr:colOff>
      <xdr:row>100</xdr:row>
      <xdr:rowOff>47625</xdr:rowOff>
    </xdr:to>
    <xdr:sp>
      <xdr:nvSpPr>
        <xdr:cNvPr id="27" name="AutoShape 37"/>
        <xdr:cNvSpPr>
          <a:spLocks/>
        </xdr:cNvSpPr>
      </xdr:nvSpPr>
      <xdr:spPr>
        <a:xfrm>
          <a:off x="9496425" y="15668625"/>
          <a:ext cx="2028825" cy="657225"/>
        </a:xfrm>
        <a:prstGeom prst="wedgeRectCallout">
          <a:avLst>
            <a:gd name="adj1" fmla="val -120893"/>
            <a:gd name="adj2" fmla="val -8912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Calculations:
Net Balancing calculates the amount of balancing costs to add to the T1 Rate for each HWM method.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5.8515625" style="0" customWidth="1"/>
    <col min="2" max="13" width="6.7109375" style="0" customWidth="1"/>
    <col min="14" max="14" width="8.7109375" style="0" bestFit="1" customWidth="1"/>
  </cols>
  <sheetData>
    <row r="1" ht="12.75">
      <c r="A1" s="3" t="s">
        <v>17</v>
      </c>
    </row>
    <row r="2" spans="2:14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13</v>
      </c>
    </row>
    <row r="3" spans="1:14" ht="12.75">
      <c r="A3" t="s">
        <v>12</v>
      </c>
      <c r="N3" s="12">
        <f>N54</f>
        <v>100</v>
      </c>
    </row>
    <row r="4" spans="1:14" ht="12.75">
      <c r="A4" t="s">
        <v>14</v>
      </c>
      <c r="B4" s="9">
        <f>B53</f>
        <v>100.68579999999999</v>
      </c>
      <c r="C4" s="9">
        <f aca="true" t="shared" si="0" ref="C4:M4">C53</f>
        <v>115.61</v>
      </c>
      <c r="D4" s="9">
        <f t="shared" si="0"/>
        <v>129.69340000000003</v>
      </c>
      <c r="E4" s="9">
        <f t="shared" si="0"/>
        <v>129.90359999999998</v>
      </c>
      <c r="F4" s="9">
        <f t="shared" si="0"/>
        <v>126.33019999999995</v>
      </c>
      <c r="G4" s="9">
        <f t="shared" si="0"/>
        <v>114.559</v>
      </c>
      <c r="H4" s="9">
        <f t="shared" si="0"/>
        <v>101.10619999999999</v>
      </c>
      <c r="I4" s="9">
        <f t="shared" si="0"/>
        <v>88.91460000000002</v>
      </c>
      <c r="J4" s="9">
        <f t="shared" si="0"/>
        <v>84.50039999999998</v>
      </c>
      <c r="K4" s="9">
        <f t="shared" si="0"/>
        <v>87.98972</v>
      </c>
      <c r="L4" s="9">
        <f t="shared" si="0"/>
        <v>91.2268</v>
      </c>
      <c r="M4" s="9">
        <f t="shared" si="0"/>
        <v>90.68027999999998</v>
      </c>
      <c r="N4" s="2">
        <f>AVERAGE(B4:M4)</f>
        <v>105.09999999999998</v>
      </c>
    </row>
    <row r="5" spans="1:14" ht="12.75">
      <c r="A5" t="s">
        <v>15</v>
      </c>
      <c r="B5" s="4">
        <f>B4-B6-B7</f>
        <v>95.5858</v>
      </c>
      <c r="C5" s="4">
        <f aca="true" t="shared" si="1" ref="C5:M5">C4-C6-C7</f>
        <v>110.51000000000002</v>
      </c>
      <c r="D5" s="4">
        <f t="shared" si="1"/>
        <v>124.59340000000005</v>
      </c>
      <c r="E5" s="4">
        <f t="shared" si="1"/>
        <v>124.8036</v>
      </c>
      <c r="F5" s="4">
        <f t="shared" si="1"/>
        <v>121.23019999999997</v>
      </c>
      <c r="G5" s="4">
        <f t="shared" si="1"/>
        <v>109.45900000000002</v>
      </c>
      <c r="H5" s="4">
        <f t="shared" si="1"/>
        <v>96.0062</v>
      </c>
      <c r="I5" s="4">
        <f t="shared" si="1"/>
        <v>83.81460000000004</v>
      </c>
      <c r="J5" s="4">
        <f t="shared" si="1"/>
        <v>79.4004</v>
      </c>
      <c r="K5" s="4">
        <f t="shared" si="1"/>
        <v>82.88972000000003</v>
      </c>
      <c r="L5" s="4">
        <f t="shared" si="1"/>
        <v>86.12680000000002</v>
      </c>
      <c r="M5" s="4">
        <f t="shared" si="1"/>
        <v>85.58028</v>
      </c>
      <c r="N5" s="2">
        <f>MIN(N3,N4)</f>
        <v>100</v>
      </c>
    </row>
    <row r="6" spans="1:14" ht="12.75">
      <c r="A6" t="s">
        <v>22</v>
      </c>
      <c r="B6" s="24">
        <f>IF($K40,ROUND($N6*(B4/$N4),1),$N6)</f>
        <v>0</v>
      </c>
      <c r="C6" s="24">
        <f aca="true" t="shared" si="2" ref="C6:M6">IF($K40,ROUND($N6*(C4/$N4),1),$N6)</f>
        <v>0</v>
      </c>
      <c r="D6" s="24">
        <f t="shared" si="2"/>
        <v>0</v>
      </c>
      <c r="E6" s="24">
        <f t="shared" si="2"/>
        <v>0</v>
      </c>
      <c r="F6" s="24">
        <f t="shared" si="2"/>
        <v>0</v>
      </c>
      <c r="G6" s="24">
        <f t="shared" si="2"/>
        <v>0</v>
      </c>
      <c r="H6" s="24">
        <f t="shared" si="2"/>
        <v>0</v>
      </c>
      <c r="I6" s="24">
        <f t="shared" si="2"/>
        <v>0</v>
      </c>
      <c r="J6" s="24">
        <f t="shared" si="2"/>
        <v>0</v>
      </c>
      <c r="K6" s="24">
        <f t="shared" si="2"/>
        <v>0</v>
      </c>
      <c r="L6" s="24">
        <f t="shared" si="2"/>
        <v>0</v>
      </c>
      <c r="M6" s="24">
        <f t="shared" si="2"/>
        <v>0</v>
      </c>
      <c r="N6" s="30">
        <v>0</v>
      </c>
    </row>
    <row r="7" spans="1:14" ht="12.75">
      <c r="A7" t="s">
        <v>16</v>
      </c>
      <c r="B7" s="4">
        <f>$N7</f>
        <v>5.09999999999998</v>
      </c>
      <c r="C7" s="4">
        <f aca="true" t="shared" si="3" ref="C7:M7">$N7</f>
        <v>5.09999999999998</v>
      </c>
      <c r="D7" s="4">
        <f t="shared" si="3"/>
        <v>5.09999999999998</v>
      </c>
      <c r="E7" s="4">
        <f t="shared" si="3"/>
        <v>5.09999999999998</v>
      </c>
      <c r="F7" s="4">
        <f t="shared" si="3"/>
        <v>5.09999999999998</v>
      </c>
      <c r="G7" s="4">
        <f t="shared" si="3"/>
        <v>5.09999999999998</v>
      </c>
      <c r="H7" s="4">
        <f t="shared" si="3"/>
        <v>5.09999999999998</v>
      </c>
      <c r="I7" s="4">
        <f t="shared" si="3"/>
        <v>5.09999999999998</v>
      </c>
      <c r="J7" s="4">
        <f t="shared" si="3"/>
        <v>5.09999999999998</v>
      </c>
      <c r="K7" s="4">
        <f t="shared" si="3"/>
        <v>5.09999999999998</v>
      </c>
      <c r="L7" s="4">
        <f t="shared" si="3"/>
        <v>5.09999999999998</v>
      </c>
      <c r="M7" s="4">
        <f t="shared" si="3"/>
        <v>5.09999999999998</v>
      </c>
      <c r="N7" s="2">
        <f>MAX(N4-N5-N6,0)</f>
        <v>5.09999999999998</v>
      </c>
    </row>
    <row r="8" spans="1:14" ht="12.75">
      <c r="A8" s="14" t="s">
        <v>53</v>
      </c>
      <c r="N8" s="6"/>
    </row>
    <row r="9" spans="1:14" ht="12.75">
      <c r="A9" t="s">
        <v>15</v>
      </c>
      <c r="B9" s="21">
        <f aca="true" t="shared" si="4" ref="B9:M9">B5*B$50*B$48</f>
        <v>1218.42741331</v>
      </c>
      <c r="C9" s="21">
        <f t="shared" si="4"/>
        <v>2003.5020960000004</v>
      </c>
      <c r="D9" s="21">
        <f t="shared" si="4"/>
        <v>2609.434332240001</v>
      </c>
      <c r="E9" s="21">
        <f t="shared" si="4"/>
        <v>2052.0707126400002</v>
      </c>
      <c r="F9" s="21">
        <f t="shared" si="4"/>
        <v>1957.528285439999</v>
      </c>
      <c r="G9" s="21">
        <f t="shared" si="4"/>
        <v>1700.41491648</v>
      </c>
      <c r="H9" s="21">
        <f t="shared" si="4"/>
        <v>773.809011938</v>
      </c>
      <c r="I9" s="21">
        <f t="shared" si="4"/>
        <v>372.9012131520002</v>
      </c>
      <c r="J9" s="21">
        <f t="shared" si="4"/>
        <v>217.2394944</v>
      </c>
      <c r="K9" s="21">
        <f t="shared" si="4"/>
        <v>787.5252829536003</v>
      </c>
      <c r="L9" s="21">
        <f t="shared" si="4"/>
        <v>1164.9442066560002</v>
      </c>
      <c r="M9" s="21">
        <f t="shared" si="4"/>
        <v>1300.751791776</v>
      </c>
      <c r="N9" s="21">
        <f>SUM(B9:M9)</f>
        <v>16158.5487569856</v>
      </c>
    </row>
    <row r="10" spans="1:14" ht="12.75">
      <c r="A10" t="s">
        <v>16</v>
      </c>
      <c r="B10" s="21">
        <f aca="true" t="shared" si="5" ref="B10:M10">B7*B$50*B$47</f>
        <v>190.84888499999923</v>
      </c>
      <c r="C10" s="21">
        <f t="shared" si="5"/>
        <v>214.07759999999914</v>
      </c>
      <c r="D10" s="21">
        <f t="shared" si="5"/>
        <v>232.48288799999912</v>
      </c>
      <c r="E10" s="21">
        <f t="shared" si="5"/>
        <v>209.52676799999918</v>
      </c>
      <c r="F10" s="21">
        <f t="shared" si="5"/>
        <v>199.91347199999922</v>
      </c>
      <c r="G10" s="21">
        <f t="shared" si="5"/>
        <v>204.89759999999922</v>
      </c>
      <c r="H10" s="21">
        <f t="shared" si="5"/>
        <v>162.55367699999934</v>
      </c>
      <c r="I10" s="21">
        <f t="shared" si="5"/>
        <v>148.36103999999943</v>
      </c>
      <c r="J10" s="21">
        <f t="shared" si="5"/>
        <v>135.57023999999947</v>
      </c>
      <c r="K10" s="21">
        <f t="shared" si="5"/>
        <v>174.12501599999933</v>
      </c>
      <c r="L10" s="21">
        <f t="shared" si="5"/>
        <v>194.65271999999925</v>
      </c>
      <c r="M10" s="21">
        <f t="shared" si="5"/>
        <v>199.1325599999992</v>
      </c>
      <c r="N10" s="21">
        <f>SUM(B10:M10)</f>
        <v>2266.142465999991</v>
      </c>
    </row>
    <row r="11" spans="1:14" ht="12.75">
      <c r="A11" t="s">
        <v>23</v>
      </c>
      <c r="B11" s="21">
        <f aca="true" t="shared" si="6" ref="B11:M11">SUM(B9:B10)</f>
        <v>1409.2762983099992</v>
      </c>
      <c r="C11" s="21">
        <f t="shared" si="6"/>
        <v>2217.5796959999993</v>
      </c>
      <c r="D11" s="21">
        <f t="shared" si="6"/>
        <v>2841.91722024</v>
      </c>
      <c r="E11" s="21">
        <f t="shared" si="6"/>
        <v>2261.5974806399995</v>
      </c>
      <c r="F11" s="21">
        <f t="shared" si="6"/>
        <v>2157.441757439998</v>
      </c>
      <c r="G11" s="21">
        <f t="shared" si="6"/>
        <v>1905.3125164799994</v>
      </c>
      <c r="H11" s="21">
        <f t="shared" si="6"/>
        <v>936.3626889379993</v>
      </c>
      <c r="I11" s="21">
        <f t="shared" si="6"/>
        <v>521.2622531519996</v>
      </c>
      <c r="J11" s="21">
        <f t="shared" si="6"/>
        <v>352.80973439999946</v>
      </c>
      <c r="K11" s="21">
        <f t="shared" si="6"/>
        <v>961.6502989535995</v>
      </c>
      <c r="L11" s="21">
        <f t="shared" si="6"/>
        <v>1359.5969266559996</v>
      </c>
      <c r="M11" s="21">
        <f t="shared" si="6"/>
        <v>1499.884351775999</v>
      </c>
      <c r="N11" s="21">
        <f>SUM(B11:M11)</f>
        <v>18424.69122298559</v>
      </c>
    </row>
    <row r="12" spans="1:14" ht="12.75">
      <c r="A12" t="s">
        <v>26</v>
      </c>
      <c r="B12" s="21">
        <f aca="true" t="shared" si="7" ref="B12:M12">B6*B$50*B$47</f>
        <v>0</v>
      </c>
      <c r="C12" s="21">
        <f t="shared" si="7"/>
        <v>0</v>
      </c>
      <c r="D12" s="21">
        <f t="shared" si="7"/>
        <v>0</v>
      </c>
      <c r="E12" s="21">
        <f t="shared" si="7"/>
        <v>0</v>
      </c>
      <c r="F12" s="21">
        <f t="shared" si="7"/>
        <v>0</v>
      </c>
      <c r="G12" s="21">
        <f t="shared" si="7"/>
        <v>0</v>
      </c>
      <c r="H12" s="21">
        <f t="shared" si="7"/>
        <v>0</v>
      </c>
      <c r="I12" s="21">
        <f t="shared" si="7"/>
        <v>0</v>
      </c>
      <c r="J12" s="21">
        <f t="shared" si="7"/>
        <v>0</v>
      </c>
      <c r="K12" s="21">
        <f t="shared" si="7"/>
        <v>0</v>
      </c>
      <c r="L12" s="21">
        <f t="shared" si="7"/>
        <v>0</v>
      </c>
      <c r="M12" s="21">
        <f t="shared" si="7"/>
        <v>0</v>
      </c>
      <c r="N12" s="21">
        <f>SUM(B12:M12)</f>
        <v>0</v>
      </c>
    </row>
    <row r="13" spans="2:14" ht="12.7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>
        <f>N11+N12</f>
        <v>18424.69122298559</v>
      </c>
    </row>
    <row r="14" ht="12.75">
      <c r="A14" s="3" t="s">
        <v>18</v>
      </c>
    </row>
    <row r="15" spans="1:14" ht="12.75">
      <c r="A15" t="s">
        <v>12</v>
      </c>
      <c r="B15" s="4">
        <f>ROUND((B$43/B$44)*B54,1)</f>
        <v>96</v>
      </c>
      <c r="C15" s="4">
        <f aca="true" t="shared" si="8" ref="C15:M15">ROUND((C$43/C$44)*C54,1)</f>
        <v>108.8</v>
      </c>
      <c r="D15" s="4">
        <f t="shared" si="8"/>
        <v>120.7</v>
      </c>
      <c r="E15" s="4">
        <f t="shared" si="8"/>
        <v>120.7</v>
      </c>
      <c r="F15" s="4">
        <f t="shared" si="8"/>
        <v>117.7</v>
      </c>
      <c r="G15" s="4">
        <f t="shared" si="8"/>
        <v>107.9</v>
      </c>
      <c r="H15" s="4">
        <f t="shared" si="8"/>
        <v>96</v>
      </c>
      <c r="I15" s="4">
        <f t="shared" si="8"/>
        <v>85.1</v>
      </c>
      <c r="J15" s="4">
        <f t="shared" si="8"/>
        <v>81.1</v>
      </c>
      <c r="K15" s="4">
        <f t="shared" si="8"/>
        <v>82.1</v>
      </c>
      <c r="L15" s="4">
        <f t="shared" si="8"/>
        <v>85.1</v>
      </c>
      <c r="M15" s="4">
        <f t="shared" si="8"/>
        <v>86.1</v>
      </c>
      <c r="N15" s="2">
        <f>AVERAGE(B15:M15)</f>
        <v>98.94166666666666</v>
      </c>
    </row>
    <row r="16" spans="1:14" ht="12.75">
      <c r="A16" t="s">
        <v>14</v>
      </c>
      <c r="B16" s="9">
        <f>B4</f>
        <v>100.68579999999999</v>
      </c>
      <c r="C16" s="9">
        <f aca="true" t="shared" si="9" ref="C16:M16">C4</f>
        <v>115.61</v>
      </c>
      <c r="D16" s="9">
        <f t="shared" si="9"/>
        <v>129.69340000000003</v>
      </c>
      <c r="E16" s="9">
        <f t="shared" si="9"/>
        <v>129.90359999999998</v>
      </c>
      <c r="F16" s="9">
        <f t="shared" si="9"/>
        <v>126.33019999999995</v>
      </c>
      <c r="G16" s="9">
        <f t="shared" si="9"/>
        <v>114.559</v>
      </c>
      <c r="H16" s="9">
        <f t="shared" si="9"/>
        <v>101.10619999999999</v>
      </c>
      <c r="I16" s="9">
        <f t="shared" si="9"/>
        <v>88.91460000000002</v>
      </c>
      <c r="J16" s="9">
        <f t="shared" si="9"/>
        <v>84.50039999999998</v>
      </c>
      <c r="K16" s="9">
        <f t="shared" si="9"/>
        <v>87.98972</v>
      </c>
      <c r="L16" s="9">
        <f t="shared" si="9"/>
        <v>91.2268</v>
      </c>
      <c r="M16" s="9">
        <f t="shared" si="9"/>
        <v>90.68027999999998</v>
      </c>
      <c r="N16" s="2">
        <f>AVERAGE(B16:M16)</f>
        <v>105.09999999999998</v>
      </c>
    </row>
    <row r="17" spans="1:14" ht="12.75">
      <c r="A17" t="s">
        <v>15</v>
      </c>
      <c r="B17" s="4">
        <f>MIN(B15,B16-B18)</f>
        <v>96</v>
      </c>
      <c r="C17" s="4">
        <f aca="true" t="shared" si="10" ref="C17:M17">MIN(C15,C16-C18)</f>
        <v>108.8</v>
      </c>
      <c r="D17" s="4">
        <f t="shared" si="10"/>
        <v>120.7</v>
      </c>
      <c r="E17" s="4">
        <f t="shared" si="10"/>
        <v>120.7</v>
      </c>
      <c r="F17" s="4">
        <f t="shared" si="10"/>
        <v>117.7</v>
      </c>
      <c r="G17" s="4">
        <f t="shared" si="10"/>
        <v>107.9</v>
      </c>
      <c r="H17" s="4">
        <f t="shared" si="10"/>
        <v>96</v>
      </c>
      <c r="I17" s="4">
        <f t="shared" si="10"/>
        <v>85.1</v>
      </c>
      <c r="J17" s="4">
        <f t="shared" si="10"/>
        <v>81.1</v>
      </c>
      <c r="K17" s="4">
        <f t="shared" si="10"/>
        <v>82.1</v>
      </c>
      <c r="L17" s="4">
        <f t="shared" si="10"/>
        <v>85.1</v>
      </c>
      <c r="M17" s="4">
        <f t="shared" si="10"/>
        <v>86.1</v>
      </c>
      <c r="N17" s="2">
        <f>AVERAGE(B17:M17)</f>
        <v>98.94166666666666</v>
      </c>
    </row>
    <row r="18" spans="1:14" ht="12.75">
      <c r="A18" t="s">
        <v>22</v>
      </c>
      <c r="B18" s="4">
        <f>B6</f>
        <v>0</v>
      </c>
      <c r="C18" s="4">
        <f aca="true" t="shared" si="11" ref="C18:M18">C6</f>
        <v>0</v>
      </c>
      <c r="D18" s="4">
        <f t="shared" si="11"/>
        <v>0</v>
      </c>
      <c r="E18" s="4">
        <f t="shared" si="11"/>
        <v>0</v>
      </c>
      <c r="F18" s="4">
        <f t="shared" si="11"/>
        <v>0</v>
      </c>
      <c r="G18" s="4">
        <f t="shared" si="11"/>
        <v>0</v>
      </c>
      <c r="H18" s="4">
        <f t="shared" si="11"/>
        <v>0</v>
      </c>
      <c r="I18" s="4">
        <f t="shared" si="11"/>
        <v>0</v>
      </c>
      <c r="J18" s="4">
        <f t="shared" si="11"/>
        <v>0</v>
      </c>
      <c r="K18" s="4">
        <f t="shared" si="11"/>
        <v>0</v>
      </c>
      <c r="L18" s="4">
        <f t="shared" si="11"/>
        <v>0</v>
      </c>
      <c r="M18" s="4">
        <f t="shared" si="11"/>
        <v>0</v>
      </c>
      <c r="N18" s="2">
        <f>AVERAGE(B18:M18)</f>
        <v>0</v>
      </c>
    </row>
    <row r="19" spans="1:14" ht="12.75">
      <c r="A19" t="s">
        <v>16</v>
      </c>
      <c r="B19" s="4">
        <f>MAX(B16-B17-B18,0)</f>
        <v>4.685799999999986</v>
      </c>
      <c r="C19" s="4">
        <f aca="true" t="shared" si="12" ref="C19:M19">MAX(C16-C17-C18,0)</f>
        <v>6.810000000000002</v>
      </c>
      <c r="D19" s="4">
        <f t="shared" si="12"/>
        <v>8.993400000000022</v>
      </c>
      <c r="E19" s="4">
        <f t="shared" si="12"/>
        <v>9.20359999999998</v>
      </c>
      <c r="F19" s="4">
        <f t="shared" si="12"/>
        <v>8.630199999999945</v>
      </c>
      <c r="G19" s="4">
        <f t="shared" si="12"/>
        <v>6.658999999999992</v>
      </c>
      <c r="H19" s="4">
        <f t="shared" si="12"/>
        <v>5.106199999999987</v>
      </c>
      <c r="I19" s="4">
        <f t="shared" si="12"/>
        <v>3.814600000000027</v>
      </c>
      <c r="J19" s="4">
        <f t="shared" si="12"/>
        <v>3.4003999999999905</v>
      </c>
      <c r="K19" s="4">
        <f t="shared" si="12"/>
        <v>5.889720000000011</v>
      </c>
      <c r="L19" s="4">
        <f t="shared" si="12"/>
        <v>6.126800000000003</v>
      </c>
      <c r="M19" s="4">
        <f t="shared" si="12"/>
        <v>4.580279999999988</v>
      </c>
      <c r="N19" s="2">
        <f>AVERAGE(B19:M19)</f>
        <v>6.158333333333328</v>
      </c>
    </row>
    <row r="20" ht="12.75">
      <c r="A20" s="14" t="s">
        <v>53</v>
      </c>
    </row>
    <row r="21" spans="1:14" ht="12.75">
      <c r="A21" t="s">
        <v>15</v>
      </c>
      <c r="B21" s="21">
        <f aca="true" t="shared" si="13" ref="B21:M21">B17*B$50*B$48</f>
        <v>1223.7071999999998</v>
      </c>
      <c r="C21" s="21">
        <f t="shared" si="13"/>
        <v>1972.50048</v>
      </c>
      <c r="D21" s="21">
        <f t="shared" si="13"/>
        <v>2527.89252</v>
      </c>
      <c r="E21" s="21">
        <f t="shared" si="13"/>
        <v>1984.59768</v>
      </c>
      <c r="F21" s="21">
        <f t="shared" si="13"/>
        <v>1900.5254399999997</v>
      </c>
      <c r="G21" s="21">
        <f t="shared" si="13"/>
        <v>1676.196288</v>
      </c>
      <c r="H21" s="21">
        <f t="shared" si="13"/>
        <v>773.75904</v>
      </c>
      <c r="I21" s="21">
        <f t="shared" si="13"/>
        <v>378.620112</v>
      </c>
      <c r="J21" s="21">
        <f t="shared" si="13"/>
        <v>221.88959999999997</v>
      </c>
      <c r="K21" s="21">
        <f t="shared" si="13"/>
        <v>780.0222479999999</v>
      </c>
      <c r="L21" s="21">
        <f t="shared" si="13"/>
        <v>1151.0557919999999</v>
      </c>
      <c r="M21" s="21">
        <f t="shared" si="13"/>
        <v>1308.6511199999998</v>
      </c>
      <c r="N21" s="21">
        <f>SUM(B21:M21)</f>
        <v>15899.41752</v>
      </c>
    </row>
    <row r="22" spans="1:14" ht="12.75">
      <c r="A22" t="s">
        <v>16</v>
      </c>
      <c r="B22" s="21">
        <f aca="true" t="shared" si="14" ref="B22:M22">B19*B$50*B$47</f>
        <v>175.34896182999947</v>
      </c>
      <c r="C22" s="21">
        <f t="shared" si="14"/>
        <v>285.8565600000001</v>
      </c>
      <c r="D22" s="21">
        <f t="shared" si="14"/>
        <v>409.96305979200105</v>
      </c>
      <c r="E22" s="21">
        <f t="shared" si="14"/>
        <v>378.1177572479992</v>
      </c>
      <c r="F22" s="21">
        <f t="shared" si="14"/>
        <v>338.2927933439978</v>
      </c>
      <c r="G22" s="21">
        <f t="shared" si="14"/>
        <v>267.5319839999997</v>
      </c>
      <c r="H22" s="21">
        <f t="shared" si="14"/>
        <v>162.75129127399958</v>
      </c>
      <c r="I22" s="21">
        <f t="shared" si="14"/>
        <v>110.96823984000079</v>
      </c>
      <c r="J22" s="21">
        <f t="shared" si="14"/>
        <v>90.39079295999976</v>
      </c>
      <c r="K22" s="21">
        <f t="shared" si="14"/>
        <v>201.0877625952004</v>
      </c>
      <c r="L22" s="21">
        <f t="shared" si="14"/>
        <v>233.84280096000012</v>
      </c>
      <c r="M22" s="21">
        <f t="shared" si="14"/>
        <v>178.8397807679995</v>
      </c>
      <c r="N22" s="21">
        <f>SUM(B22:M22)</f>
        <v>2832.991784611197</v>
      </c>
    </row>
    <row r="23" spans="1:14" ht="12.75">
      <c r="A23" t="s">
        <v>23</v>
      </c>
      <c r="B23" s="21">
        <f aca="true" t="shared" si="15" ref="B23:M23">SUM(B21:B22)</f>
        <v>1399.0561618299994</v>
      </c>
      <c r="C23" s="21">
        <f t="shared" si="15"/>
        <v>2258.35704</v>
      </c>
      <c r="D23" s="21">
        <f t="shared" si="15"/>
        <v>2937.8555797920008</v>
      </c>
      <c r="E23" s="21">
        <f t="shared" si="15"/>
        <v>2362.715437247999</v>
      </c>
      <c r="F23" s="21">
        <f t="shared" si="15"/>
        <v>2238.8182333439972</v>
      </c>
      <c r="G23" s="21">
        <f t="shared" si="15"/>
        <v>1943.7282719999998</v>
      </c>
      <c r="H23" s="21">
        <f t="shared" si="15"/>
        <v>936.5103312739996</v>
      </c>
      <c r="I23" s="21">
        <f t="shared" si="15"/>
        <v>489.58835184000077</v>
      </c>
      <c r="J23" s="21">
        <f t="shared" si="15"/>
        <v>312.28039295999974</v>
      </c>
      <c r="K23" s="21">
        <f t="shared" si="15"/>
        <v>981.1100105952003</v>
      </c>
      <c r="L23" s="21">
        <f t="shared" si="15"/>
        <v>1384.89859296</v>
      </c>
      <c r="M23" s="21">
        <f t="shared" si="15"/>
        <v>1487.4909007679994</v>
      </c>
      <c r="N23" s="21">
        <f>SUM(B23:M23)</f>
        <v>18732.409304611196</v>
      </c>
    </row>
    <row r="24" spans="1:14" ht="12.75">
      <c r="A24" t="s">
        <v>26</v>
      </c>
      <c r="B24" s="21">
        <f aca="true" t="shared" si="16" ref="B24:M24">B18*B$50*B$47</f>
        <v>0</v>
      </c>
      <c r="C24" s="21">
        <f t="shared" si="16"/>
        <v>0</v>
      </c>
      <c r="D24" s="21">
        <f t="shared" si="16"/>
        <v>0</v>
      </c>
      <c r="E24" s="21">
        <f t="shared" si="16"/>
        <v>0</v>
      </c>
      <c r="F24" s="21">
        <f t="shared" si="16"/>
        <v>0</v>
      </c>
      <c r="G24" s="21">
        <f t="shared" si="16"/>
        <v>0</v>
      </c>
      <c r="H24" s="21">
        <f t="shared" si="16"/>
        <v>0</v>
      </c>
      <c r="I24" s="21">
        <f t="shared" si="16"/>
        <v>0</v>
      </c>
      <c r="J24" s="21">
        <f t="shared" si="16"/>
        <v>0</v>
      </c>
      <c r="K24" s="21">
        <f t="shared" si="16"/>
        <v>0</v>
      </c>
      <c r="L24" s="21">
        <f t="shared" si="16"/>
        <v>0</v>
      </c>
      <c r="M24" s="21">
        <f t="shared" si="16"/>
        <v>0</v>
      </c>
      <c r="N24" s="21">
        <f>SUM(B24:M24)</f>
        <v>0</v>
      </c>
    </row>
    <row r="25" spans="2:14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>
        <f>N23+N24</f>
        <v>18732.409304611196</v>
      </c>
    </row>
    <row r="26" ht="12.75">
      <c r="A26" s="3" t="s">
        <v>25</v>
      </c>
    </row>
    <row r="27" spans="1:14" ht="12.75">
      <c r="A27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">
        <f>100/N42</f>
        <v>0.0139858509807578</v>
      </c>
    </row>
    <row r="28" spans="1:14" ht="12.75">
      <c r="A28" t="s">
        <v>14</v>
      </c>
      <c r="B28" s="9">
        <f>B4</f>
        <v>100.68579999999999</v>
      </c>
      <c r="C28" s="9">
        <f aca="true" t="shared" si="17" ref="C28:M28">C4</f>
        <v>115.61</v>
      </c>
      <c r="D28" s="9">
        <f t="shared" si="17"/>
        <v>129.69340000000003</v>
      </c>
      <c r="E28" s="9">
        <f t="shared" si="17"/>
        <v>129.90359999999998</v>
      </c>
      <c r="F28" s="9">
        <f t="shared" si="17"/>
        <v>126.33019999999995</v>
      </c>
      <c r="G28" s="9">
        <f t="shared" si="17"/>
        <v>114.559</v>
      </c>
      <c r="H28" s="9">
        <f t="shared" si="17"/>
        <v>101.10619999999999</v>
      </c>
      <c r="I28" s="9">
        <f t="shared" si="17"/>
        <v>88.91460000000002</v>
      </c>
      <c r="J28" s="9">
        <f t="shared" si="17"/>
        <v>84.50039999999998</v>
      </c>
      <c r="K28" s="9">
        <f t="shared" si="17"/>
        <v>87.98972</v>
      </c>
      <c r="L28" s="9">
        <f t="shared" si="17"/>
        <v>91.2268</v>
      </c>
      <c r="M28" s="9">
        <f t="shared" si="17"/>
        <v>90.68027999999998</v>
      </c>
      <c r="N28" s="2">
        <f>AVERAGE(B28:M28)</f>
        <v>105.09999999999998</v>
      </c>
    </row>
    <row r="29" spans="1:14" ht="12.75">
      <c r="A29" t="s">
        <v>15</v>
      </c>
      <c r="B29" s="4">
        <f aca="true" t="shared" si="18" ref="B29:M29">ROUND(B42*$N27,1)</f>
        <v>98</v>
      </c>
      <c r="C29" s="4">
        <f t="shared" si="18"/>
        <v>112</v>
      </c>
      <c r="D29" s="4">
        <f t="shared" si="18"/>
        <v>110</v>
      </c>
      <c r="E29" s="4">
        <f t="shared" si="18"/>
        <v>87.8</v>
      </c>
      <c r="F29" s="4">
        <f t="shared" si="18"/>
        <v>90.6</v>
      </c>
      <c r="G29" s="4">
        <f t="shared" si="18"/>
        <v>95</v>
      </c>
      <c r="H29" s="4">
        <f t="shared" si="18"/>
        <v>88</v>
      </c>
      <c r="I29" s="4">
        <f t="shared" si="18"/>
        <v>87.8</v>
      </c>
      <c r="J29" s="4">
        <f t="shared" si="18"/>
        <v>116.3</v>
      </c>
      <c r="K29" s="4">
        <f t="shared" si="18"/>
        <v>115.4</v>
      </c>
      <c r="L29" s="4">
        <f t="shared" si="18"/>
        <v>107.6</v>
      </c>
      <c r="M29" s="4">
        <f t="shared" si="18"/>
        <v>91.6</v>
      </c>
      <c r="N29" s="2">
        <f>AVERAGE(B29:M29)</f>
        <v>100.00833333333331</v>
      </c>
    </row>
    <row r="30" spans="1:14" ht="12.75">
      <c r="A30" t="s">
        <v>22</v>
      </c>
      <c r="B30" s="9">
        <f>-MIN(B29-B28,0)</f>
        <v>2.685799999999986</v>
      </c>
      <c r="C30" s="9">
        <f aca="true" t="shared" si="19" ref="C30:M30">-MIN(C29-C28,0)</f>
        <v>3.6099999999999994</v>
      </c>
      <c r="D30" s="9">
        <f t="shared" si="19"/>
        <v>19.693400000000025</v>
      </c>
      <c r="E30" s="9">
        <f t="shared" si="19"/>
        <v>42.103599999999986</v>
      </c>
      <c r="F30" s="9">
        <f t="shared" si="19"/>
        <v>35.730199999999954</v>
      </c>
      <c r="G30" s="9">
        <f t="shared" si="19"/>
        <v>19.558999999999997</v>
      </c>
      <c r="H30" s="9">
        <f t="shared" si="19"/>
        <v>13.106199999999987</v>
      </c>
      <c r="I30" s="9">
        <f t="shared" si="19"/>
        <v>1.1146000000000242</v>
      </c>
      <c r="J30" s="9">
        <f t="shared" si="19"/>
        <v>0</v>
      </c>
      <c r="K30" s="9">
        <f t="shared" si="19"/>
        <v>0</v>
      </c>
      <c r="L30" s="9">
        <f t="shared" si="19"/>
        <v>0</v>
      </c>
      <c r="M30" s="9">
        <f t="shared" si="19"/>
        <v>0</v>
      </c>
      <c r="N30" s="2">
        <f>AVERAGE(B30:M30)</f>
        <v>11.466899999999997</v>
      </c>
    </row>
    <row r="31" spans="1:14" ht="12.75">
      <c r="A31" t="s">
        <v>16</v>
      </c>
      <c r="B31" s="4">
        <f>MAX(B28-B29-B30,0)</f>
        <v>0</v>
      </c>
      <c r="C31" s="4">
        <f aca="true" t="shared" si="20" ref="C31:M31">MAX(C28-C29-C30,0)</f>
        <v>0</v>
      </c>
      <c r="D31" s="4">
        <f t="shared" si="20"/>
        <v>0</v>
      </c>
      <c r="E31" s="4">
        <f t="shared" si="20"/>
        <v>0</v>
      </c>
      <c r="F31" s="4">
        <f t="shared" si="20"/>
        <v>0</v>
      </c>
      <c r="G31" s="4">
        <f t="shared" si="20"/>
        <v>0</v>
      </c>
      <c r="H31" s="4">
        <f t="shared" si="20"/>
        <v>0</v>
      </c>
      <c r="I31" s="4">
        <f t="shared" si="20"/>
        <v>0</v>
      </c>
      <c r="J31" s="4">
        <f t="shared" si="20"/>
        <v>0</v>
      </c>
      <c r="K31" s="4">
        <f t="shared" si="20"/>
        <v>0</v>
      </c>
      <c r="L31" s="4">
        <f t="shared" si="20"/>
        <v>0</v>
      </c>
      <c r="M31" s="4">
        <f t="shared" si="20"/>
        <v>0</v>
      </c>
      <c r="N31" s="2">
        <f>AVERAGE(B31:M31)</f>
        <v>0</v>
      </c>
    </row>
    <row r="32" ht="12.75">
      <c r="A32" s="14" t="s">
        <v>53</v>
      </c>
    </row>
    <row r="33" spans="1:14" ht="12.75">
      <c r="A33" t="s">
        <v>15</v>
      </c>
      <c r="B33" s="21">
        <f aca="true" t="shared" si="21" ref="B33:M33">B29*B$50*B$48</f>
        <v>1249.2011</v>
      </c>
      <c r="C33" s="21">
        <f t="shared" si="21"/>
        <v>2030.5152</v>
      </c>
      <c r="D33" s="21">
        <f t="shared" si="21"/>
        <v>2303.796</v>
      </c>
      <c r="E33" s="21">
        <f t="shared" si="21"/>
        <v>1443.64272</v>
      </c>
      <c r="F33" s="21">
        <f t="shared" si="21"/>
        <v>1462.9363199999998</v>
      </c>
      <c r="G33" s="21">
        <f t="shared" si="21"/>
        <v>1475.7983999999997</v>
      </c>
      <c r="H33" s="21">
        <f t="shared" si="21"/>
        <v>709.27912</v>
      </c>
      <c r="I33" s="21">
        <f t="shared" si="21"/>
        <v>390.632736</v>
      </c>
      <c r="J33" s="21">
        <f t="shared" si="21"/>
        <v>318.19679999999994</v>
      </c>
      <c r="K33" s="21">
        <f t="shared" si="21"/>
        <v>1096.401552</v>
      </c>
      <c r="L33" s="21">
        <f t="shared" si="21"/>
        <v>1455.388992</v>
      </c>
      <c r="M33" s="21">
        <f t="shared" si="21"/>
        <v>1392.2467199999999</v>
      </c>
      <c r="N33" s="21">
        <f>SUM(B33:M33)</f>
        <v>15328.035659999996</v>
      </c>
    </row>
    <row r="34" spans="1:14" ht="12.75">
      <c r="A34" t="s">
        <v>16</v>
      </c>
      <c r="B34" s="21">
        <f aca="true" t="shared" si="22" ref="B34:M34">B31*B$50*B$47</f>
        <v>0</v>
      </c>
      <c r="C34" s="21">
        <f t="shared" si="22"/>
        <v>0</v>
      </c>
      <c r="D34" s="21">
        <f t="shared" si="22"/>
        <v>0</v>
      </c>
      <c r="E34" s="21">
        <f t="shared" si="22"/>
        <v>0</v>
      </c>
      <c r="F34" s="21">
        <f t="shared" si="22"/>
        <v>0</v>
      </c>
      <c r="G34" s="21">
        <f t="shared" si="22"/>
        <v>0</v>
      </c>
      <c r="H34" s="21">
        <f t="shared" si="22"/>
        <v>0</v>
      </c>
      <c r="I34" s="21">
        <f t="shared" si="22"/>
        <v>0</v>
      </c>
      <c r="J34" s="21">
        <f t="shared" si="22"/>
        <v>0</v>
      </c>
      <c r="K34" s="21">
        <f t="shared" si="22"/>
        <v>0</v>
      </c>
      <c r="L34" s="21">
        <f t="shared" si="22"/>
        <v>0</v>
      </c>
      <c r="M34" s="21">
        <f t="shared" si="22"/>
        <v>0</v>
      </c>
      <c r="N34" s="21">
        <f>SUM(B34:M34)</f>
        <v>0</v>
      </c>
    </row>
    <row r="35" spans="1:14" ht="12.75">
      <c r="A35" t="s">
        <v>23</v>
      </c>
      <c r="B35" s="21">
        <f aca="true" t="shared" si="23" ref="B35:M35">SUM(B33:B34)</f>
        <v>1249.2011</v>
      </c>
      <c r="C35" s="21">
        <f t="shared" si="23"/>
        <v>2030.5152</v>
      </c>
      <c r="D35" s="21">
        <f t="shared" si="23"/>
        <v>2303.796</v>
      </c>
      <c r="E35" s="21">
        <f t="shared" si="23"/>
        <v>1443.64272</v>
      </c>
      <c r="F35" s="21">
        <f t="shared" si="23"/>
        <v>1462.9363199999998</v>
      </c>
      <c r="G35" s="21">
        <f t="shared" si="23"/>
        <v>1475.7983999999997</v>
      </c>
      <c r="H35" s="21">
        <f t="shared" si="23"/>
        <v>709.27912</v>
      </c>
      <c r="I35" s="21">
        <f t="shared" si="23"/>
        <v>390.632736</v>
      </c>
      <c r="J35" s="21">
        <f t="shared" si="23"/>
        <v>318.19679999999994</v>
      </c>
      <c r="K35" s="21">
        <f t="shared" si="23"/>
        <v>1096.401552</v>
      </c>
      <c r="L35" s="21">
        <f t="shared" si="23"/>
        <v>1455.388992</v>
      </c>
      <c r="M35" s="21">
        <f t="shared" si="23"/>
        <v>1392.2467199999999</v>
      </c>
      <c r="N35" s="21">
        <f>SUM(B35:M35)</f>
        <v>15328.035659999996</v>
      </c>
    </row>
    <row r="36" spans="1:14" ht="12.75">
      <c r="A36" t="s">
        <v>26</v>
      </c>
      <c r="B36" s="21">
        <f aca="true" t="shared" si="24" ref="B36:M36">(B30*B$50*B$47)-MAX(B29-B28,0)*B$50*B$47</f>
        <v>100.50626182999947</v>
      </c>
      <c r="C36" s="21">
        <f t="shared" si="24"/>
        <v>151.53335999999996</v>
      </c>
      <c r="D36" s="21">
        <f t="shared" si="24"/>
        <v>897.7212757920012</v>
      </c>
      <c r="E36" s="21">
        <f t="shared" si="24"/>
        <v>1729.7708292479992</v>
      </c>
      <c r="F36" s="21">
        <f t="shared" si="24"/>
        <v>1400.5781053439982</v>
      </c>
      <c r="G36" s="21">
        <f t="shared" si="24"/>
        <v>785.8023839999998</v>
      </c>
      <c r="H36" s="21">
        <f t="shared" si="24"/>
        <v>417.73745127399957</v>
      </c>
      <c r="I36" s="21">
        <f t="shared" si="24"/>
        <v>32.424159840000705</v>
      </c>
      <c r="J36" s="21">
        <f t="shared" si="24"/>
        <v>-845.3096870400003</v>
      </c>
      <c r="K36" s="21">
        <f t="shared" si="24"/>
        <v>-935.8461654048001</v>
      </c>
      <c r="L36" s="21">
        <f t="shared" si="24"/>
        <v>-624.9191990399999</v>
      </c>
      <c r="M36" s="21">
        <f t="shared" si="24"/>
        <v>-35.91101923200048</v>
      </c>
      <c r="N36" s="21">
        <f>SUM(B36:M36)</f>
        <v>3074.0877566111976</v>
      </c>
    </row>
    <row r="37" spans="2:14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>
        <f>N35+N36</f>
        <v>18402.123416611194</v>
      </c>
    </row>
    <row r="39" spans="1:14" ht="12.75">
      <c r="A39" s="3" t="s">
        <v>24</v>
      </c>
      <c r="C39" s="8" t="s">
        <v>27</v>
      </c>
      <c r="D39" t="str">
        <f>CHOOSE(E39,A57,A58,A59,A60,A61,A62)</f>
        <v>Winter Peaking</v>
      </c>
      <c r="E39" s="10">
        <v>1</v>
      </c>
      <c r="G39" t="b">
        <v>1</v>
      </c>
      <c r="I39" s="26">
        <f>(1+E40)^(H40-2010)</f>
        <v>1.0510100501</v>
      </c>
      <c r="K39" t="b">
        <v>1</v>
      </c>
      <c r="N39" s="27" t="s">
        <v>52</v>
      </c>
    </row>
    <row r="40" spans="1:14" ht="19.5" customHeight="1">
      <c r="A40" s="3"/>
      <c r="B40" s="16"/>
      <c r="C40" s="16"/>
      <c r="D40" s="17" t="s">
        <v>37</v>
      </c>
      <c r="E40" s="18">
        <v>0.01</v>
      </c>
      <c r="F40" s="16"/>
      <c r="G40" s="17" t="s">
        <v>38</v>
      </c>
      <c r="H40" s="19">
        <v>2015</v>
      </c>
      <c r="I40" s="11"/>
      <c r="K40" t="b">
        <v>0</v>
      </c>
      <c r="N40" s="28">
        <v>16</v>
      </c>
    </row>
    <row r="41" spans="1:16" ht="12.75">
      <c r="A41" s="3"/>
      <c r="C41" s="8"/>
      <c r="E41" s="10"/>
      <c r="H41" s="8"/>
      <c r="I41" s="11"/>
      <c r="P41" s="15"/>
    </row>
    <row r="42" spans="1:16" ht="12.75">
      <c r="A42" t="s">
        <v>19</v>
      </c>
      <c r="B42" s="4">
        <v>7005</v>
      </c>
      <c r="C42" s="4">
        <v>8005</v>
      </c>
      <c r="D42" s="4">
        <v>7863</v>
      </c>
      <c r="E42" s="4">
        <v>6275</v>
      </c>
      <c r="F42" s="4">
        <v>6480</v>
      </c>
      <c r="G42" s="4">
        <v>6790</v>
      </c>
      <c r="H42" s="4">
        <v>6292</v>
      </c>
      <c r="I42" s="4">
        <v>6275</v>
      </c>
      <c r="J42" s="4">
        <v>8318</v>
      </c>
      <c r="K42" s="4">
        <v>8250</v>
      </c>
      <c r="L42" s="4">
        <v>7695</v>
      </c>
      <c r="M42" s="4">
        <v>6553</v>
      </c>
      <c r="N42" s="4">
        <f aca="true" t="shared" si="25" ref="N42:N47">AVERAGE(B42:M42)</f>
        <v>7150.083333333333</v>
      </c>
      <c r="P42" s="15"/>
    </row>
    <row r="43" spans="1:16" ht="12.75">
      <c r="A43" t="s">
        <v>30</v>
      </c>
      <c r="B43" s="4">
        <f>B68</f>
        <v>5031.3</v>
      </c>
      <c r="C43" s="4">
        <f aca="true" t="shared" si="26" ref="C43:M43">C68</f>
        <v>5757.6</v>
      </c>
      <c r="D43" s="4">
        <f t="shared" si="26"/>
        <v>6336.4</v>
      </c>
      <c r="E43" s="4">
        <f t="shared" si="26"/>
        <v>6448.2</v>
      </c>
      <c r="F43" s="4">
        <f t="shared" si="26"/>
        <v>6366.1</v>
      </c>
      <c r="G43" s="4">
        <f t="shared" si="26"/>
        <v>5703.2</v>
      </c>
      <c r="H43" s="4">
        <f t="shared" si="26"/>
        <v>5254</v>
      </c>
      <c r="I43" s="4">
        <f t="shared" si="26"/>
        <v>4963.1</v>
      </c>
      <c r="J43" s="4">
        <f t="shared" si="26"/>
        <v>5243.1</v>
      </c>
      <c r="K43" s="4">
        <f t="shared" si="26"/>
        <v>5167.9</v>
      </c>
      <c r="L43" s="4">
        <f t="shared" si="26"/>
        <v>5141.2</v>
      </c>
      <c r="M43" s="4">
        <f t="shared" si="26"/>
        <v>4974.9</v>
      </c>
      <c r="N43" s="4">
        <f t="shared" si="25"/>
        <v>5532.25</v>
      </c>
      <c r="P43" s="15"/>
    </row>
    <row r="44" spans="1:16" ht="12.75">
      <c r="A44" t="s">
        <v>31</v>
      </c>
      <c r="B44" s="4">
        <v>5085</v>
      </c>
      <c r="C44" s="4">
        <v>5819</v>
      </c>
      <c r="D44" s="4">
        <v>6404</v>
      </c>
      <c r="E44" s="4">
        <v>6517</v>
      </c>
      <c r="F44" s="4">
        <v>6434</v>
      </c>
      <c r="G44" s="4">
        <v>5764</v>
      </c>
      <c r="H44" s="4">
        <v>5310</v>
      </c>
      <c r="I44" s="4">
        <v>5016</v>
      </c>
      <c r="J44" s="4">
        <v>5299</v>
      </c>
      <c r="K44" s="4">
        <v>5223</v>
      </c>
      <c r="L44" s="4">
        <v>5196</v>
      </c>
      <c r="M44" s="4">
        <v>5028</v>
      </c>
      <c r="N44" s="4">
        <f t="shared" si="25"/>
        <v>5591.25</v>
      </c>
      <c r="P44" s="15"/>
    </row>
    <row r="45" spans="1:16" ht="12.75">
      <c r="A45" t="s">
        <v>32</v>
      </c>
      <c r="B45" s="4">
        <v>5185</v>
      </c>
      <c r="C45" s="4">
        <v>5934</v>
      </c>
      <c r="D45" s="4">
        <v>6529</v>
      </c>
      <c r="E45" s="4">
        <v>6640</v>
      </c>
      <c r="F45" s="4">
        <v>6562</v>
      </c>
      <c r="G45" s="4">
        <v>5873</v>
      </c>
      <c r="H45" s="4">
        <v>5424</v>
      </c>
      <c r="I45" s="4">
        <v>5135</v>
      </c>
      <c r="J45" s="4">
        <v>5429</v>
      </c>
      <c r="K45" s="4">
        <v>5348</v>
      </c>
      <c r="L45" s="4">
        <v>5311</v>
      </c>
      <c r="M45" s="4">
        <v>5127</v>
      </c>
      <c r="N45" s="4">
        <f t="shared" si="25"/>
        <v>5708.083333333333</v>
      </c>
      <c r="P45" s="15"/>
    </row>
    <row r="46" spans="1:16" ht="12.75">
      <c r="A46" t="s">
        <v>33</v>
      </c>
      <c r="B46" s="4">
        <v>5042</v>
      </c>
      <c r="C46" s="4">
        <v>5679</v>
      </c>
      <c r="D46" s="4">
        <v>6084</v>
      </c>
      <c r="E46" s="4">
        <v>4976</v>
      </c>
      <c r="F46" s="4">
        <v>4738</v>
      </c>
      <c r="G46" s="4">
        <v>5229</v>
      </c>
      <c r="H46" s="4">
        <v>4707</v>
      </c>
      <c r="I46" s="4">
        <v>4797</v>
      </c>
      <c r="J46" s="4">
        <v>5404</v>
      </c>
      <c r="K46" s="4">
        <v>5077</v>
      </c>
      <c r="L46" s="4">
        <v>5311</v>
      </c>
      <c r="M46" s="4">
        <v>4682</v>
      </c>
      <c r="N46" s="4">
        <f t="shared" si="25"/>
        <v>5143.833333333333</v>
      </c>
      <c r="P46" s="15"/>
    </row>
    <row r="47" spans="1:16" ht="12.75">
      <c r="A47" t="s">
        <v>20</v>
      </c>
      <c r="B47" s="29">
        <v>50.23</v>
      </c>
      <c r="C47" s="29">
        <v>58.3</v>
      </c>
      <c r="D47" s="29">
        <v>61.27</v>
      </c>
      <c r="E47" s="29">
        <v>55.22</v>
      </c>
      <c r="F47" s="29">
        <v>56.32</v>
      </c>
      <c r="G47" s="29">
        <v>54</v>
      </c>
      <c r="H47" s="29">
        <v>44.33</v>
      </c>
      <c r="I47" s="29">
        <v>39.1</v>
      </c>
      <c r="J47" s="29">
        <v>36.92</v>
      </c>
      <c r="K47" s="29">
        <v>45.89</v>
      </c>
      <c r="L47" s="29">
        <v>51.3</v>
      </c>
      <c r="M47" s="29">
        <v>54.23</v>
      </c>
      <c r="N47" s="5">
        <f t="shared" si="25"/>
        <v>50.5925</v>
      </c>
      <c r="P47" s="15"/>
    </row>
    <row r="48" spans="1:16" ht="12.75">
      <c r="A48" t="s">
        <v>36</v>
      </c>
      <c r="B48" s="13">
        <f aca="true" t="shared" si="27" ref="B48:M48">ROUND(B47-($N47-($N40-$N102/($N44*$N50))),2)</f>
        <v>17.11</v>
      </c>
      <c r="C48" s="13">
        <f t="shared" si="27"/>
        <v>25.18</v>
      </c>
      <c r="D48" s="13">
        <f t="shared" si="27"/>
        <v>28.15</v>
      </c>
      <c r="E48" s="13">
        <f t="shared" si="27"/>
        <v>22.1</v>
      </c>
      <c r="F48" s="13">
        <f t="shared" si="27"/>
        <v>23.2</v>
      </c>
      <c r="G48" s="13">
        <f t="shared" si="27"/>
        <v>20.88</v>
      </c>
      <c r="H48" s="13">
        <f t="shared" si="27"/>
        <v>11.21</v>
      </c>
      <c r="I48" s="13">
        <f t="shared" si="27"/>
        <v>5.98</v>
      </c>
      <c r="J48" s="13">
        <f t="shared" si="27"/>
        <v>3.8</v>
      </c>
      <c r="K48" s="13">
        <f t="shared" si="27"/>
        <v>12.77</v>
      </c>
      <c r="L48" s="13">
        <f t="shared" si="27"/>
        <v>18.18</v>
      </c>
      <c r="M48" s="13">
        <f t="shared" si="27"/>
        <v>21.11</v>
      </c>
      <c r="N48" s="13">
        <f>AVERAGE(B48:M48)</f>
        <v>17.4725</v>
      </c>
      <c r="P48" s="15"/>
    </row>
    <row r="49" spans="1:16" ht="12.75">
      <c r="A49" t="s">
        <v>36</v>
      </c>
      <c r="B49" s="13">
        <f aca="true" t="shared" si="28" ref="B49:M49">ROUND(B47-($N47-($N40-$N107/($N44*$N50))),2)</f>
        <v>16.1</v>
      </c>
      <c r="C49" s="13">
        <f t="shared" si="28"/>
        <v>24.17</v>
      </c>
      <c r="D49" s="13">
        <f t="shared" si="28"/>
        <v>27.14</v>
      </c>
      <c r="E49" s="13">
        <f t="shared" si="28"/>
        <v>21.09</v>
      </c>
      <c r="F49" s="13">
        <f t="shared" si="28"/>
        <v>22.19</v>
      </c>
      <c r="G49" s="13">
        <f t="shared" si="28"/>
        <v>19.87</v>
      </c>
      <c r="H49" s="13">
        <f t="shared" si="28"/>
        <v>10.2</v>
      </c>
      <c r="I49" s="13">
        <f t="shared" si="28"/>
        <v>4.97</v>
      </c>
      <c r="J49" s="13">
        <f t="shared" si="28"/>
        <v>2.79</v>
      </c>
      <c r="K49" s="13">
        <f t="shared" si="28"/>
        <v>11.76</v>
      </c>
      <c r="L49" s="13">
        <f t="shared" si="28"/>
        <v>17.17</v>
      </c>
      <c r="M49" s="13">
        <f t="shared" si="28"/>
        <v>20.1</v>
      </c>
      <c r="N49" s="13">
        <f>AVERAGE(B49:M49)</f>
        <v>16.4625</v>
      </c>
      <c r="P49" s="15"/>
    </row>
    <row r="50" spans="1:16" ht="12.75">
      <c r="A50" t="s">
        <v>21</v>
      </c>
      <c r="B50">
        <v>0.745</v>
      </c>
      <c r="C50">
        <v>0.72</v>
      </c>
      <c r="D50">
        <v>0.744</v>
      </c>
      <c r="E50">
        <v>0.744</v>
      </c>
      <c r="F50">
        <v>0.696</v>
      </c>
      <c r="G50">
        <v>0.744</v>
      </c>
      <c r="H50">
        <v>0.719</v>
      </c>
      <c r="I50">
        <v>0.744</v>
      </c>
      <c r="J50">
        <v>0.72</v>
      </c>
      <c r="K50">
        <v>0.744</v>
      </c>
      <c r="L50">
        <v>0.744</v>
      </c>
      <c r="M50">
        <v>0.72</v>
      </c>
      <c r="N50">
        <f>SUM(B50:M50)</f>
        <v>8.783999999999999</v>
      </c>
      <c r="P50" s="15"/>
    </row>
    <row r="51" ht="12.75">
      <c r="P51" s="15"/>
    </row>
    <row r="53" spans="1:14" ht="12.75">
      <c r="A53" t="s">
        <v>29</v>
      </c>
      <c r="B53" s="4">
        <f>$N53*B73</f>
        <v>100.68579999999999</v>
      </c>
      <c r="C53" s="4">
        <f aca="true" t="shared" si="29" ref="C53:M53">$N53*C73</f>
        <v>115.61</v>
      </c>
      <c r="D53" s="4">
        <f t="shared" si="29"/>
        <v>129.69340000000003</v>
      </c>
      <c r="E53" s="4">
        <f t="shared" si="29"/>
        <v>129.90359999999998</v>
      </c>
      <c r="F53" s="4">
        <f t="shared" si="29"/>
        <v>126.33019999999995</v>
      </c>
      <c r="G53" s="4">
        <f t="shared" si="29"/>
        <v>114.559</v>
      </c>
      <c r="H53" s="4">
        <f t="shared" si="29"/>
        <v>101.10619999999999</v>
      </c>
      <c r="I53" s="4">
        <f t="shared" si="29"/>
        <v>88.91460000000002</v>
      </c>
      <c r="J53" s="4">
        <f t="shared" si="29"/>
        <v>84.50039999999998</v>
      </c>
      <c r="K53" s="4">
        <f t="shared" si="29"/>
        <v>87.98972</v>
      </c>
      <c r="L53" s="4">
        <f t="shared" si="29"/>
        <v>91.2268</v>
      </c>
      <c r="M53" s="4">
        <f t="shared" si="29"/>
        <v>90.68027999999998</v>
      </c>
      <c r="N53" s="4">
        <f>ROUND(VLOOKUP($D39,$A$57:$N$62,N$55,FALSE)*$I39,1)</f>
        <v>105.1</v>
      </c>
    </row>
    <row r="54" spans="1:14" ht="12.75">
      <c r="A54" t="s">
        <v>12</v>
      </c>
      <c r="B54" s="4">
        <f>ROUND(VLOOKUP($D39,$A$57:$N$62,2,FALSE),1)</f>
        <v>97</v>
      </c>
      <c r="C54" s="4">
        <f>ROUND(VLOOKUP($D39,$A$57:$N$62,3,FALSE),1)</f>
        <v>110</v>
      </c>
      <c r="D54" s="4">
        <f>ROUND(VLOOKUP($D39,$A$57:$N$62,4,FALSE),1)</f>
        <v>122</v>
      </c>
      <c r="E54" s="4">
        <f>ROUND(VLOOKUP($D39,$A$57:$N$62,5,FALSE),1)</f>
        <v>122</v>
      </c>
      <c r="F54" s="4">
        <f>ROUND(VLOOKUP($D39,$A$57:$N$62,6,FALSE),1)</f>
        <v>119</v>
      </c>
      <c r="G54" s="4">
        <f>ROUND(VLOOKUP($D39,$A$57:$N$62,7,FALSE),1)</f>
        <v>109</v>
      </c>
      <c r="H54" s="4">
        <f>ROUND(VLOOKUP($D39,$A$57:$N$62,8,FALSE),1)</f>
        <v>97</v>
      </c>
      <c r="I54" s="4">
        <f>ROUND(VLOOKUP($D39,$A$57:$N$62,9,FALSE),1)</f>
        <v>86</v>
      </c>
      <c r="J54" s="4">
        <f>ROUND(VLOOKUP($D39,$A$57:$N$62,10,FALSE),1)</f>
        <v>82</v>
      </c>
      <c r="K54" s="4">
        <f>ROUND(VLOOKUP($D39,$A$57:$N$62,11,FALSE),1)</f>
        <v>83</v>
      </c>
      <c r="L54" s="4">
        <f>ROUND(VLOOKUP($D39,$A$57:$N$62,12,FALSE),1)</f>
        <v>86</v>
      </c>
      <c r="M54" s="4">
        <f>ROUND(VLOOKUP($D39,$A$57:$N$62,13,FALSE),1)</f>
        <v>87</v>
      </c>
      <c r="N54" s="4">
        <f>AVERAGE(B54:M54)</f>
        <v>100</v>
      </c>
    </row>
    <row r="55" spans="2:14" ht="12.75">
      <c r="B55">
        <v>2</v>
      </c>
      <c r="C55">
        <v>3</v>
      </c>
      <c r="D55">
        <v>4</v>
      </c>
      <c r="E55">
        <v>5</v>
      </c>
      <c r="F55">
        <v>6</v>
      </c>
      <c r="G55">
        <v>7</v>
      </c>
      <c r="H55">
        <v>8</v>
      </c>
      <c r="I55">
        <v>9</v>
      </c>
      <c r="J55">
        <v>10</v>
      </c>
      <c r="K55">
        <v>11</v>
      </c>
      <c r="L55">
        <v>12</v>
      </c>
      <c r="M55">
        <v>13</v>
      </c>
      <c r="N55">
        <v>14</v>
      </c>
    </row>
    <row r="56" spans="1:17" ht="12.75">
      <c r="A56" s="3" t="s">
        <v>35</v>
      </c>
      <c r="Q56" s="15"/>
    </row>
    <row r="57" spans="1:17" ht="12.75">
      <c r="A57" t="s">
        <v>57</v>
      </c>
      <c r="B57">
        <v>97</v>
      </c>
      <c r="C57">
        <v>110</v>
      </c>
      <c r="D57">
        <v>122</v>
      </c>
      <c r="E57">
        <v>122</v>
      </c>
      <c r="F57">
        <v>119</v>
      </c>
      <c r="G57">
        <v>109</v>
      </c>
      <c r="H57">
        <v>97</v>
      </c>
      <c r="I57">
        <v>86</v>
      </c>
      <c r="J57">
        <v>82</v>
      </c>
      <c r="K57">
        <v>83</v>
      </c>
      <c r="L57">
        <v>86</v>
      </c>
      <c r="M57">
        <v>87</v>
      </c>
      <c r="N57" s="4">
        <f aca="true" t="shared" si="30" ref="N57:N62">AVERAGE(B57:M57)</f>
        <v>100</v>
      </c>
      <c r="Q57" s="15"/>
    </row>
    <row r="58" spans="1:17" ht="12.75">
      <c r="A58" t="s">
        <v>58</v>
      </c>
      <c r="B58">
        <v>93</v>
      </c>
      <c r="C58">
        <v>84</v>
      </c>
      <c r="D58">
        <v>93</v>
      </c>
      <c r="E58">
        <v>93</v>
      </c>
      <c r="F58">
        <v>85</v>
      </c>
      <c r="G58">
        <v>73</v>
      </c>
      <c r="H58">
        <v>86</v>
      </c>
      <c r="I58">
        <v>100</v>
      </c>
      <c r="J58">
        <v>120</v>
      </c>
      <c r="K58">
        <v>135</v>
      </c>
      <c r="L58">
        <v>128</v>
      </c>
      <c r="M58">
        <v>109</v>
      </c>
      <c r="N58" s="4">
        <f t="shared" si="30"/>
        <v>99.91666666666667</v>
      </c>
      <c r="Q58" s="15"/>
    </row>
    <row r="59" spans="1:17" ht="12.75">
      <c r="A59" t="s">
        <v>28</v>
      </c>
      <c r="B59">
        <v>87</v>
      </c>
      <c r="C59">
        <v>116</v>
      </c>
      <c r="D59">
        <v>126</v>
      </c>
      <c r="E59">
        <v>131</v>
      </c>
      <c r="F59">
        <v>130</v>
      </c>
      <c r="G59">
        <v>103</v>
      </c>
      <c r="H59">
        <v>93</v>
      </c>
      <c r="I59">
        <v>77</v>
      </c>
      <c r="J59">
        <v>78</v>
      </c>
      <c r="K59">
        <v>83</v>
      </c>
      <c r="L59">
        <v>87</v>
      </c>
      <c r="M59">
        <v>89</v>
      </c>
      <c r="N59" s="4">
        <f t="shared" si="30"/>
        <v>100</v>
      </c>
      <c r="Q59" s="15"/>
    </row>
    <row r="60" spans="1:17" ht="12.75">
      <c r="A60" t="s">
        <v>34</v>
      </c>
      <c r="B60">
        <v>100</v>
      </c>
      <c r="C60">
        <v>100</v>
      </c>
      <c r="D60">
        <v>100</v>
      </c>
      <c r="E60">
        <v>100</v>
      </c>
      <c r="F60">
        <v>100</v>
      </c>
      <c r="G60">
        <v>100</v>
      </c>
      <c r="H60">
        <v>100</v>
      </c>
      <c r="I60">
        <v>100</v>
      </c>
      <c r="J60">
        <v>100</v>
      </c>
      <c r="K60">
        <v>100</v>
      </c>
      <c r="L60">
        <v>100</v>
      </c>
      <c r="M60">
        <v>100</v>
      </c>
      <c r="N60" s="4">
        <f t="shared" si="30"/>
        <v>100</v>
      </c>
      <c r="Q60" s="15"/>
    </row>
    <row r="61" spans="1:17" ht="12.75">
      <c r="A61" t="s">
        <v>44</v>
      </c>
      <c r="B61">
        <v>52</v>
      </c>
      <c r="C61">
        <v>40</v>
      </c>
      <c r="D61">
        <v>43</v>
      </c>
      <c r="E61">
        <v>43</v>
      </c>
      <c r="F61">
        <v>41</v>
      </c>
      <c r="G61">
        <v>38</v>
      </c>
      <c r="H61">
        <v>87</v>
      </c>
      <c r="I61">
        <v>167</v>
      </c>
      <c r="J61">
        <v>183</v>
      </c>
      <c r="K61">
        <v>203</v>
      </c>
      <c r="L61">
        <v>184</v>
      </c>
      <c r="M61">
        <v>119</v>
      </c>
      <c r="N61" s="4">
        <f t="shared" si="30"/>
        <v>100</v>
      </c>
      <c r="Q61" s="15"/>
    </row>
    <row r="62" spans="1:14" ht="12.75">
      <c r="A62" t="s">
        <v>45</v>
      </c>
      <c r="B62" s="31">
        <v>92</v>
      </c>
      <c r="C62" s="31">
        <v>110</v>
      </c>
      <c r="D62" s="31">
        <v>128</v>
      </c>
      <c r="E62" s="31">
        <v>129</v>
      </c>
      <c r="F62" s="31">
        <v>124</v>
      </c>
      <c r="G62" s="31">
        <v>109</v>
      </c>
      <c r="H62" s="31">
        <v>94</v>
      </c>
      <c r="I62" s="31">
        <v>80</v>
      </c>
      <c r="J62" s="31">
        <v>75</v>
      </c>
      <c r="K62" s="31">
        <v>86</v>
      </c>
      <c r="L62" s="31">
        <v>89</v>
      </c>
      <c r="M62" s="31">
        <v>84</v>
      </c>
      <c r="N62" s="4">
        <f t="shared" si="30"/>
        <v>100</v>
      </c>
    </row>
    <row r="65" spans="1:14" ht="12.75">
      <c r="A65" t="s">
        <v>20</v>
      </c>
      <c r="B65" s="29">
        <v>50.23</v>
      </c>
      <c r="C65" s="29">
        <v>58.3</v>
      </c>
      <c r="D65" s="29">
        <v>61.27</v>
      </c>
      <c r="E65" s="29">
        <v>55.22</v>
      </c>
      <c r="F65" s="29">
        <v>56.32</v>
      </c>
      <c r="G65" s="29">
        <v>54</v>
      </c>
      <c r="H65" s="29">
        <v>44.33</v>
      </c>
      <c r="I65" s="29">
        <v>39.1</v>
      </c>
      <c r="J65" s="29">
        <v>36.92</v>
      </c>
      <c r="K65" s="29">
        <v>45.89</v>
      </c>
      <c r="L65" s="29">
        <v>51.3</v>
      </c>
      <c r="M65" s="29">
        <v>54.23</v>
      </c>
      <c r="N65" s="5"/>
    </row>
    <row r="68" spans="1:14" ht="12.75">
      <c r="A68" s="3" t="s">
        <v>40</v>
      </c>
      <c r="B68" s="4">
        <f aca="true" t="shared" si="31" ref="B68:M68">CHOOSE($G$39+1,B69,B70)</f>
        <v>5031.3</v>
      </c>
      <c r="C68" s="4">
        <f t="shared" si="31"/>
        <v>5757.6</v>
      </c>
      <c r="D68" s="4">
        <f t="shared" si="31"/>
        <v>6336.4</v>
      </c>
      <c r="E68" s="4">
        <f t="shared" si="31"/>
        <v>6448.2</v>
      </c>
      <c r="F68" s="4">
        <f t="shared" si="31"/>
        <v>6366.1</v>
      </c>
      <c r="G68" s="4">
        <f t="shared" si="31"/>
        <v>5703.2</v>
      </c>
      <c r="H68" s="4">
        <f t="shared" si="31"/>
        <v>5254</v>
      </c>
      <c r="I68" s="4">
        <f t="shared" si="31"/>
        <v>4963.1</v>
      </c>
      <c r="J68" s="4">
        <f t="shared" si="31"/>
        <v>5243.1</v>
      </c>
      <c r="K68" s="4">
        <f t="shared" si="31"/>
        <v>5167.9</v>
      </c>
      <c r="L68" s="4">
        <f t="shared" si="31"/>
        <v>5141.2</v>
      </c>
      <c r="M68" s="4">
        <f t="shared" si="31"/>
        <v>4974.9</v>
      </c>
      <c r="N68" s="4">
        <f>AVERAGE(B68:M68)</f>
        <v>5532.25</v>
      </c>
    </row>
    <row r="69" spans="1:14" ht="12.75">
      <c r="A69" t="s">
        <v>41</v>
      </c>
      <c r="B69">
        <f aca="true" t="shared" si="32" ref="B69:M69">ROUND(B42*0.773722,0)</f>
        <v>5420</v>
      </c>
      <c r="C69">
        <f t="shared" si="32"/>
        <v>6194</v>
      </c>
      <c r="D69">
        <f t="shared" si="32"/>
        <v>6084</v>
      </c>
      <c r="E69">
        <f t="shared" si="32"/>
        <v>4855</v>
      </c>
      <c r="F69">
        <f t="shared" si="32"/>
        <v>5014</v>
      </c>
      <c r="G69">
        <f t="shared" si="32"/>
        <v>5254</v>
      </c>
      <c r="H69">
        <f t="shared" si="32"/>
        <v>4868</v>
      </c>
      <c r="I69">
        <f t="shared" si="32"/>
        <v>4855</v>
      </c>
      <c r="J69">
        <f t="shared" si="32"/>
        <v>6436</v>
      </c>
      <c r="K69">
        <f t="shared" si="32"/>
        <v>6383</v>
      </c>
      <c r="L69">
        <f t="shared" si="32"/>
        <v>5954</v>
      </c>
      <c r="M69">
        <f t="shared" si="32"/>
        <v>5070</v>
      </c>
      <c r="N69" s="4">
        <f>AVERAGE(B69:M69)</f>
        <v>5532.25</v>
      </c>
    </row>
    <row r="70" spans="1:14" ht="12.75">
      <c r="A70" t="s">
        <v>42</v>
      </c>
      <c r="B70" s="4">
        <f aca="true" t="shared" si="33" ref="B70:M70">ROUND($N69*(B44/$N44),1)</f>
        <v>5031.3</v>
      </c>
      <c r="C70" s="4">
        <f t="shared" si="33"/>
        <v>5757.6</v>
      </c>
      <c r="D70" s="4">
        <f t="shared" si="33"/>
        <v>6336.4</v>
      </c>
      <c r="E70" s="4">
        <f t="shared" si="33"/>
        <v>6448.2</v>
      </c>
      <c r="F70" s="4">
        <f t="shared" si="33"/>
        <v>6366.1</v>
      </c>
      <c r="G70" s="4">
        <f t="shared" si="33"/>
        <v>5703.2</v>
      </c>
      <c r="H70" s="4">
        <f t="shared" si="33"/>
        <v>5254</v>
      </c>
      <c r="I70" s="4">
        <f t="shared" si="33"/>
        <v>4963.1</v>
      </c>
      <c r="J70" s="4">
        <f t="shared" si="33"/>
        <v>5243.1</v>
      </c>
      <c r="K70" s="4">
        <f t="shared" si="33"/>
        <v>5167.9</v>
      </c>
      <c r="L70" s="4">
        <f t="shared" si="33"/>
        <v>5141.2</v>
      </c>
      <c r="M70" s="4">
        <f t="shared" si="33"/>
        <v>4974.9</v>
      </c>
      <c r="N70" s="4">
        <f>AVERAGE(B70:M70)</f>
        <v>5532.25</v>
      </c>
    </row>
    <row r="73" spans="1:13" ht="12.75">
      <c r="A73" s="3" t="s">
        <v>39</v>
      </c>
      <c r="B73" s="5">
        <f>IF(AND($K39,OR($E39=1,$E39=2,$E39=5,$E39=6)),VLOOKUP($H40,$A$74:$M$91,B55,FALSE),B74)</f>
        <v>0.958</v>
      </c>
      <c r="C73" s="5">
        <f aca="true" t="shared" si="34" ref="C73:M73">IF(AND($K39,OR($E39=1,$E39=2,$E39=5,$E39=6)),VLOOKUP($H40,$A$74:$M$91,C55,FALSE),C74)</f>
        <v>1.1</v>
      </c>
      <c r="D73" s="5">
        <f t="shared" si="34"/>
        <v>1.2340000000000002</v>
      </c>
      <c r="E73" s="5">
        <f t="shared" si="34"/>
        <v>1.236</v>
      </c>
      <c r="F73" s="5">
        <f t="shared" si="34"/>
        <v>1.2019999999999995</v>
      </c>
      <c r="G73" s="5">
        <f t="shared" si="34"/>
        <v>1.09</v>
      </c>
      <c r="H73" s="5">
        <f t="shared" si="34"/>
        <v>0.962</v>
      </c>
      <c r="I73" s="5">
        <f t="shared" si="34"/>
        <v>0.8460000000000002</v>
      </c>
      <c r="J73" s="5">
        <f t="shared" si="34"/>
        <v>0.8039999999999999</v>
      </c>
      <c r="K73" s="5">
        <f t="shared" si="34"/>
        <v>0.8372</v>
      </c>
      <c r="L73" s="5">
        <f t="shared" si="34"/>
        <v>0.868</v>
      </c>
      <c r="M73" s="5">
        <f t="shared" si="34"/>
        <v>0.8627999999999999</v>
      </c>
    </row>
    <row r="74" spans="1:13" ht="12.75">
      <c r="A74">
        <v>2010</v>
      </c>
      <c r="B74" s="5">
        <f aca="true" t="shared" si="35" ref="B74:M74">B54/$N54</f>
        <v>0.97</v>
      </c>
      <c r="C74" s="5">
        <f t="shared" si="35"/>
        <v>1.1</v>
      </c>
      <c r="D74" s="5">
        <f t="shared" si="35"/>
        <v>1.22</v>
      </c>
      <c r="E74" s="5">
        <f t="shared" si="35"/>
        <v>1.22</v>
      </c>
      <c r="F74" s="5">
        <f t="shared" si="35"/>
        <v>1.19</v>
      </c>
      <c r="G74" s="5">
        <f t="shared" si="35"/>
        <v>1.09</v>
      </c>
      <c r="H74" s="5">
        <f t="shared" si="35"/>
        <v>0.97</v>
      </c>
      <c r="I74" s="5">
        <f t="shared" si="35"/>
        <v>0.86</v>
      </c>
      <c r="J74" s="5">
        <f t="shared" si="35"/>
        <v>0.82</v>
      </c>
      <c r="K74" s="5">
        <f t="shared" si="35"/>
        <v>0.83</v>
      </c>
      <c r="L74" s="5">
        <f t="shared" si="35"/>
        <v>0.86</v>
      </c>
      <c r="M74" s="5">
        <f t="shared" si="35"/>
        <v>0.87</v>
      </c>
    </row>
    <row r="75" spans="1:13" ht="12.75">
      <c r="A75">
        <v>2012</v>
      </c>
      <c r="B75" s="5">
        <f aca="true" t="shared" si="36" ref="B75:B91">B74+(B$92*2)</f>
        <v>0.967</v>
      </c>
      <c r="C75" s="5">
        <f aca="true" t="shared" si="37" ref="C75:C91">C74+(C$92*2)</f>
        <v>1.1</v>
      </c>
      <c r="D75" s="5">
        <f aca="true" t="shared" si="38" ref="D75:D91">D74+(D$92*2)</f>
        <v>1.2235</v>
      </c>
      <c r="E75" s="5">
        <f aca="true" t="shared" si="39" ref="E75:E91">E74+(E$92*2)</f>
        <v>1.224</v>
      </c>
      <c r="F75" s="5">
        <f aca="true" t="shared" si="40" ref="F75:F91">F74+(F$92*2)</f>
        <v>1.1929999999999998</v>
      </c>
      <c r="G75" s="5">
        <f aca="true" t="shared" si="41" ref="G75:G91">G74+(G$92*2)</f>
        <v>1.09</v>
      </c>
      <c r="H75" s="5">
        <f aca="true" t="shared" si="42" ref="H75:H91">H74+(H$92*2)</f>
        <v>0.968</v>
      </c>
      <c r="I75" s="5">
        <f aca="true" t="shared" si="43" ref="I75:I91">I74+(I$92*2)</f>
        <v>0.8565</v>
      </c>
      <c r="J75" s="5">
        <f aca="true" t="shared" si="44" ref="J75:J91">J74+(J$92*2)</f>
        <v>0.816</v>
      </c>
      <c r="K75" s="5">
        <f aca="true" t="shared" si="45" ref="K75:K91">K74+(K$92*2)</f>
        <v>0.8318</v>
      </c>
      <c r="L75" s="5">
        <f aca="true" t="shared" si="46" ref="L75:L91">L74+(L$92*2)</f>
        <v>0.862</v>
      </c>
      <c r="M75" s="5">
        <f aca="true" t="shared" si="47" ref="M75:M91">M74+(M$92*2)</f>
        <v>0.8682</v>
      </c>
    </row>
    <row r="76" spans="1:13" ht="12.75">
      <c r="A76">
        <v>2013</v>
      </c>
      <c r="B76" s="5">
        <f t="shared" si="36"/>
        <v>0.964</v>
      </c>
      <c r="C76" s="5">
        <f t="shared" si="37"/>
        <v>1.1</v>
      </c>
      <c r="D76" s="5">
        <f t="shared" si="38"/>
        <v>1.227</v>
      </c>
      <c r="E76" s="5">
        <f t="shared" si="39"/>
        <v>1.228</v>
      </c>
      <c r="F76" s="5">
        <f t="shared" si="40"/>
        <v>1.1959999999999997</v>
      </c>
      <c r="G76" s="5">
        <f t="shared" si="41"/>
        <v>1.09</v>
      </c>
      <c r="H76" s="5">
        <f t="shared" si="42"/>
        <v>0.966</v>
      </c>
      <c r="I76" s="5">
        <f t="shared" si="43"/>
        <v>0.8530000000000001</v>
      </c>
      <c r="J76" s="5">
        <f t="shared" si="44"/>
        <v>0.8119999999999999</v>
      </c>
      <c r="K76" s="5">
        <f t="shared" si="45"/>
        <v>0.8336</v>
      </c>
      <c r="L76" s="5">
        <f t="shared" si="46"/>
        <v>0.864</v>
      </c>
      <c r="M76" s="5">
        <f t="shared" si="47"/>
        <v>0.8664</v>
      </c>
    </row>
    <row r="77" spans="1:13" ht="12.75">
      <c r="A77">
        <v>2014</v>
      </c>
      <c r="B77" s="5">
        <f t="shared" si="36"/>
        <v>0.961</v>
      </c>
      <c r="C77" s="5">
        <f t="shared" si="37"/>
        <v>1.1</v>
      </c>
      <c r="D77" s="5">
        <f t="shared" si="38"/>
        <v>1.2305000000000001</v>
      </c>
      <c r="E77" s="5">
        <f t="shared" si="39"/>
        <v>1.232</v>
      </c>
      <c r="F77" s="5">
        <f t="shared" si="40"/>
        <v>1.1989999999999996</v>
      </c>
      <c r="G77" s="5">
        <f t="shared" si="41"/>
        <v>1.09</v>
      </c>
      <c r="H77" s="5">
        <f t="shared" si="42"/>
        <v>0.964</v>
      </c>
      <c r="I77" s="5">
        <f t="shared" si="43"/>
        <v>0.8495000000000001</v>
      </c>
      <c r="J77" s="5">
        <f t="shared" si="44"/>
        <v>0.8079999999999999</v>
      </c>
      <c r="K77" s="5">
        <f t="shared" si="45"/>
        <v>0.8354</v>
      </c>
      <c r="L77" s="5">
        <f t="shared" si="46"/>
        <v>0.866</v>
      </c>
      <c r="M77" s="5">
        <f t="shared" si="47"/>
        <v>0.8645999999999999</v>
      </c>
    </row>
    <row r="78" spans="1:13" ht="12.75">
      <c r="A78">
        <v>2015</v>
      </c>
      <c r="B78" s="5">
        <f t="shared" si="36"/>
        <v>0.958</v>
      </c>
      <c r="C78" s="5">
        <f t="shared" si="37"/>
        <v>1.1</v>
      </c>
      <c r="D78" s="5">
        <f t="shared" si="38"/>
        <v>1.2340000000000002</v>
      </c>
      <c r="E78" s="5">
        <f t="shared" si="39"/>
        <v>1.236</v>
      </c>
      <c r="F78" s="5">
        <f t="shared" si="40"/>
        <v>1.2019999999999995</v>
      </c>
      <c r="G78" s="5">
        <f t="shared" si="41"/>
        <v>1.09</v>
      </c>
      <c r="H78" s="5">
        <f t="shared" si="42"/>
        <v>0.962</v>
      </c>
      <c r="I78" s="5">
        <f t="shared" si="43"/>
        <v>0.8460000000000002</v>
      </c>
      <c r="J78" s="5">
        <f t="shared" si="44"/>
        <v>0.8039999999999999</v>
      </c>
      <c r="K78" s="5">
        <f t="shared" si="45"/>
        <v>0.8372</v>
      </c>
      <c r="L78" s="5">
        <f t="shared" si="46"/>
        <v>0.868</v>
      </c>
      <c r="M78" s="5">
        <f t="shared" si="47"/>
        <v>0.8627999999999999</v>
      </c>
    </row>
    <row r="79" spans="1:13" ht="12.75">
      <c r="A79">
        <v>2016</v>
      </c>
      <c r="B79" s="5">
        <f t="shared" si="36"/>
        <v>0.955</v>
      </c>
      <c r="C79" s="5">
        <f t="shared" si="37"/>
        <v>1.1</v>
      </c>
      <c r="D79" s="5">
        <f t="shared" si="38"/>
        <v>1.2375000000000003</v>
      </c>
      <c r="E79" s="5">
        <f t="shared" si="39"/>
        <v>1.24</v>
      </c>
      <c r="F79" s="5">
        <f t="shared" si="40"/>
        <v>1.2049999999999994</v>
      </c>
      <c r="G79" s="5">
        <f t="shared" si="41"/>
        <v>1.09</v>
      </c>
      <c r="H79" s="5">
        <f t="shared" si="42"/>
        <v>0.96</v>
      </c>
      <c r="I79" s="5">
        <f t="shared" si="43"/>
        <v>0.8425000000000002</v>
      </c>
      <c r="J79" s="5">
        <f t="shared" si="44"/>
        <v>0.7999999999999999</v>
      </c>
      <c r="K79" s="5">
        <f t="shared" si="45"/>
        <v>0.8390000000000001</v>
      </c>
      <c r="L79" s="5">
        <f t="shared" si="46"/>
        <v>0.87</v>
      </c>
      <c r="M79" s="5">
        <f t="shared" si="47"/>
        <v>0.8609999999999999</v>
      </c>
    </row>
    <row r="80" spans="1:13" ht="12.75">
      <c r="A80">
        <v>2017</v>
      </c>
      <c r="B80" s="5">
        <f t="shared" si="36"/>
        <v>0.952</v>
      </c>
      <c r="C80" s="5">
        <f t="shared" si="37"/>
        <v>1.1</v>
      </c>
      <c r="D80" s="5">
        <f t="shared" si="38"/>
        <v>1.2410000000000003</v>
      </c>
      <c r="E80" s="5">
        <f t="shared" si="39"/>
        <v>1.244</v>
      </c>
      <c r="F80" s="5">
        <f t="shared" si="40"/>
        <v>1.2079999999999993</v>
      </c>
      <c r="G80" s="5">
        <f t="shared" si="41"/>
        <v>1.09</v>
      </c>
      <c r="H80" s="5">
        <f t="shared" si="42"/>
        <v>0.958</v>
      </c>
      <c r="I80" s="5">
        <f t="shared" si="43"/>
        <v>0.8390000000000003</v>
      </c>
      <c r="J80" s="5">
        <f t="shared" si="44"/>
        <v>0.7959999999999999</v>
      </c>
      <c r="K80" s="5">
        <f t="shared" si="45"/>
        <v>0.8408000000000001</v>
      </c>
      <c r="L80" s="5">
        <f t="shared" si="46"/>
        <v>0.872</v>
      </c>
      <c r="M80" s="5">
        <f t="shared" si="47"/>
        <v>0.8591999999999999</v>
      </c>
    </row>
    <row r="81" spans="1:13" ht="12.75">
      <c r="A81">
        <v>2018</v>
      </c>
      <c r="B81" s="5">
        <f t="shared" si="36"/>
        <v>0.949</v>
      </c>
      <c r="C81" s="5">
        <f t="shared" si="37"/>
        <v>1.1</v>
      </c>
      <c r="D81" s="5">
        <f t="shared" si="38"/>
        <v>1.2445000000000004</v>
      </c>
      <c r="E81" s="5">
        <f t="shared" si="39"/>
        <v>1.248</v>
      </c>
      <c r="F81" s="5">
        <f t="shared" si="40"/>
        <v>1.2109999999999992</v>
      </c>
      <c r="G81" s="5">
        <f t="shared" si="41"/>
        <v>1.09</v>
      </c>
      <c r="H81" s="5">
        <f t="shared" si="42"/>
        <v>0.956</v>
      </c>
      <c r="I81" s="5">
        <f t="shared" si="43"/>
        <v>0.8355000000000004</v>
      </c>
      <c r="J81" s="5">
        <f t="shared" si="44"/>
        <v>0.7919999999999999</v>
      </c>
      <c r="K81" s="5">
        <f t="shared" si="45"/>
        <v>0.8426000000000001</v>
      </c>
      <c r="L81" s="5">
        <f t="shared" si="46"/>
        <v>0.874</v>
      </c>
      <c r="M81" s="5">
        <f t="shared" si="47"/>
        <v>0.8573999999999998</v>
      </c>
    </row>
    <row r="82" spans="1:13" ht="12.75">
      <c r="A82">
        <v>2019</v>
      </c>
      <c r="B82" s="5">
        <f t="shared" si="36"/>
        <v>0.946</v>
      </c>
      <c r="C82" s="5">
        <f t="shared" si="37"/>
        <v>1.1</v>
      </c>
      <c r="D82" s="5">
        <f t="shared" si="38"/>
        <v>1.2480000000000004</v>
      </c>
      <c r="E82" s="5">
        <f t="shared" si="39"/>
        <v>1.252</v>
      </c>
      <c r="F82" s="5">
        <f t="shared" si="40"/>
        <v>1.213999999999999</v>
      </c>
      <c r="G82" s="5">
        <f t="shared" si="41"/>
        <v>1.09</v>
      </c>
      <c r="H82" s="5">
        <f t="shared" si="42"/>
        <v>0.954</v>
      </c>
      <c r="I82" s="5">
        <f t="shared" si="43"/>
        <v>0.8320000000000004</v>
      </c>
      <c r="J82" s="5">
        <f t="shared" si="44"/>
        <v>0.7879999999999999</v>
      </c>
      <c r="K82" s="5">
        <f t="shared" si="45"/>
        <v>0.8444000000000002</v>
      </c>
      <c r="L82" s="5">
        <f t="shared" si="46"/>
        <v>0.876</v>
      </c>
      <c r="M82" s="5">
        <f t="shared" si="47"/>
        <v>0.8555999999999998</v>
      </c>
    </row>
    <row r="83" spans="1:13" ht="12.75">
      <c r="A83">
        <v>2020</v>
      </c>
      <c r="B83" s="5">
        <f t="shared" si="36"/>
        <v>0.943</v>
      </c>
      <c r="C83" s="5">
        <f t="shared" si="37"/>
        <v>1.1</v>
      </c>
      <c r="D83" s="5">
        <f t="shared" si="38"/>
        <v>1.2515000000000005</v>
      </c>
      <c r="E83" s="5">
        <f t="shared" si="39"/>
        <v>1.256</v>
      </c>
      <c r="F83" s="5">
        <f t="shared" si="40"/>
        <v>1.216999999999999</v>
      </c>
      <c r="G83" s="5">
        <f t="shared" si="41"/>
        <v>1.09</v>
      </c>
      <c r="H83" s="5">
        <f t="shared" si="42"/>
        <v>0.952</v>
      </c>
      <c r="I83" s="5">
        <f t="shared" si="43"/>
        <v>0.8285000000000005</v>
      </c>
      <c r="J83" s="5">
        <f t="shared" si="44"/>
        <v>0.7839999999999999</v>
      </c>
      <c r="K83" s="5">
        <f t="shared" si="45"/>
        <v>0.8462000000000002</v>
      </c>
      <c r="L83" s="5">
        <f t="shared" si="46"/>
        <v>0.878</v>
      </c>
      <c r="M83" s="5">
        <f t="shared" si="47"/>
        <v>0.8537999999999998</v>
      </c>
    </row>
    <row r="84" spans="1:13" ht="12.75">
      <c r="A84">
        <v>2021</v>
      </c>
      <c r="B84" s="5">
        <f t="shared" si="36"/>
        <v>0.94</v>
      </c>
      <c r="C84" s="5">
        <f t="shared" si="37"/>
        <v>1.1</v>
      </c>
      <c r="D84" s="5">
        <f t="shared" si="38"/>
        <v>1.2550000000000006</v>
      </c>
      <c r="E84" s="5">
        <f t="shared" si="39"/>
        <v>1.26</v>
      </c>
      <c r="F84" s="5">
        <f t="shared" si="40"/>
        <v>1.2199999999999989</v>
      </c>
      <c r="G84" s="5">
        <f t="shared" si="41"/>
        <v>1.09</v>
      </c>
      <c r="H84" s="5">
        <f t="shared" si="42"/>
        <v>0.95</v>
      </c>
      <c r="I84" s="5">
        <f t="shared" si="43"/>
        <v>0.8250000000000005</v>
      </c>
      <c r="J84" s="5">
        <f t="shared" si="44"/>
        <v>0.7799999999999999</v>
      </c>
      <c r="K84" s="5">
        <f t="shared" si="45"/>
        <v>0.8480000000000002</v>
      </c>
      <c r="L84" s="5">
        <f t="shared" si="46"/>
        <v>0.88</v>
      </c>
      <c r="M84" s="5">
        <f t="shared" si="47"/>
        <v>0.8519999999999998</v>
      </c>
    </row>
    <row r="85" spans="1:13" ht="12.75">
      <c r="A85">
        <v>2022</v>
      </c>
      <c r="B85" s="5">
        <f t="shared" si="36"/>
        <v>0.9369999999999999</v>
      </c>
      <c r="C85" s="5">
        <f t="shared" si="37"/>
        <v>1.1</v>
      </c>
      <c r="D85" s="5">
        <f t="shared" si="38"/>
        <v>1.2585000000000006</v>
      </c>
      <c r="E85" s="5">
        <f t="shared" si="39"/>
        <v>1.264</v>
      </c>
      <c r="F85" s="5">
        <f t="shared" si="40"/>
        <v>1.2229999999999988</v>
      </c>
      <c r="G85" s="5">
        <f t="shared" si="41"/>
        <v>1.09</v>
      </c>
      <c r="H85" s="5">
        <f t="shared" si="42"/>
        <v>0.948</v>
      </c>
      <c r="I85" s="5">
        <f t="shared" si="43"/>
        <v>0.8215000000000006</v>
      </c>
      <c r="J85" s="5">
        <f t="shared" si="44"/>
        <v>0.7759999999999999</v>
      </c>
      <c r="K85" s="5">
        <f t="shared" si="45"/>
        <v>0.8498000000000002</v>
      </c>
      <c r="L85" s="5">
        <f t="shared" si="46"/>
        <v>0.882</v>
      </c>
      <c r="M85" s="5">
        <f t="shared" si="47"/>
        <v>0.8501999999999997</v>
      </c>
    </row>
    <row r="86" spans="1:13" ht="12.75">
      <c r="A86">
        <v>2023</v>
      </c>
      <c r="B86" s="5">
        <f t="shared" si="36"/>
        <v>0.9339999999999999</v>
      </c>
      <c r="C86" s="5">
        <f t="shared" si="37"/>
        <v>1.1</v>
      </c>
      <c r="D86" s="5">
        <f t="shared" si="38"/>
        <v>1.2620000000000007</v>
      </c>
      <c r="E86" s="5">
        <f t="shared" si="39"/>
        <v>1.268</v>
      </c>
      <c r="F86" s="5">
        <f t="shared" si="40"/>
        <v>1.2259999999999986</v>
      </c>
      <c r="G86" s="5">
        <f t="shared" si="41"/>
        <v>1.09</v>
      </c>
      <c r="H86" s="5">
        <f t="shared" si="42"/>
        <v>0.946</v>
      </c>
      <c r="I86" s="5">
        <f t="shared" si="43"/>
        <v>0.8180000000000006</v>
      </c>
      <c r="J86" s="5">
        <f t="shared" si="44"/>
        <v>0.7719999999999999</v>
      </c>
      <c r="K86" s="5">
        <f t="shared" si="45"/>
        <v>0.8516000000000002</v>
      </c>
      <c r="L86" s="5">
        <f t="shared" si="46"/>
        <v>0.884</v>
      </c>
      <c r="M86" s="5">
        <f t="shared" si="47"/>
        <v>0.8483999999999997</v>
      </c>
    </row>
    <row r="87" spans="1:13" ht="12.75">
      <c r="A87">
        <v>2024</v>
      </c>
      <c r="B87" s="5">
        <f t="shared" si="36"/>
        <v>0.9309999999999999</v>
      </c>
      <c r="C87" s="5">
        <f t="shared" si="37"/>
        <v>1.1</v>
      </c>
      <c r="D87" s="5">
        <f t="shared" si="38"/>
        <v>1.2655000000000007</v>
      </c>
      <c r="E87" s="5">
        <f t="shared" si="39"/>
        <v>1.272</v>
      </c>
      <c r="F87" s="5">
        <f t="shared" si="40"/>
        <v>1.2289999999999985</v>
      </c>
      <c r="G87" s="5">
        <f t="shared" si="41"/>
        <v>1.09</v>
      </c>
      <c r="H87" s="5">
        <f t="shared" si="42"/>
        <v>0.944</v>
      </c>
      <c r="I87" s="5">
        <f t="shared" si="43"/>
        <v>0.8145000000000007</v>
      </c>
      <c r="J87" s="5">
        <f t="shared" si="44"/>
        <v>0.7679999999999999</v>
      </c>
      <c r="K87" s="5">
        <f t="shared" si="45"/>
        <v>0.8534000000000003</v>
      </c>
      <c r="L87" s="5">
        <f t="shared" si="46"/>
        <v>0.886</v>
      </c>
      <c r="M87" s="5">
        <f t="shared" si="47"/>
        <v>0.8465999999999997</v>
      </c>
    </row>
    <row r="88" spans="1:13" ht="12.75">
      <c r="A88">
        <v>2025</v>
      </c>
      <c r="B88" s="5">
        <f t="shared" si="36"/>
        <v>0.9279999999999999</v>
      </c>
      <c r="C88" s="5">
        <f t="shared" si="37"/>
        <v>1.1</v>
      </c>
      <c r="D88" s="5">
        <f t="shared" si="38"/>
        <v>1.2690000000000008</v>
      </c>
      <c r="E88" s="5">
        <f t="shared" si="39"/>
        <v>1.276</v>
      </c>
      <c r="F88" s="5">
        <f t="shared" si="40"/>
        <v>1.2319999999999984</v>
      </c>
      <c r="G88" s="5">
        <f t="shared" si="41"/>
        <v>1.09</v>
      </c>
      <c r="H88" s="5">
        <f t="shared" si="42"/>
        <v>0.942</v>
      </c>
      <c r="I88" s="5">
        <f t="shared" si="43"/>
        <v>0.8110000000000007</v>
      </c>
      <c r="J88" s="5">
        <f t="shared" si="44"/>
        <v>0.7639999999999999</v>
      </c>
      <c r="K88" s="5">
        <f t="shared" si="45"/>
        <v>0.8552000000000003</v>
      </c>
      <c r="L88" s="5">
        <f t="shared" si="46"/>
        <v>0.888</v>
      </c>
      <c r="M88" s="5">
        <f t="shared" si="47"/>
        <v>0.8447999999999997</v>
      </c>
    </row>
    <row r="89" spans="1:13" ht="12.75">
      <c r="A89">
        <v>2026</v>
      </c>
      <c r="B89" s="5">
        <f t="shared" si="36"/>
        <v>0.9249999999999999</v>
      </c>
      <c r="C89" s="5">
        <f t="shared" si="37"/>
        <v>1.1</v>
      </c>
      <c r="D89" s="5">
        <f t="shared" si="38"/>
        <v>1.2725000000000009</v>
      </c>
      <c r="E89" s="5">
        <f t="shared" si="39"/>
        <v>1.28</v>
      </c>
      <c r="F89" s="5">
        <f t="shared" si="40"/>
        <v>1.2349999999999983</v>
      </c>
      <c r="G89" s="5">
        <f t="shared" si="41"/>
        <v>1.09</v>
      </c>
      <c r="H89" s="5">
        <f t="shared" si="42"/>
        <v>0.94</v>
      </c>
      <c r="I89" s="5">
        <f t="shared" si="43"/>
        <v>0.8075000000000008</v>
      </c>
      <c r="J89" s="5">
        <f t="shared" si="44"/>
        <v>0.7599999999999999</v>
      </c>
      <c r="K89" s="5">
        <f t="shared" si="45"/>
        <v>0.8570000000000003</v>
      </c>
      <c r="L89" s="5">
        <f t="shared" si="46"/>
        <v>0.89</v>
      </c>
      <c r="M89" s="5">
        <f t="shared" si="47"/>
        <v>0.8429999999999996</v>
      </c>
    </row>
    <row r="90" spans="1:13" ht="12.75">
      <c r="A90">
        <v>2027</v>
      </c>
      <c r="B90" s="5">
        <f t="shared" si="36"/>
        <v>0.9219999999999999</v>
      </c>
      <c r="C90" s="5">
        <f t="shared" si="37"/>
        <v>1.1</v>
      </c>
      <c r="D90" s="5">
        <f t="shared" si="38"/>
        <v>1.276000000000001</v>
      </c>
      <c r="E90" s="5">
        <f t="shared" si="39"/>
        <v>1.284</v>
      </c>
      <c r="F90" s="5">
        <f t="shared" si="40"/>
        <v>1.2379999999999982</v>
      </c>
      <c r="G90" s="5">
        <f t="shared" si="41"/>
        <v>1.09</v>
      </c>
      <c r="H90" s="5">
        <f t="shared" si="42"/>
        <v>0.938</v>
      </c>
      <c r="I90" s="5">
        <f t="shared" si="43"/>
        <v>0.8040000000000008</v>
      </c>
      <c r="J90" s="5">
        <f t="shared" si="44"/>
        <v>0.7559999999999999</v>
      </c>
      <c r="K90" s="5">
        <f t="shared" si="45"/>
        <v>0.8588000000000003</v>
      </c>
      <c r="L90" s="5">
        <f t="shared" si="46"/>
        <v>0.892</v>
      </c>
      <c r="M90" s="5">
        <f t="shared" si="47"/>
        <v>0.8411999999999996</v>
      </c>
    </row>
    <row r="91" spans="1:13" ht="12.75">
      <c r="A91">
        <v>2028</v>
      </c>
      <c r="B91" s="5">
        <f t="shared" si="36"/>
        <v>0.9189999999999999</v>
      </c>
      <c r="C91" s="5">
        <f t="shared" si="37"/>
        <v>1.1</v>
      </c>
      <c r="D91" s="5">
        <f t="shared" si="38"/>
        <v>1.279500000000001</v>
      </c>
      <c r="E91" s="5">
        <f t="shared" si="39"/>
        <v>1.288</v>
      </c>
      <c r="F91" s="5">
        <f t="shared" si="40"/>
        <v>1.240999999999998</v>
      </c>
      <c r="G91" s="5">
        <f t="shared" si="41"/>
        <v>1.09</v>
      </c>
      <c r="H91" s="5">
        <f t="shared" si="42"/>
        <v>0.9359999999999999</v>
      </c>
      <c r="I91" s="5">
        <f t="shared" si="43"/>
        <v>0.8005000000000009</v>
      </c>
      <c r="J91" s="5">
        <f t="shared" si="44"/>
        <v>0.7519999999999999</v>
      </c>
      <c r="K91" s="5">
        <f t="shared" si="45"/>
        <v>0.8606000000000004</v>
      </c>
      <c r="L91" s="5">
        <f t="shared" si="46"/>
        <v>0.894</v>
      </c>
      <c r="M91" s="5">
        <f t="shared" si="47"/>
        <v>0.8393999999999996</v>
      </c>
    </row>
    <row r="92" spans="2:13" ht="12.75">
      <c r="B92" s="20">
        <v>-0.0015</v>
      </c>
      <c r="C92" s="20">
        <v>0</v>
      </c>
      <c r="D92" s="20">
        <v>0.00175</v>
      </c>
      <c r="E92" s="20">
        <v>0.002</v>
      </c>
      <c r="F92" s="20">
        <v>0.0015</v>
      </c>
      <c r="G92" s="20">
        <v>0</v>
      </c>
      <c r="H92" s="20">
        <v>-0.001</v>
      </c>
      <c r="I92" s="20">
        <v>-0.00175</v>
      </c>
      <c r="J92" s="20">
        <v>-0.002</v>
      </c>
      <c r="K92" s="20">
        <v>0.0009</v>
      </c>
      <c r="L92" s="20">
        <v>0.001</v>
      </c>
      <c r="M92" s="20">
        <v>-0.0009</v>
      </c>
    </row>
    <row r="95" ht="12.75">
      <c r="A95" s="3" t="s">
        <v>47</v>
      </c>
    </row>
    <row r="96" spans="1:14" ht="12.75">
      <c r="A96" t="s">
        <v>30</v>
      </c>
      <c r="B96" s="4">
        <f>B43</f>
        <v>5031.3</v>
      </c>
      <c r="C96" s="4">
        <f aca="true" t="shared" si="48" ref="C96:M96">C43</f>
        <v>5757.6</v>
      </c>
      <c r="D96" s="4">
        <f t="shared" si="48"/>
        <v>6336.4</v>
      </c>
      <c r="E96" s="4">
        <f t="shared" si="48"/>
        <v>6448.2</v>
      </c>
      <c r="F96" s="4">
        <f t="shared" si="48"/>
        <v>6366.1</v>
      </c>
      <c r="G96" s="4">
        <f t="shared" si="48"/>
        <v>5703.2</v>
      </c>
      <c r="H96" s="4">
        <f t="shared" si="48"/>
        <v>5254</v>
      </c>
      <c r="I96" s="4">
        <f t="shared" si="48"/>
        <v>4963.1</v>
      </c>
      <c r="J96" s="4">
        <f t="shared" si="48"/>
        <v>5243.1</v>
      </c>
      <c r="K96" s="4">
        <f t="shared" si="48"/>
        <v>5167.9</v>
      </c>
      <c r="L96" s="4">
        <f t="shared" si="48"/>
        <v>5141.2</v>
      </c>
      <c r="M96" s="4">
        <f t="shared" si="48"/>
        <v>4974.9</v>
      </c>
      <c r="N96" s="4">
        <f>AVERAGE(B96:M96)</f>
        <v>5532.25</v>
      </c>
    </row>
    <row r="97" spans="1:14" ht="12.75">
      <c r="A97" t="s">
        <v>49</v>
      </c>
      <c r="B97" s="4">
        <f aca="true" t="shared" si="49" ref="B97:M97">ROUND($N97*B73,1)</f>
        <v>5747.3</v>
      </c>
      <c r="C97" s="4">
        <f t="shared" si="49"/>
        <v>6599.2</v>
      </c>
      <c r="D97" s="4">
        <f t="shared" si="49"/>
        <v>7403.1</v>
      </c>
      <c r="E97" s="4">
        <f t="shared" si="49"/>
        <v>7415.1</v>
      </c>
      <c r="F97" s="4">
        <f t="shared" si="49"/>
        <v>7211.2</v>
      </c>
      <c r="G97" s="4">
        <f t="shared" si="49"/>
        <v>6539.2</v>
      </c>
      <c r="H97" s="4">
        <f t="shared" si="49"/>
        <v>5771.3</v>
      </c>
      <c r="I97" s="4">
        <f t="shared" si="49"/>
        <v>5075.4</v>
      </c>
      <c r="J97" s="4">
        <f t="shared" si="49"/>
        <v>4823.4</v>
      </c>
      <c r="K97" s="4">
        <f t="shared" si="49"/>
        <v>5022.6</v>
      </c>
      <c r="L97" s="4">
        <f t="shared" si="49"/>
        <v>5207.4</v>
      </c>
      <c r="M97" s="4">
        <f t="shared" si="49"/>
        <v>5176.2</v>
      </c>
      <c r="N97" s="4">
        <f>ROUND(((1+E40)^(H40-2010))*N45,1)</f>
        <v>5999.3</v>
      </c>
    </row>
    <row r="98" ht="12.75">
      <c r="A98" t="s">
        <v>17</v>
      </c>
    </row>
    <row r="99" spans="1:14" ht="12.75">
      <c r="A99" t="s">
        <v>50</v>
      </c>
      <c r="B99" s="4">
        <f>$N99</f>
        <v>408.0500000000002</v>
      </c>
      <c r="C99" s="4">
        <f aca="true" t="shared" si="50" ref="C99:M99">$N99</f>
        <v>408.0500000000002</v>
      </c>
      <c r="D99" s="4">
        <f t="shared" si="50"/>
        <v>408.0500000000002</v>
      </c>
      <c r="E99" s="4">
        <f t="shared" si="50"/>
        <v>408.0500000000002</v>
      </c>
      <c r="F99" s="4">
        <f t="shared" si="50"/>
        <v>408.0500000000002</v>
      </c>
      <c r="G99" s="4">
        <f t="shared" si="50"/>
        <v>408.0500000000002</v>
      </c>
      <c r="H99" s="4">
        <f t="shared" si="50"/>
        <v>408.0500000000002</v>
      </c>
      <c r="I99" s="4">
        <f t="shared" si="50"/>
        <v>408.0500000000002</v>
      </c>
      <c r="J99" s="4">
        <f t="shared" si="50"/>
        <v>408.0500000000002</v>
      </c>
      <c r="K99" s="4">
        <f t="shared" si="50"/>
        <v>408.0500000000002</v>
      </c>
      <c r="L99" s="4">
        <f t="shared" si="50"/>
        <v>408.0500000000002</v>
      </c>
      <c r="M99" s="4">
        <f t="shared" si="50"/>
        <v>408.0500000000002</v>
      </c>
      <c r="N99" s="4">
        <f>N97-N44</f>
        <v>408.0500000000002</v>
      </c>
    </row>
    <row r="100" spans="1:14" ht="12.75">
      <c r="A100" t="s">
        <v>48</v>
      </c>
      <c r="B100" s="4">
        <f>B97-B99</f>
        <v>5339.25</v>
      </c>
      <c r="C100" s="4">
        <f aca="true" t="shared" si="51" ref="C100:M100">C97-C99</f>
        <v>6191.15</v>
      </c>
      <c r="D100" s="4">
        <f t="shared" si="51"/>
        <v>6995.05</v>
      </c>
      <c r="E100" s="4">
        <f t="shared" si="51"/>
        <v>7007.05</v>
      </c>
      <c r="F100" s="4">
        <f t="shared" si="51"/>
        <v>6803.15</v>
      </c>
      <c r="G100" s="4">
        <f t="shared" si="51"/>
        <v>6131.15</v>
      </c>
      <c r="H100" s="4">
        <f t="shared" si="51"/>
        <v>5363.25</v>
      </c>
      <c r="I100" s="4">
        <f t="shared" si="51"/>
        <v>4667.349999999999</v>
      </c>
      <c r="J100" s="4">
        <f t="shared" si="51"/>
        <v>4415.349999999999</v>
      </c>
      <c r="K100" s="4">
        <f t="shared" si="51"/>
        <v>4614.55</v>
      </c>
      <c r="L100" s="4">
        <f t="shared" si="51"/>
        <v>4799.349999999999</v>
      </c>
      <c r="M100" s="4">
        <f t="shared" si="51"/>
        <v>4768.15</v>
      </c>
      <c r="N100" s="4">
        <f>AVERAGE(B100:M100)</f>
        <v>5591.233333333334</v>
      </c>
    </row>
    <row r="101" spans="1:14" ht="12.75">
      <c r="A101" t="s">
        <v>46</v>
      </c>
      <c r="B101" s="4">
        <f>B69-B100</f>
        <v>80.75</v>
      </c>
      <c r="C101" s="4">
        <f aca="true" t="shared" si="52" ref="C101:M101">C69-C100</f>
        <v>2.850000000000364</v>
      </c>
      <c r="D101" s="4">
        <f t="shared" si="52"/>
        <v>-911.0500000000002</v>
      </c>
      <c r="E101" s="4">
        <f t="shared" si="52"/>
        <v>-2152.05</v>
      </c>
      <c r="F101" s="4">
        <f t="shared" si="52"/>
        <v>-1789.1499999999996</v>
      </c>
      <c r="G101" s="4">
        <f t="shared" si="52"/>
        <v>-877.1499999999996</v>
      </c>
      <c r="H101" s="4">
        <f t="shared" si="52"/>
        <v>-495.25</v>
      </c>
      <c r="I101" s="4">
        <f t="shared" si="52"/>
        <v>187.65000000000055</v>
      </c>
      <c r="J101" s="4">
        <f t="shared" si="52"/>
        <v>2020.6500000000005</v>
      </c>
      <c r="K101" s="4">
        <f t="shared" si="52"/>
        <v>1768.4499999999998</v>
      </c>
      <c r="L101" s="4">
        <f t="shared" si="52"/>
        <v>1154.6500000000005</v>
      </c>
      <c r="M101" s="4">
        <f t="shared" si="52"/>
        <v>301.85000000000036</v>
      </c>
      <c r="N101" s="4">
        <f>AVERAGE(B101:M101)</f>
        <v>-58.98333333333312</v>
      </c>
    </row>
    <row r="102" spans="1:14" ht="12.75">
      <c r="A102" t="s">
        <v>51</v>
      </c>
      <c r="B102" s="21">
        <f>B101*B47*B50</f>
        <v>3021.7740125</v>
      </c>
      <c r="C102" s="21">
        <f aca="true" t="shared" si="53" ref="C102:M102">C101*C47*C50</f>
        <v>119.63160000001527</v>
      </c>
      <c r="D102" s="25">
        <f t="shared" si="53"/>
        <v>-41530.10492400001</v>
      </c>
      <c r="E102" s="25">
        <f t="shared" si="53"/>
        <v>-88414.133544</v>
      </c>
      <c r="F102" s="25">
        <f t="shared" si="53"/>
        <v>-70132.38988799999</v>
      </c>
      <c r="G102" s="21">
        <f t="shared" si="53"/>
        <v>-35240.37839999998</v>
      </c>
      <c r="H102" s="21">
        <f t="shared" si="53"/>
        <v>-15785.236967499999</v>
      </c>
      <c r="I102" s="21">
        <f t="shared" si="53"/>
        <v>5458.813560000016</v>
      </c>
      <c r="J102" s="21">
        <f t="shared" si="53"/>
        <v>53713.72656000002</v>
      </c>
      <c r="K102" s="21">
        <f t="shared" si="53"/>
        <v>60378.702851999995</v>
      </c>
      <c r="L102" s="21">
        <f t="shared" si="53"/>
        <v>44069.75748000002</v>
      </c>
      <c r="M102" s="21">
        <f t="shared" si="53"/>
        <v>11785.914360000013</v>
      </c>
      <c r="N102" s="21">
        <f>SUM(B102:M102)</f>
        <v>-72553.92329899991</v>
      </c>
    </row>
    <row r="103" ht="12.75">
      <c r="A103" t="s">
        <v>18</v>
      </c>
    </row>
    <row r="104" spans="1:14" ht="12.75">
      <c r="A104" t="s">
        <v>50</v>
      </c>
      <c r="B104" s="4">
        <f>B97-B105</f>
        <v>716</v>
      </c>
      <c r="C104" s="4">
        <f aca="true" t="shared" si="54" ref="C104:M104">C97-C105</f>
        <v>841.5999999999995</v>
      </c>
      <c r="D104" s="4">
        <f t="shared" si="54"/>
        <v>1066.7000000000007</v>
      </c>
      <c r="E104" s="4">
        <f t="shared" si="54"/>
        <v>966.9000000000005</v>
      </c>
      <c r="F104" s="4">
        <f t="shared" si="54"/>
        <v>845.0999999999995</v>
      </c>
      <c r="G104" s="4">
        <f t="shared" si="54"/>
        <v>836</v>
      </c>
      <c r="H104" s="4">
        <f t="shared" si="54"/>
        <v>517.3000000000002</v>
      </c>
      <c r="I104" s="4">
        <f t="shared" si="54"/>
        <v>112.29999999999927</v>
      </c>
      <c r="J104" s="4">
        <f t="shared" si="54"/>
        <v>-419.7000000000007</v>
      </c>
      <c r="K104" s="4">
        <f t="shared" si="54"/>
        <v>-145.29999999999927</v>
      </c>
      <c r="L104" s="4">
        <f t="shared" si="54"/>
        <v>66.19999999999982</v>
      </c>
      <c r="M104" s="4">
        <f t="shared" si="54"/>
        <v>201.30000000000018</v>
      </c>
      <c r="N104" s="4">
        <f>AVERAGE(B104:M104)</f>
        <v>467.0333333333333</v>
      </c>
    </row>
    <row r="105" spans="1:14" ht="12.75">
      <c r="A105" t="s">
        <v>48</v>
      </c>
      <c r="B105" s="4">
        <f>MIN(B43,B44)</f>
        <v>5031.3</v>
      </c>
      <c r="C105" s="4">
        <f aca="true" t="shared" si="55" ref="C105:M105">MIN(C43,C44)</f>
        <v>5757.6</v>
      </c>
      <c r="D105" s="4">
        <f t="shared" si="55"/>
        <v>6336.4</v>
      </c>
      <c r="E105" s="4">
        <f t="shared" si="55"/>
        <v>6448.2</v>
      </c>
      <c r="F105" s="4">
        <f t="shared" si="55"/>
        <v>6366.1</v>
      </c>
      <c r="G105" s="4">
        <f t="shared" si="55"/>
        <v>5703.2</v>
      </c>
      <c r="H105" s="4">
        <f t="shared" si="55"/>
        <v>5254</v>
      </c>
      <c r="I105" s="4">
        <f t="shared" si="55"/>
        <v>4963.1</v>
      </c>
      <c r="J105" s="4">
        <f t="shared" si="55"/>
        <v>5243.1</v>
      </c>
      <c r="K105" s="4">
        <f t="shared" si="55"/>
        <v>5167.9</v>
      </c>
      <c r="L105" s="4">
        <f t="shared" si="55"/>
        <v>5141.2</v>
      </c>
      <c r="M105" s="4">
        <f t="shared" si="55"/>
        <v>4974.9</v>
      </c>
      <c r="N105" s="4">
        <f>AVERAGE(B105:M105)</f>
        <v>5532.25</v>
      </c>
    </row>
    <row r="106" spans="1:14" ht="12.75">
      <c r="A106" t="s">
        <v>46</v>
      </c>
      <c r="B106" s="4">
        <f>B69-B105</f>
        <v>388.6999999999998</v>
      </c>
      <c r="C106" s="4">
        <f aca="true" t="shared" si="56" ref="C106:M106">C69-C105</f>
        <v>436.39999999999964</v>
      </c>
      <c r="D106" s="4">
        <f t="shared" si="56"/>
        <v>-252.39999999999964</v>
      </c>
      <c r="E106" s="4">
        <f t="shared" si="56"/>
        <v>-1593.1999999999998</v>
      </c>
      <c r="F106" s="4">
        <f t="shared" si="56"/>
        <v>-1352.1000000000004</v>
      </c>
      <c r="G106" s="4">
        <f t="shared" si="56"/>
        <v>-449.1999999999998</v>
      </c>
      <c r="H106" s="4">
        <f t="shared" si="56"/>
        <v>-386</v>
      </c>
      <c r="I106" s="4">
        <f t="shared" si="56"/>
        <v>-108.10000000000036</v>
      </c>
      <c r="J106" s="4">
        <f t="shared" si="56"/>
        <v>1192.8999999999996</v>
      </c>
      <c r="K106" s="4">
        <f t="shared" si="56"/>
        <v>1215.1000000000004</v>
      </c>
      <c r="L106" s="4">
        <f t="shared" si="56"/>
        <v>812.8000000000002</v>
      </c>
      <c r="M106" s="4">
        <f t="shared" si="56"/>
        <v>95.10000000000036</v>
      </c>
      <c r="N106" s="4">
        <f>AVERAGE(B106:M106)</f>
        <v>0</v>
      </c>
    </row>
    <row r="107" spans="1:14" ht="12.75">
      <c r="A107" t="s">
        <v>51</v>
      </c>
      <c r="B107" s="21">
        <f>B106*B47*B50</f>
        <v>14545.678744999994</v>
      </c>
      <c r="C107" s="21">
        <f aca="true" t="shared" si="57" ref="C107:M107">C106*C47*C50</f>
        <v>18318.326399999984</v>
      </c>
      <c r="D107" s="21">
        <f t="shared" si="57"/>
        <v>-11505.623711999984</v>
      </c>
      <c r="E107" s="21">
        <f t="shared" si="57"/>
        <v>-65454.51897599999</v>
      </c>
      <c r="F107" s="21">
        <f t="shared" si="57"/>
        <v>-53000.58931200002</v>
      </c>
      <c r="G107" s="21">
        <f t="shared" si="57"/>
        <v>-18047.059199999992</v>
      </c>
      <c r="H107" s="21">
        <f t="shared" si="57"/>
        <v>-12303.08222</v>
      </c>
      <c r="I107" s="21">
        <f t="shared" si="57"/>
        <v>-3144.672240000011</v>
      </c>
      <c r="J107" s="21">
        <f t="shared" si="57"/>
        <v>31710.14495999999</v>
      </c>
      <c r="K107" s="21">
        <f t="shared" si="57"/>
        <v>41486.13861600002</v>
      </c>
      <c r="L107" s="21">
        <f t="shared" si="57"/>
        <v>31022.300160000006</v>
      </c>
      <c r="M107" s="21">
        <f t="shared" si="57"/>
        <v>3713.236560000014</v>
      </c>
      <c r="N107" s="21">
        <f>SUM(B107:M107)</f>
        <v>-22659.720218999988</v>
      </c>
    </row>
  </sheetData>
  <sheetProtection sheet="1" objects="1" formatCells="0" formatColumns="0" formatRows="0" insertColumns="0" insertRows="0"/>
  <printOptions horizontalCentered="1"/>
  <pageMargins left="0.25" right="0.25" top="0.5" bottom="0.5" header="0.5" footer="0.5"/>
  <pageSetup fitToHeight="1" fitToWidth="1" horizontalDpi="600" verticalDpi="600" orientation="portrait" scale="97" r:id="rId2"/>
  <ignoredErrors>
    <ignoredError sqref="N5 C17:M17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8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33" customWidth="1"/>
    <col min="2" max="13" width="6.7109375" style="33" customWidth="1"/>
    <col min="14" max="14" width="8.7109375" style="33" bestFit="1" customWidth="1"/>
    <col min="15" max="15" width="15.8515625" style="33" customWidth="1"/>
    <col min="16" max="27" width="6.7109375" style="33" customWidth="1"/>
    <col min="28" max="28" width="8.7109375" style="33" bestFit="1" customWidth="1"/>
    <col min="29" max="16384" width="9.140625" style="33" customWidth="1"/>
  </cols>
  <sheetData>
    <row r="1" spans="1:16" ht="12.75">
      <c r="A1" s="32" t="s">
        <v>17</v>
      </c>
      <c r="C1" s="32" t="s">
        <v>55</v>
      </c>
      <c r="O1" s="32" t="s">
        <v>17</v>
      </c>
      <c r="P1" s="32" t="s">
        <v>56</v>
      </c>
    </row>
    <row r="2" spans="2:28" ht="12.75"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4" t="s">
        <v>9</v>
      </c>
      <c r="L2" s="34" t="s">
        <v>10</v>
      </c>
      <c r="M2" s="34" t="s">
        <v>11</v>
      </c>
      <c r="N2" s="34" t="s">
        <v>13</v>
      </c>
      <c r="P2" s="34" t="s">
        <v>0</v>
      </c>
      <c r="Q2" s="34" t="s">
        <v>1</v>
      </c>
      <c r="R2" s="34" t="s">
        <v>2</v>
      </c>
      <c r="S2" s="34" t="s">
        <v>3</v>
      </c>
      <c r="T2" s="34" t="s">
        <v>4</v>
      </c>
      <c r="U2" s="34" t="s">
        <v>5</v>
      </c>
      <c r="V2" s="34" t="s">
        <v>6</v>
      </c>
      <c r="W2" s="34" t="s">
        <v>7</v>
      </c>
      <c r="X2" s="34" t="s">
        <v>8</v>
      </c>
      <c r="Y2" s="34" t="s">
        <v>9</v>
      </c>
      <c r="Z2" s="34" t="s">
        <v>10</v>
      </c>
      <c r="AA2" s="34" t="s">
        <v>11</v>
      </c>
      <c r="AB2" s="34" t="s">
        <v>13</v>
      </c>
    </row>
    <row r="3" spans="14:28" ht="12.75">
      <c r="N3" s="12">
        <v>100</v>
      </c>
      <c r="O3" s="33" t="s">
        <v>12</v>
      </c>
      <c r="AB3" s="12">
        <v>100</v>
      </c>
    </row>
    <row r="4" spans="1:28" ht="12.75">
      <c r="A4" s="33" t="s">
        <v>12</v>
      </c>
      <c r="B4" s="24">
        <v>100.568</v>
      </c>
      <c r="C4" s="24">
        <v>114.4</v>
      </c>
      <c r="D4" s="24">
        <v>127.244</v>
      </c>
      <c r="E4" s="24">
        <v>127.29599999999999</v>
      </c>
      <c r="F4" s="24">
        <v>124.07199999999999</v>
      </c>
      <c r="G4" s="24">
        <v>113.36</v>
      </c>
      <c r="H4" s="24">
        <v>100.672</v>
      </c>
      <c r="I4" s="24">
        <v>89.07600000000001</v>
      </c>
      <c r="J4" s="24">
        <v>84.86399999999999</v>
      </c>
      <c r="K4" s="24">
        <v>86.5072</v>
      </c>
      <c r="L4" s="24">
        <v>89.648</v>
      </c>
      <c r="M4" s="24">
        <v>90.2928</v>
      </c>
      <c r="N4" s="35">
        <v>104</v>
      </c>
      <c r="O4" s="33" t="s">
        <v>14</v>
      </c>
      <c r="P4" s="24">
        <v>100.568</v>
      </c>
      <c r="Q4" s="24">
        <v>114.4</v>
      </c>
      <c r="R4" s="24">
        <v>127.244</v>
      </c>
      <c r="S4" s="24">
        <v>127.29599999999999</v>
      </c>
      <c r="T4" s="24">
        <v>124.07199999999999</v>
      </c>
      <c r="U4" s="24">
        <v>113.36</v>
      </c>
      <c r="V4" s="24">
        <v>100.672</v>
      </c>
      <c r="W4" s="24">
        <v>89.07600000000001</v>
      </c>
      <c r="X4" s="24">
        <v>84.86399999999999</v>
      </c>
      <c r="Y4" s="24">
        <v>86.5072</v>
      </c>
      <c r="Z4" s="24">
        <v>89.648</v>
      </c>
      <c r="AA4" s="24">
        <v>90.2928</v>
      </c>
      <c r="AB4" s="35">
        <v>104</v>
      </c>
    </row>
    <row r="5" spans="1:28" ht="12.75">
      <c r="A5" s="33" t="s">
        <v>14</v>
      </c>
      <c r="B5" s="36">
        <v>96.56800000000001</v>
      </c>
      <c r="C5" s="36">
        <v>110.4</v>
      </c>
      <c r="D5" s="36">
        <v>123.24400000000001</v>
      </c>
      <c r="E5" s="36">
        <v>123.296</v>
      </c>
      <c r="F5" s="36">
        <v>120.072</v>
      </c>
      <c r="G5" s="36">
        <v>109.36</v>
      </c>
      <c r="H5" s="36">
        <v>96.67200000000001</v>
      </c>
      <c r="I5" s="36">
        <v>85.07600000000002</v>
      </c>
      <c r="J5" s="36">
        <v>80.864</v>
      </c>
      <c r="K5" s="36">
        <v>82.50720000000001</v>
      </c>
      <c r="L5" s="36">
        <v>85.64800000000001</v>
      </c>
      <c r="M5" s="36">
        <v>86.29280000000001</v>
      </c>
      <c r="N5" s="35">
        <v>100</v>
      </c>
      <c r="O5" s="33" t="s">
        <v>15</v>
      </c>
      <c r="P5" s="36">
        <v>96.56800000000001</v>
      </c>
      <c r="Q5" s="36">
        <v>110.4</v>
      </c>
      <c r="R5" s="36">
        <v>123.24400000000001</v>
      </c>
      <c r="S5" s="36">
        <v>123.296</v>
      </c>
      <c r="T5" s="36">
        <v>120.072</v>
      </c>
      <c r="U5" s="36">
        <v>109.36</v>
      </c>
      <c r="V5" s="36">
        <v>96.67200000000001</v>
      </c>
      <c r="W5" s="36">
        <v>85.07600000000002</v>
      </c>
      <c r="X5" s="36">
        <v>80.864</v>
      </c>
      <c r="Y5" s="36">
        <v>82.50720000000001</v>
      </c>
      <c r="Z5" s="36">
        <v>85.64800000000001</v>
      </c>
      <c r="AA5" s="36">
        <v>86.29280000000001</v>
      </c>
      <c r="AB5" s="35">
        <v>100</v>
      </c>
    </row>
    <row r="6" spans="1:28" ht="12.75">
      <c r="A6" s="33" t="s">
        <v>15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37">
        <v>0</v>
      </c>
      <c r="O6" s="33" t="s">
        <v>22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37">
        <v>0</v>
      </c>
    </row>
    <row r="7" spans="1:28" ht="12.75">
      <c r="A7" s="33" t="s">
        <v>22</v>
      </c>
      <c r="B7" s="36">
        <v>3.999999999999986</v>
      </c>
      <c r="C7" s="36">
        <v>3.999999999999986</v>
      </c>
      <c r="D7" s="36">
        <v>3.999999999999986</v>
      </c>
      <c r="E7" s="36">
        <v>3.999999999999986</v>
      </c>
      <c r="F7" s="36">
        <v>3.999999999999986</v>
      </c>
      <c r="G7" s="36">
        <v>3.999999999999986</v>
      </c>
      <c r="H7" s="36">
        <v>3.999999999999986</v>
      </c>
      <c r="I7" s="36">
        <v>3.999999999999986</v>
      </c>
      <c r="J7" s="36">
        <v>3.999999999999986</v>
      </c>
      <c r="K7" s="36">
        <v>3.999999999999986</v>
      </c>
      <c r="L7" s="36">
        <v>3.999999999999986</v>
      </c>
      <c r="M7" s="36">
        <v>3.999999999999986</v>
      </c>
      <c r="N7" s="35">
        <v>3.999999999999986</v>
      </c>
      <c r="O7" s="33" t="s">
        <v>16</v>
      </c>
      <c r="P7" s="36">
        <v>3.999999999999986</v>
      </c>
      <c r="Q7" s="36">
        <v>3.999999999999986</v>
      </c>
      <c r="R7" s="36">
        <v>3.999999999999986</v>
      </c>
      <c r="S7" s="36">
        <v>3.999999999999986</v>
      </c>
      <c r="T7" s="36">
        <v>3.999999999999986</v>
      </c>
      <c r="U7" s="36">
        <v>3.999999999999986</v>
      </c>
      <c r="V7" s="36">
        <v>3.999999999999986</v>
      </c>
      <c r="W7" s="36">
        <v>3.999999999999986</v>
      </c>
      <c r="X7" s="36">
        <v>3.999999999999986</v>
      </c>
      <c r="Y7" s="36">
        <v>3.999999999999986</v>
      </c>
      <c r="Z7" s="36">
        <v>3.999999999999986</v>
      </c>
      <c r="AA7" s="36">
        <v>3.999999999999986</v>
      </c>
      <c r="AB7" s="35">
        <v>3.999999999999986</v>
      </c>
    </row>
    <row r="8" spans="1:28" ht="12.75">
      <c r="A8" s="33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5"/>
      <c r="O8" s="38" t="s">
        <v>53</v>
      </c>
      <c r="AB8" s="39"/>
    </row>
    <row r="9" spans="1:28" ht="12.75">
      <c r="A9" s="38" t="s">
        <v>53</v>
      </c>
      <c r="B9" s="33">
        <v>1227.3503096</v>
      </c>
      <c r="C9" s="33">
        <v>1997.5334400000002</v>
      </c>
      <c r="D9" s="33">
        <v>2576.5883616000006</v>
      </c>
      <c r="E9" s="33">
        <v>2022.6955392000002</v>
      </c>
      <c r="F9" s="33">
        <v>1934.6480927999999</v>
      </c>
      <c r="G9" s="33">
        <v>1694.8087872000003</v>
      </c>
      <c r="H9" s="33">
        <v>775.6999948800001</v>
      </c>
      <c r="I9" s="33">
        <v>375.3485059200001</v>
      </c>
      <c r="J9" s="33">
        <v>218.3328</v>
      </c>
      <c r="K9" s="33">
        <v>780.8217384960002</v>
      </c>
      <c r="L9" s="33">
        <v>1155.2818905600002</v>
      </c>
      <c r="M9" s="33">
        <v>1308.47498496</v>
      </c>
      <c r="N9" s="39">
        <v>16067.584445216</v>
      </c>
      <c r="O9" s="33" t="s">
        <v>15</v>
      </c>
      <c r="P9" s="40">
        <v>1227.3503096</v>
      </c>
      <c r="Q9" s="40">
        <v>1997.5334400000002</v>
      </c>
      <c r="R9" s="40">
        <v>2576.5883616000006</v>
      </c>
      <c r="S9" s="40">
        <v>2022.6955392000002</v>
      </c>
      <c r="T9" s="40">
        <v>1934.6480927999999</v>
      </c>
      <c r="U9" s="40">
        <v>1694.8087872000003</v>
      </c>
      <c r="V9" s="40">
        <v>775.6999948800001</v>
      </c>
      <c r="W9" s="40">
        <v>375.3485059200001</v>
      </c>
      <c r="X9" s="40">
        <v>218.3328</v>
      </c>
      <c r="Y9" s="40">
        <v>780.8217384960002</v>
      </c>
      <c r="Z9" s="40">
        <v>1155.2818905600002</v>
      </c>
      <c r="AA9" s="40">
        <v>1308.47498496</v>
      </c>
      <c r="AB9" s="40">
        <v>16067.584445216</v>
      </c>
    </row>
    <row r="10" spans="1:28" ht="12.75">
      <c r="A10" s="33" t="s">
        <v>15</v>
      </c>
      <c r="B10" s="40">
        <v>149.68539999999945</v>
      </c>
      <c r="C10" s="40">
        <v>167.9039999999994</v>
      </c>
      <c r="D10" s="40">
        <v>182.33951999999937</v>
      </c>
      <c r="E10" s="40">
        <v>164.3347199999994</v>
      </c>
      <c r="F10" s="40">
        <v>156.79487999999944</v>
      </c>
      <c r="G10" s="40">
        <v>160.7039999999994</v>
      </c>
      <c r="H10" s="40">
        <v>127.49307999999954</v>
      </c>
      <c r="I10" s="40">
        <v>116.36159999999958</v>
      </c>
      <c r="J10" s="40">
        <v>106.32959999999963</v>
      </c>
      <c r="K10" s="40">
        <v>136.5686399999995</v>
      </c>
      <c r="L10" s="40">
        <v>152.66879999999944</v>
      </c>
      <c r="M10" s="40">
        <v>156.18239999999943</v>
      </c>
      <c r="N10" s="40">
        <v>1777.3666399999936</v>
      </c>
      <c r="O10" s="33" t="s">
        <v>16</v>
      </c>
      <c r="P10" s="40">
        <v>149.68539999999945</v>
      </c>
      <c r="Q10" s="40">
        <v>167.9039999999994</v>
      </c>
      <c r="R10" s="40">
        <v>182.33951999999937</v>
      </c>
      <c r="S10" s="40">
        <v>164.3347199999994</v>
      </c>
      <c r="T10" s="40">
        <v>156.79487999999944</v>
      </c>
      <c r="U10" s="40">
        <v>160.7039999999994</v>
      </c>
      <c r="V10" s="40">
        <v>127.49307999999954</v>
      </c>
      <c r="W10" s="40">
        <v>116.36159999999958</v>
      </c>
      <c r="X10" s="40">
        <v>106.32959999999963</v>
      </c>
      <c r="Y10" s="40">
        <v>136.5686399999995</v>
      </c>
      <c r="Z10" s="40">
        <v>152.66879999999944</v>
      </c>
      <c r="AA10" s="40">
        <v>156.18239999999943</v>
      </c>
      <c r="AB10" s="40">
        <v>1777.3666399999936</v>
      </c>
    </row>
    <row r="11" spans="1:28" ht="12.75">
      <c r="A11" s="33" t="s">
        <v>16</v>
      </c>
      <c r="B11" s="40">
        <v>1377.0357095999993</v>
      </c>
      <c r="C11" s="40">
        <v>2165.4374399999997</v>
      </c>
      <c r="D11" s="40">
        <v>2758.9278816</v>
      </c>
      <c r="E11" s="40">
        <v>2187.0302592</v>
      </c>
      <c r="F11" s="40">
        <v>2091.442972799999</v>
      </c>
      <c r="G11" s="40">
        <v>1855.5127871999998</v>
      </c>
      <c r="H11" s="40">
        <v>903.1930748799996</v>
      </c>
      <c r="I11" s="40">
        <v>491.7101059199997</v>
      </c>
      <c r="J11" s="40">
        <v>324.6623999999996</v>
      </c>
      <c r="K11" s="40">
        <v>917.3903784959997</v>
      </c>
      <c r="L11" s="40">
        <v>1307.9506905599997</v>
      </c>
      <c r="M11" s="40">
        <v>1464.6573849599995</v>
      </c>
      <c r="N11" s="40">
        <v>17844.951085215995</v>
      </c>
      <c r="O11" s="33" t="s">
        <v>23</v>
      </c>
      <c r="P11" s="40">
        <v>1377.0357095999993</v>
      </c>
      <c r="Q11" s="40">
        <v>2165.4374399999997</v>
      </c>
      <c r="R11" s="40">
        <v>2758.9278816</v>
      </c>
      <c r="S11" s="40">
        <v>2187.0302592</v>
      </c>
      <c r="T11" s="40">
        <v>2091.442972799999</v>
      </c>
      <c r="U11" s="40">
        <v>1855.5127871999998</v>
      </c>
      <c r="V11" s="40">
        <v>903.1930748799996</v>
      </c>
      <c r="W11" s="40">
        <v>491.7101059199997</v>
      </c>
      <c r="X11" s="40">
        <v>324.6623999999996</v>
      </c>
      <c r="Y11" s="40">
        <v>917.3903784959997</v>
      </c>
      <c r="Z11" s="40">
        <v>1307.9506905599997</v>
      </c>
      <c r="AA11" s="40">
        <v>1464.6573849599995</v>
      </c>
      <c r="AB11" s="40">
        <v>17844.951085215995</v>
      </c>
    </row>
    <row r="12" spans="1:28" ht="12.75">
      <c r="A12" s="33" t="s">
        <v>23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33" t="s">
        <v>26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</row>
    <row r="13" spans="1:28" ht="12.75">
      <c r="A13" s="33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>
        <v>17844.951085215995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>
        <v>17844.951085215995</v>
      </c>
    </row>
    <row r="14" spans="2:15" ht="12.7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32" t="s">
        <v>18</v>
      </c>
    </row>
    <row r="15" spans="1:28" ht="12.75">
      <c r="A15" s="32" t="s">
        <v>18</v>
      </c>
      <c r="B15" s="33">
        <v>96</v>
      </c>
      <c r="C15" s="33">
        <v>108.8</v>
      </c>
      <c r="D15" s="33">
        <v>120.7</v>
      </c>
      <c r="E15" s="33">
        <v>120.7</v>
      </c>
      <c r="F15" s="33">
        <v>117.7</v>
      </c>
      <c r="G15" s="33">
        <v>107.9</v>
      </c>
      <c r="H15" s="33">
        <v>96</v>
      </c>
      <c r="I15" s="33">
        <v>85.1</v>
      </c>
      <c r="J15" s="33">
        <v>81.1</v>
      </c>
      <c r="K15" s="33">
        <v>82.1</v>
      </c>
      <c r="L15" s="33">
        <v>85.1</v>
      </c>
      <c r="M15" s="33">
        <v>86.1</v>
      </c>
      <c r="N15" s="33">
        <v>98.94166666666666</v>
      </c>
      <c r="O15" s="33" t="s">
        <v>12</v>
      </c>
      <c r="P15" s="36">
        <v>96</v>
      </c>
      <c r="Q15" s="36">
        <v>108.8</v>
      </c>
      <c r="R15" s="36">
        <v>120.7</v>
      </c>
      <c r="S15" s="36">
        <v>120.7</v>
      </c>
      <c r="T15" s="36">
        <v>117.7</v>
      </c>
      <c r="U15" s="36">
        <v>107.9</v>
      </c>
      <c r="V15" s="36">
        <v>96</v>
      </c>
      <c r="W15" s="36">
        <v>85.1</v>
      </c>
      <c r="X15" s="36">
        <v>81.1</v>
      </c>
      <c r="Y15" s="36">
        <v>82.1</v>
      </c>
      <c r="Z15" s="36">
        <v>85.1</v>
      </c>
      <c r="AA15" s="36">
        <v>86.1</v>
      </c>
      <c r="AB15" s="35">
        <v>98.94166666666666</v>
      </c>
    </row>
    <row r="16" spans="1:28" ht="12.75">
      <c r="A16" s="33" t="s">
        <v>12</v>
      </c>
      <c r="B16" s="36">
        <v>100.568</v>
      </c>
      <c r="C16" s="36">
        <v>114.4</v>
      </c>
      <c r="D16" s="36">
        <v>127.244</v>
      </c>
      <c r="E16" s="36">
        <v>127.29599999999999</v>
      </c>
      <c r="F16" s="36">
        <v>124.07199999999999</v>
      </c>
      <c r="G16" s="36">
        <v>113.36</v>
      </c>
      <c r="H16" s="36">
        <v>100.672</v>
      </c>
      <c r="I16" s="36">
        <v>89.07600000000001</v>
      </c>
      <c r="J16" s="36">
        <v>84.86399999999999</v>
      </c>
      <c r="K16" s="36">
        <v>86.5072</v>
      </c>
      <c r="L16" s="36">
        <v>89.648</v>
      </c>
      <c r="M16" s="36">
        <v>90.2928</v>
      </c>
      <c r="N16" s="35">
        <v>104</v>
      </c>
      <c r="O16" s="33" t="s">
        <v>14</v>
      </c>
      <c r="P16" s="24">
        <v>100.568</v>
      </c>
      <c r="Q16" s="24">
        <v>114.4</v>
      </c>
      <c r="R16" s="24">
        <v>127.244</v>
      </c>
      <c r="S16" s="24">
        <v>127.29599999999999</v>
      </c>
      <c r="T16" s="24">
        <v>124.07199999999999</v>
      </c>
      <c r="U16" s="24">
        <v>113.36</v>
      </c>
      <c r="V16" s="24">
        <v>100.672</v>
      </c>
      <c r="W16" s="24">
        <v>89.07600000000001</v>
      </c>
      <c r="X16" s="24">
        <v>84.86399999999999</v>
      </c>
      <c r="Y16" s="24">
        <v>86.5072</v>
      </c>
      <c r="Z16" s="24">
        <v>89.648</v>
      </c>
      <c r="AA16" s="24">
        <v>90.2928</v>
      </c>
      <c r="AB16" s="35">
        <v>104</v>
      </c>
    </row>
    <row r="17" spans="1:28" ht="12.75">
      <c r="A17" s="33" t="s">
        <v>14</v>
      </c>
      <c r="B17" s="24">
        <v>96</v>
      </c>
      <c r="C17" s="24">
        <v>108.8</v>
      </c>
      <c r="D17" s="24">
        <v>120.7</v>
      </c>
      <c r="E17" s="24">
        <v>120.7</v>
      </c>
      <c r="F17" s="24">
        <v>117.7</v>
      </c>
      <c r="G17" s="24">
        <v>107.9</v>
      </c>
      <c r="H17" s="24">
        <v>96</v>
      </c>
      <c r="I17" s="24">
        <v>85.1</v>
      </c>
      <c r="J17" s="24">
        <v>81.1</v>
      </c>
      <c r="K17" s="24">
        <v>82.1</v>
      </c>
      <c r="L17" s="24">
        <v>85.1</v>
      </c>
      <c r="M17" s="24">
        <v>86.1</v>
      </c>
      <c r="N17" s="35">
        <v>98.94166666666666</v>
      </c>
      <c r="O17" s="33" t="s">
        <v>15</v>
      </c>
      <c r="P17" s="36">
        <v>96</v>
      </c>
      <c r="Q17" s="36">
        <v>108.8</v>
      </c>
      <c r="R17" s="36">
        <v>120.7</v>
      </c>
      <c r="S17" s="36">
        <v>120.7</v>
      </c>
      <c r="T17" s="36">
        <v>117.7</v>
      </c>
      <c r="U17" s="36">
        <v>107.9</v>
      </c>
      <c r="V17" s="36">
        <v>96</v>
      </c>
      <c r="W17" s="36">
        <v>85.1</v>
      </c>
      <c r="X17" s="36">
        <v>81.1</v>
      </c>
      <c r="Y17" s="36">
        <v>82.1</v>
      </c>
      <c r="Z17" s="36">
        <v>85.1</v>
      </c>
      <c r="AA17" s="36">
        <v>86.1</v>
      </c>
      <c r="AB17" s="35">
        <v>98.94166666666666</v>
      </c>
    </row>
    <row r="18" spans="1:28" ht="12.75">
      <c r="A18" s="33" t="s">
        <v>15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>
        <v>0</v>
      </c>
      <c r="O18" s="33" t="s">
        <v>22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5">
        <v>0</v>
      </c>
    </row>
    <row r="19" spans="1:28" ht="12.75">
      <c r="A19" s="33" t="s">
        <v>22</v>
      </c>
      <c r="B19" s="36">
        <v>4.567999999999998</v>
      </c>
      <c r="C19" s="36">
        <v>5.6000000000000085</v>
      </c>
      <c r="D19" s="36">
        <v>6.543999999999997</v>
      </c>
      <c r="E19" s="36">
        <v>6.595999999999989</v>
      </c>
      <c r="F19" s="36">
        <v>6.371999999999986</v>
      </c>
      <c r="G19" s="36">
        <v>5.460000000000008</v>
      </c>
      <c r="H19" s="36">
        <v>4.671999999999997</v>
      </c>
      <c r="I19" s="36">
        <v>3.9760000000000133</v>
      </c>
      <c r="J19" s="36">
        <v>3.763999999999996</v>
      </c>
      <c r="K19" s="36">
        <v>4.407200000000003</v>
      </c>
      <c r="L19" s="36">
        <v>4.548000000000002</v>
      </c>
      <c r="M19" s="36">
        <v>4.192800000000005</v>
      </c>
      <c r="N19" s="35">
        <v>5.058333333333334</v>
      </c>
      <c r="O19" s="33" t="s">
        <v>16</v>
      </c>
      <c r="P19" s="36">
        <v>4.567999999999998</v>
      </c>
      <c r="Q19" s="36">
        <v>5.6000000000000085</v>
      </c>
      <c r="R19" s="36">
        <v>6.543999999999997</v>
      </c>
      <c r="S19" s="36">
        <v>6.595999999999989</v>
      </c>
      <c r="T19" s="36">
        <v>6.371999999999986</v>
      </c>
      <c r="U19" s="36">
        <v>5.460000000000008</v>
      </c>
      <c r="V19" s="36">
        <v>4.671999999999997</v>
      </c>
      <c r="W19" s="36">
        <v>3.9760000000000133</v>
      </c>
      <c r="X19" s="36">
        <v>3.763999999999996</v>
      </c>
      <c r="Y19" s="36">
        <v>4.407200000000003</v>
      </c>
      <c r="Z19" s="36">
        <v>4.548000000000002</v>
      </c>
      <c r="AA19" s="36">
        <v>4.192800000000005</v>
      </c>
      <c r="AB19" s="35">
        <v>5.058333333333334</v>
      </c>
    </row>
    <row r="20" spans="1:15" ht="12.75">
      <c r="A20" s="33" t="s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  <c r="O20" s="38" t="s">
        <v>53</v>
      </c>
    </row>
    <row r="21" spans="1:28" ht="12.75">
      <c r="A21" s="38" t="s">
        <v>53</v>
      </c>
      <c r="B21" s="33">
        <v>1220.1311999999998</v>
      </c>
      <c r="C21" s="33">
        <v>1968.58368</v>
      </c>
      <c r="D21" s="33">
        <v>2523.40248</v>
      </c>
      <c r="E21" s="33">
        <v>1980.10764</v>
      </c>
      <c r="F21" s="33">
        <v>1896.4294799999996</v>
      </c>
      <c r="G21" s="33">
        <v>1672.182408</v>
      </c>
      <c r="H21" s="33">
        <v>770.30784</v>
      </c>
      <c r="I21" s="33">
        <v>375.4543919999999</v>
      </c>
      <c r="J21" s="33">
        <v>218.97</v>
      </c>
      <c r="K21" s="33">
        <v>776.968128</v>
      </c>
      <c r="L21" s="33">
        <v>1147.8900719999997</v>
      </c>
      <c r="M21" s="33">
        <v>1305.5515199999998</v>
      </c>
      <c r="N21" s="33">
        <v>15855.978839999998</v>
      </c>
      <c r="O21" s="33" t="s">
        <v>15</v>
      </c>
      <c r="P21" s="40">
        <v>1220.1311999999998</v>
      </c>
      <c r="Q21" s="40">
        <v>1968.58368</v>
      </c>
      <c r="R21" s="40">
        <v>2523.40248</v>
      </c>
      <c r="S21" s="40">
        <v>1980.10764</v>
      </c>
      <c r="T21" s="40">
        <v>1896.4294799999996</v>
      </c>
      <c r="U21" s="40">
        <v>1672.182408</v>
      </c>
      <c r="V21" s="40">
        <v>770.30784</v>
      </c>
      <c r="W21" s="40">
        <v>375.4543919999999</v>
      </c>
      <c r="X21" s="40">
        <v>218.97</v>
      </c>
      <c r="Y21" s="40">
        <v>776.968128</v>
      </c>
      <c r="Z21" s="40">
        <v>1147.8900719999997</v>
      </c>
      <c r="AA21" s="40">
        <v>1305.5515199999998</v>
      </c>
      <c r="AB21" s="40">
        <v>15855.978839999998</v>
      </c>
    </row>
    <row r="22" spans="1:28" ht="12.75">
      <c r="A22" s="33" t="s">
        <v>15</v>
      </c>
      <c r="B22" s="40">
        <v>170.9407267999999</v>
      </c>
      <c r="C22" s="40">
        <v>235.06560000000036</v>
      </c>
      <c r="D22" s="40">
        <v>298.30745471999984</v>
      </c>
      <c r="E22" s="40">
        <v>270.98795327999954</v>
      </c>
      <c r="F22" s="40">
        <v>249.77424383999943</v>
      </c>
      <c r="G22" s="40">
        <v>219.36096000000035</v>
      </c>
      <c r="H22" s="40">
        <v>148.91191743999988</v>
      </c>
      <c r="I22" s="40">
        <v>115.66343040000038</v>
      </c>
      <c r="J22" s="40">
        <v>100.05615359999989</v>
      </c>
      <c r="K22" s="40">
        <v>150.4713275520001</v>
      </c>
      <c r="L22" s="40">
        <v>173.58442560000006</v>
      </c>
      <c r="M22" s="40">
        <v>163.71039168000019</v>
      </c>
      <c r="N22" s="40">
        <v>2296.8345849119996</v>
      </c>
      <c r="O22" s="33" t="s">
        <v>16</v>
      </c>
      <c r="P22" s="40">
        <v>170.9407267999999</v>
      </c>
      <c r="Q22" s="40">
        <v>235.06560000000036</v>
      </c>
      <c r="R22" s="40">
        <v>298.30745471999984</v>
      </c>
      <c r="S22" s="40">
        <v>270.98795327999954</v>
      </c>
      <c r="T22" s="40">
        <v>249.77424383999943</v>
      </c>
      <c r="U22" s="40">
        <v>219.36096000000035</v>
      </c>
      <c r="V22" s="40">
        <v>148.91191743999988</v>
      </c>
      <c r="W22" s="40">
        <v>115.66343040000038</v>
      </c>
      <c r="X22" s="40">
        <v>100.05615359999989</v>
      </c>
      <c r="Y22" s="40">
        <v>150.4713275520001</v>
      </c>
      <c r="Z22" s="40">
        <v>173.58442560000006</v>
      </c>
      <c r="AA22" s="40">
        <v>163.71039168000019</v>
      </c>
      <c r="AB22" s="40">
        <v>2296.8345849119996</v>
      </c>
    </row>
    <row r="23" spans="1:28" ht="12.75">
      <c r="A23" s="33" t="s">
        <v>16</v>
      </c>
      <c r="B23" s="40">
        <v>1391.0719267999998</v>
      </c>
      <c r="C23" s="40">
        <v>2203.6492800000005</v>
      </c>
      <c r="D23" s="40">
        <v>2821.70993472</v>
      </c>
      <c r="E23" s="40">
        <v>2251.0955932799993</v>
      </c>
      <c r="F23" s="40">
        <v>2146.203723839999</v>
      </c>
      <c r="G23" s="40">
        <v>1891.5433680000003</v>
      </c>
      <c r="H23" s="40">
        <v>919.21975744</v>
      </c>
      <c r="I23" s="40">
        <v>491.1178224000003</v>
      </c>
      <c r="J23" s="40">
        <v>319.0261535999999</v>
      </c>
      <c r="K23" s="40">
        <v>927.439455552</v>
      </c>
      <c r="L23" s="40">
        <v>1321.4744975999997</v>
      </c>
      <c r="M23" s="40">
        <v>1469.26191168</v>
      </c>
      <c r="N23" s="40">
        <v>18152.813424911998</v>
      </c>
      <c r="O23" s="33" t="s">
        <v>23</v>
      </c>
      <c r="P23" s="40">
        <v>1391.0719267999998</v>
      </c>
      <c r="Q23" s="40">
        <v>2203.6492800000005</v>
      </c>
      <c r="R23" s="40">
        <v>2821.70993472</v>
      </c>
      <c r="S23" s="40">
        <v>2251.0955932799993</v>
      </c>
      <c r="T23" s="40">
        <v>2146.203723839999</v>
      </c>
      <c r="U23" s="40">
        <v>1891.5433680000003</v>
      </c>
      <c r="V23" s="40">
        <v>919.21975744</v>
      </c>
      <c r="W23" s="40">
        <v>491.1178224000003</v>
      </c>
      <c r="X23" s="40">
        <v>319.0261535999999</v>
      </c>
      <c r="Y23" s="40">
        <v>927.439455552</v>
      </c>
      <c r="Z23" s="40">
        <v>1321.4744975999997</v>
      </c>
      <c r="AA23" s="40">
        <v>1469.26191168</v>
      </c>
      <c r="AB23" s="40">
        <v>18152.813424911998</v>
      </c>
    </row>
    <row r="24" spans="1:28" ht="12.75">
      <c r="A24" s="33" t="s">
        <v>23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33" t="s">
        <v>26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</row>
    <row r="25" spans="1:28" ht="12.75">
      <c r="A25" s="33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>
        <v>18152.813424911998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>
        <v>18152.813424911998</v>
      </c>
    </row>
    <row r="26" spans="2:15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32" t="s">
        <v>25</v>
      </c>
    </row>
    <row r="27" spans="1:28" ht="12.75">
      <c r="A27" s="32" t="s">
        <v>25</v>
      </c>
      <c r="N27" s="43">
        <v>0.0139858509807578</v>
      </c>
      <c r="O27" s="33" t="s">
        <v>25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43">
        <v>0.0139858509807578</v>
      </c>
    </row>
    <row r="28" spans="1:28" ht="12.75">
      <c r="A28" s="33" t="s">
        <v>25</v>
      </c>
      <c r="B28" s="35">
        <v>100.568</v>
      </c>
      <c r="C28" s="35">
        <v>114.4</v>
      </c>
      <c r="D28" s="35">
        <v>127.244</v>
      </c>
      <c r="E28" s="35">
        <v>127.29599999999999</v>
      </c>
      <c r="F28" s="35">
        <v>124.07199999999999</v>
      </c>
      <c r="G28" s="35">
        <v>113.36</v>
      </c>
      <c r="H28" s="35">
        <v>100.672</v>
      </c>
      <c r="I28" s="35">
        <v>89.07600000000001</v>
      </c>
      <c r="J28" s="35">
        <v>84.86399999999999</v>
      </c>
      <c r="K28" s="35">
        <v>86.5072</v>
      </c>
      <c r="L28" s="35">
        <v>89.648</v>
      </c>
      <c r="M28" s="35">
        <v>90.2928</v>
      </c>
      <c r="N28" s="35">
        <v>104</v>
      </c>
      <c r="O28" s="33" t="s">
        <v>14</v>
      </c>
      <c r="P28" s="24">
        <v>100.568</v>
      </c>
      <c r="Q28" s="24">
        <v>114.4</v>
      </c>
      <c r="R28" s="24">
        <v>127.244</v>
      </c>
      <c r="S28" s="24">
        <v>127.29599999999999</v>
      </c>
      <c r="T28" s="24">
        <v>124.07199999999999</v>
      </c>
      <c r="U28" s="24">
        <v>113.36</v>
      </c>
      <c r="V28" s="24">
        <v>100.672</v>
      </c>
      <c r="W28" s="24">
        <v>89.07600000000001</v>
      </c>
      <c r="X28" s="24">
        <v>84.86399999999999</v>
      </c>
      <c r="Y28" s="24">
        <v>86.5072</v>
      </c>
      <c r="Z28" s="24">
        <v>89.648</v>
      </c>
      <c r="AA28" s="24">
        <v>90.2928</v>
      </c>
      <c r="AB28" s="35">
        <v>104</v>
      </c>
    </row>
    <row r="29" spans="1:28" ht="12.75">
      <c r="A29" s="33" t="s">
        <v>14</v>
      </c>
      <c r="B29" s="24">
        <v>98</v>
      </c>
      <c r="C29" s="24">
        <v>112</v>
      </c>
      <c r="D29" s="24">
        <v>110</v>
      </c>
      <c r="E29" s="24">
        <v>87.8</v>
      </c>
      <c r="F29" s="24">
        <v>90.6</v>
      </c>
      <c r="G29" s="24">
        <v>95</v>
      </c>
      <c r="H29" s="24">
        <v>88</v>
      </c>
      <c r="I29" s="24">
        <v>87.8</v>
      </c>
      <c r="J29" s="24">
        <v>116.3</v>
      </c>
      <c r="K29" s="24">
        <v>115.4</v>
      </c>
      <c r="L29" s="24">
        <v>107.6</v>
      </c>
      <c r="M29" s="24">
        <v>91.6</v>
      </c>
      <c r="N29" s="35">
        <v>100.00833333333331</v>
      </c>
      <c r="O29" s="33" t="s">
        <v>15</v>
      </c>
      <c r="P29" s="36">
        <v>98</v>
      </c>
      <c r="Q29" s="36">
        <v>112</v>
      </c>
      <c r="R29" s="36">
        <v>110</v>
      </c>
      <c r="S29" s="36">
        <v>87.8</v>
      </c>
      <c r="T29" s="36">
        <v>90.6</v>
      </c>
      <c r="U29" s="36">
        <v>95</v>
      </c>
      <c r="V29" s="36">
        <v>88</v>
      </c>
      <c r="W29" s="36">
        <v>87.8</v>
      </c>
      <c r="X29" s="36">
        <v>116.3</v>
      </c>
      <c r="Y29" s="36">
        <v>115.4</v>
      </c>
      <c r="Z29" s="36">
        <v>107.6</v>
      </c>
      <c r="AA29" s="36">
        <v>91.6</v>
      </c>
      <c r="AB29" s="35">
        <v>100.00833333333331</v>
      </c>
    </row>
    <row r="30" spans="1:28" ht="12.75">
      <c r="A30" s="33" t="s">
        <v>15</v>
      </c>
      <c r="B30" s="36">
        <v>2.567999999999998</v>
      </c>
      <c r="C30" s="36">
        <v>2.4000000000000057</v>
      </c>
      <c r="D30" s="36">
        <v>17.244</v>
      </c>
      <c r="E30" s="36">
        <v>39.495999999999995</v>
      </c>
      <c r="F30" s="36">
        <v>33.471999999999994</v>
      </c>
      <c r="G30" s="36">
        <v>18.36</v>
      </c>
      <c r="H30" s="36">
        <v>12.671999999999997</v>
      </c>
      <c r="I30" s="36">
        <v>1.2760000000000105</v>
      </c>
      <c r="J30" s="36">
        <v>0</v>
      </c>
      <c r="K30" s="36">
        <v>0</v>
      </c>
      <c r="L30" s="36">
        <v>0</v>
      </c>
      <c r="M30" s="36">
        <v>0</v>
      </c>
      <c r="N30" s="35">
        <v>10.624</v>
      </c>
      <c r="O30" s="33" t="s">
        <v>22</v>
      </c>
      <c r="P30" s="24">
        <v>2.567999999999998</v>
      </c>
      <c r="Q30" s="24">
        <v>2.4000000000000057</v>
      </c>
      <c r="R30" s="24">
        <v>17.244</v>
      </c>
      <c r="S30" s="24">
        <v>39.495999999999995</v>
      </c>
      <c r="T30" s="24">
        <v>33.471999999999994</v>
      </c>
      <c r="U30" s="24">
        <v>18.36</v>
      </c>
      <c r="V30" s="24">
        <v>12.671999999999997</v>
      </c>
      <c r="W30" s="24">
        <v>1.2760000000000105</v>
      </c>
      <c r="X30" s="24">
        <v>0</v>
      </c>
      <c r="Y30" s="24">
        <v>0</v>
      </c>
      <c r="Z30" s="24">
        <v>0</v>
      </c>
      <c r="AA30" s="24">
        <v>0</v>
      </c>
      <c r="AB30" s="35">
        <v>10.624</v>
      </c>
    </row>
    <row r="31" spans="1:28" ht="12.75">
      <c r="A31" s="3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5">
        <v>0</v>
      </c>
      <c r="O31" s="33" t="s">
        <v>16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5">
        <v>0</v>
      </c>
    </row>
    <row r="32" spans="1:15" ht="12.75">
      <c r="A32" s="33" t="s">
        <v>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5"/>
      <c r="O32" s="38" t="s">
        <v>53</v>
      </c>
    </row>
    <row r="33" spans="1:28" ht="12.75">
      <c r="A33" s="38" t="s">
        <v>53</v>
      </c>
      <c r="B33" s="33">
        <v>1245.5506</v>
      </c>
      <c r="C33" s="33">
        <v>2026.4832</v>
      </c>
      <c r="D33" s="33">
        <v>2299.704</v>
      </c>
      <c r="E33" s="33">
        <v>1440.3765600000002</v>
      </c>
      <c r="F33" s="33">
        <v>1459.7834399999997</v>
      </c>
      <c r="G33" s="33">
        <v>1472.2643999999998</v>
      </c>
      <c r="H33" s="33">
        <v>706.11552</v>
      </c>
      <c r="I33" s="33">
        <v>387.366576</v>
      </c>
      <c r="J33" s="33">
        <v>314.01</v>
      </c>
      <c r="K33" s="33">
        <v>1092.108672</v>
      </c>
      <c r="L33" s="33">
        <v>1451.386272</v>
      </c>
      <c r="M33" s="33">
        <v>1388.9491199999998</v>
      </c>
      <c r="N33" s="33">
        <v>15284.09836</v>
      </c>
      <c r="O33" s="33" t="s">
        <v>15</v>
      </c>
      <c r="P33" s="40">
        <v>1245.5506</v>
      </c>
      <c r="Q33" s="40">
        <v>2026.4832</v>
      </c>
      <c r="R33" s="40">
        <v>2299.704</v>
      </c>
      <c r="S33" s="40">
        <v>1440.3765600000002</v>
      </c>
      <c r="T33" s="40">
        <v>1459.7834399999997</v>
      </c>
      <c r="U33" s="40">
        <v>1472.2643999999998</v>
      </c>
      <c r="V33" s="40">
        <v>706.11552</v>
      </c>
      <c r="W33" s="40">
        <v>387.366576</v>
      </c>
      <c r="X33" s="40">
        <v>314.01</v>
      </c>
      <c r="Y33" s="40">
        <v>1092.108672</v>
      </c>
      <c r="Z33" s="40">
        <v>1451.386272</v>
      </c>
      <c r="AA33" s="40">
        <v>1388.9491199999998</v>
      </c>
      <c r="AB33" s="40">
        <v>15284.09836</v>
      </c>
    </row>
    <row r="34" spans="1:28" ht="12.75">
      <c r="A34" s="33" t="s">
        <v>15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33" t="s">
        <v>16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</row>
    <row r="35" spans="1:28" ht="12.75">
      <c r="A35" s="33" t="s">
        <v>16</v>
      </c>
      <c r="B35" s="40">
        <v>1245.5506</v>
      </c>
      <c r="C35" s="40">
        <v>2026.4832</v>
      </c>
      <c r="D35" s="40">
        <v>2299.704</v>
      </c>
      <c r="E35" s="40">
        <v>1440.3765600000002</v>
      </c>
      <c r="F35" s="40">
        <v>1459.7834399999997</v>
      </c>
      <c r="G35" s="40">
        <v>1472.2643999999998</v>
      </c>
      <c r="H35" s="40">
        <v>706.11552</v>
      </c>
      <c r="I35" s="40">
        <v>387.366576</v>
      </c>
      <c r="J35" s="40">
        <v>314.01</v>
      </c>
      <c r="K35" s="40">
        <v>1092.108672</v>
      </c>
      <c r="L35" s="40">
        <v>1451.386272</v>
      </c>
      <c r="M35" s="40">
        <v>1388.9491199999998</v>
      </c>
      <c r="N35" s="40">
        <v>15284.09836</v>
      </c>
      <c r="O35" s="33" t="s">
        <v>23</v>
      </c>
      <c r="P35" s="40">
        <v>1245.5506</v>
      </c>
      <c r="Q35" s="40">
        <v>2026.4832</v>
      </c>
      <c r="R35" s="40">
        <v>2299.704</v>
      </c>
      <c r="S35" s="40">
        <v>1440.3765600000002</v>
      </c>
      <c r="T35" s="40">
        <v>1459.7834399999997</v>
      </c>
      <c r="U35" s="40">
        <v>1472.2643999999998</v>
      </c>
      <c r="V35" s="40">
        <v>706.11552</v>
      </c>
      <c r="W35" s="40">
        <v>387.366576</v>
      </c>
      <c r="X35" s="40">
        <v>314.01</v>
      </c>
      <c r="Y35" s="40">
        <v>1092.108672</v>
      </c>
      <c r="Z35" s="40">
        <v>1451.386272</v>
      </c>
      <c r="AA35" s="40">
        <v>1388.9491199999998</v>
      </c>
      <c r="AB35" s="40">
        <v>15284.09836</v>
      </c>
    </row>
    <row r="36" spans="1:28" ht="12.75">
      <c r="A36" s="33" t="s">
        <v>23</v>
      </c>
      <c r="B36" s="40">
        <v>96.09802679999991</v>
      </c>
      <c r="C36" s="40">
        <v>100.74240000000023</v>
      </c>
      <c r="D36" s="40">
        <v>786.06567072</v>
      </c>
      <c r="E36" s="40">
        <v>1622.64102528</v>
      </c>
      <c r="F36" s="40">
        <v>1312.0595558399996</v>
      </c>
      <c r="G36" s="40">
        <v>737.6313600000005</v>
      </c>
      <c r="H36" s="40">
        <v>403.8980774399999</v>
      </c>
      <c r="I36" s="40">
        <v>37.11935040000031</v>
      </c>
      <c r="J36" s="40">
        <v>-835.6443264000002</v>
      </c>
      <c r="K36" s="40">
        <v>-986.4626004480002</v>
      </c>
      <c r="L36" s="40">
        <v>-685.1775743999999</v>
      </c>
      <c r="M36" s="40">
        <v>-51.040408319999784</v>
      </c>
      <c r="N36" s="40">
        <v>2537.930556912</v>
      </c>
      <c r="O36" s="33" t="s">
        <v>26</v>
      </c>
      <c r="P36" s="40">
        <v>96.09802679999991</v>
      </c>
      <c r="Q36" s="40">
        <v>100.74240000000023</v>
      </c>
      <c r="R36" s="40">
        <v>786.06567072</v>
      </c>
      <c r="S36" s="40">
        <v>1622.64102528</v>
      </c>
      <c r="T36" s="40">
        <v>1312.0595558399996</v>
      </c>
      <c r="U36" s="40">
        <v>737.6313600000005</v>
      </c>
      <c r="V36" s="40">
        <v>403.8980774399999</v>
      </c>
      <c r="W36" s="40">
        <v>37.11935040000031</v>
      </c>
      <c r="X36" s="40">
        <v>-835.6443264000002</v>
      </c>
      <c r="Y36" s="40">
        <v>-986.4626004480002</v>
      </c>
      <c r="Z36" s="40">
        <v>-685.1775743999999</v>
      </c>
      <c r="AA36" s="40">
        <v>-51.040408319999784</v>
      </c>
      <c r="AB36" s="40">
        <v>2537.930556912</v>
      </c>
    </row>
    <row r="37" spans="1:28" ht="12.75">
      <c r="A37" s="33" t="s">
        <v>26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>
        <v>17822.028916912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>
        <v>17822.028916912</v>
      </c>
    </row>
    <row r="38" spans="2:14" ht="12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>
        <v>17822.028916912</v>
      </c>
    </row>
    <row r="39" spans="5:28" ht="12.75">
      <c r="E39" s="33">
        <v>1</v>
      </c>
      <c r="O39" s="32" t="s">
        <v>24</v>
      </c>
      <c r="Q39" s="44" t="s">
        <v>27</v>
      </c>
      <c r="R39" s="33" t="s">
        <v>54</v>
      </c>
      <c r="S39" s="33">
        <v>1</v>
      </c>
      <c r="U39" s="33" t="b">
        <v>1</v>
      </c>
      <c r="W39" s="45">
        <v>1.0404</v>
      </c>
      <c r="Y39" s="33" t="b">
        <v>1</v>
      </c>
      <c r="AB39" s="46" t="s">
        <v>52</v>
      </c>
    </row>
    <row r="40" spans="1:28" ht="12.75">
      <c r="A40" s="32" t="s">
        <v>24</v>
      </c>
      <c r="C40" s="44" t="s">
        <v>27</v>
      </c>
      <c r="D40" s="33" t="s">
        <v>43</v>
      </c>
      <c r="E40" s="33">
        <v>1</v>
      </c>
      <c r="G40" s="33" t="b">
        <v>1</v>
      </c>
      <c r="I40" s="45">
        <v>1.0404</v>
      </c>
      <c r="K40" s="33" t="b">
        <v>1</v>
      </c>
      <c r="N40" s="46" t="s">
        <v>52</v>
      </c>
      <c r="O40" s="32"/>
      <c r="P40" s="47"/>
      <c r="Q40" s="47"/>
      <c r="R40" s="48" t="s">
        <v>37</v>
      </c>
      <c r="S40" s="49">
        <v>0.02</v>
      </c>
      <c r="T40" s="47"/>
      <c r="U40" s="48" t="s">
        <v>38</v>
      </c>
      <c r="V40" s="50">
        <v>2012</v>
      </c>
      <c r="W40" s="51"/>
      <c r="Y40" s="33" t="b">
        <v>1</v>
      </c>
      <c r="AB40" s="52">
        <v>16</v>
      </c>
    </row>
    <row r="41" spans="1:23" ht="19.5" customHeight="1">
      <c r="A41" s="32"/>
      <c r="B41" s="47"/>
      <c r="C41" s="47"/>
      <c r="D41" s="48" t="s">
        <v>37</v>
      </c>
      <c r="E41" s="49">
        <v>0.02</v>
      </c>
      <c r="F41" s="47"/>
      <c r="G41" s="48" t="s">
        <v>38</v>
      </c>
      <c r="H41" s="50">
        <v>2012</v>
      </c>
      <c r="I41" s="51"/>
      <c r="K41" s="33" t="b">
        <v>1</v>
      </c>
      <c r="N41" s="52">
        <v>16</v>
      </c>
      <c r="O41" s="32"/>
      <c r="Q41" s="44"/>
      <c r="V41" s="44"/>
      <c r="W41" s="51"/>
    </row>
    <row r="42" spans="1:28" ht="12.75">
      <c r="A42" s="32"/>
      <c r="C42" s="44"/>
      <c r="H42" s="44"/>
      <c r="I42" s="51"/>
      <c r="O42" s="33" t="s">
        <v>19</v>
      </c>
      <c r="P42" s="36">
        <v>7005</v>
      </c>
      <c r="Q42" s="36">
        <v>8005</v>
      </c>
      <c r="R42" s="36">
        <v>7863</v>
      </c>
      <c r="S42" s="36">
        <v>6275</v>
      </c>
      <c r="T42" s="36">
        <v>6480</v>
      </c>
      <c r="U42" s="36">
        <v>6790</v>
      </c>
      <c r="V42" s="36">
        <v>6292</v>
      </c>
      <c r="W42" s="36">
        <v>6275</v>
      </c>
      <c r="X42" s="36">
        <v>8318</v>
      </c>
      <c r="Y42" s="36">
        <v>8250</v>
      </c>
      <c r="Z42" s="36">
        <v>7695</v>
      </c>
      <c r="AA42" s="36">
        <v>6553</v>
      </c>
      <c r="AB42" s="36">
        <v>7150.083333333333</v>
      </c>
    </row>
    <row r="43" spans="1:28" ht="12.75">
      <c r="A43" s="33" t="s">
        <v>19</v>
      </c>
      <c r="B43" s="36">
        <v>7005</v>
      </c>
      <c r="C43" s="36">
        <v>8005</v>
      </c>
      <c r="D43" s="36">
        <v>7863</v>
      </c>
      <c r="E43" s="36">
        <v>6275</v>
      </c>
      <c r="F43" s="36">
        <v>6480</v>
      </c>
      <c r="G43" s="36">
        <v>6790</v>
      </c>
      <c r="H43" s="36">
        <v>6292</v>
      </c>
      <c r="I43" s="36">
        <v>6275</v>
      </c>
      <c r="J43" s="36">
        <v>8318</v>
      </c>
      <c r="K43" s="36">
        <v>8250</v>
      </c>
      <c r="L43" s="36">
        <v>7695</v>
      </c>
      <c r="M43" s="36">
        <v>6553</v>
      </c>
      <c r="N43" s="36">
        <v>7150.083333333333</v>
      </c>
      <c r="O43" s="33" t="s">
        <v>30</v>
      </c>
      <c r="P43" s="36">
        <v>5031.3</v>
      </c>
      <c r="Q43" s="36">
        <v>5757.6</v>
      </c>
      <c r="R43" s="36">
        <v>6336.4</v>
      </c>
      <c r="S43" s="36">
        <v>6448.2</v>
      </c>
      <c r="T43" s="36">
        <v>6366.1</v>
      </c>
      <c r="U43" s="36">
        <v>5703.2</v>
      </c>
      <c r="V43" s="36">
        <v>5254</v>
      </c>
      <c r="W43" s="36">
        <v>4963.1</v>
      </c>
      <c r="X43" s="36">
        <v>5243.1</v>
      </c>
      <c r="Y43" s="36">
        <v>5167.9</v>
      </c>
      <c r="Z43" s="36">
        <v>5141.2</v>
      </c>
      <c r="AA43" s="36">
        <v>4974.9</v>
      </c>
      <c r="AB43" s="36">
        <v>5532.25</v>
      </c>
    </row>
    <row r="44" spans="1:28" ht="12.75">
      <c r="A44" s="33" t="s">
        <v>30</v>
      </c>
      <c r="B44" s="36">
        <v>5031.3</v>
      </c>
      <c r="C44" s="36">
        <v>5757.6</v>
      </c>
      <c r="D44" s="36">
        <v>6336.4</v>
      </c>
      <c r="E44" s="36">
        <v>6448.2</v>
      </c>
      <c r="F44" s="36">
        <v>6366.1</v>
      </c>
      <c r="G44" s="36">
        <v>5703.2</v>
      </c>
      <c r="H44" s="36">
        <v>5254</v>
      </c>
      <c r="I44" s="36">
        <v>4963.1</v>
      </c>
      <c r="J44" s="36">
        <v>5243.1</v>
      </c>
      <c r="K44" s="36">
        <v>5167.9</v>
      </c>
      <c r="L44" s="36">
        <v>5141.2</v>
      </c>
      <c r="M44" s="36">
        <v>4974.9</v>
      </c>
      <c r="N44" s="36">
        <v>5532.25</v>
      </c>
      <c r="O44" s="33" t="s">
        <v>31</v>
      </c>
      <c r="P44" s="36">
        <v>5085</v>
      </c>
      <c r="Q44" s="36">
        <v>5819</v>
      </c>
      <c r="R44" s="36">
        <v>6404</v>
      </c>
      <c r="S44" s="36">
        <v>6517</v>
      </c>
      <c r="T44" s="36">
        <v>6434</v>
      </c>
      <c r="U44" s="36">
        <v>5764</v>
      </c>
      <c r="V44" s="36">
        <v>5310</v>
      </c>
      <c r="W44" s="36">
        <v>5016</v>
      </c>
      <c r="X44" s="36">
        <v>5299</v>
      </c>
      <c r="Y44" s="36">
        <v>5223</v>
      </c>
      <c r="Z44" s="36">
        <v>5196</v>
      </c>
      <c r="AA44" s="36">
        <v>5028</v>
      </c>
      <c r="AB44" s="36">
        <v>5591.25</v>
      </c>
    </row>
    <row r="45" spans="1:28" ht="12.75">
      <c r="A45" s="33" t="s">
        <v>31</v>
      </c>
      <c r="B45" s="36">
        <v>5085</v>
      </c>
      <c r="C45" s="36">
        <v>5819</v>
      </c>
      <c r="D45" s="36">
        <v>6404</v>
      </c>
      <c r="E45" s="36">
        <v>6517</v>
      </c>
      <c r="F45" s="36">
        <v>6434</v>
      </c>
      <c r="G45" s="36">
        <v>5764</v>
      </c>
      <c r="H45" s="36">
        <v>5310</v>
      </c>
      <c r="I45" s="36">
        <v>5016</v>
      </c>
      <c r="J45" s="36">
        <v>5299</v>
      </c>
      <c r="K45" s="36">
        <v>5223</v>
      </c>
      <c r="L45" s="36">
        <v>5196</v>
      </c>
      <c r="M45" s="36">
        <v>5028</v>
      </c>
      <c r="N45" s="36">
        <v>5591.25</v>
      </c>
      <c r="O45" s="33" t="s">
        <v>32</v>
      </c>
      <c r="P45" s="36">
        <v>5185</v>
      </c>
      <c r="Q45" s="36">
        <v>5934</v>
      </c>
      <c r="R45" s="36">
        <v>6529</v>
      </c>
      <c r="S45" s="36">
        <v>6640</v>
      </c>
      <c r="T45" s="36">
        <v>6562</v>
      </c>
      <c r="U45" s="36">
        <v>5873</v>
      </c>
      <c r="V45" s="36">
        <v>5424</v>
      </c>
      <c r="W45" s="36">
        <v>5135</v>
      </c>
      <c r="X45" s="36">
        <v>5429</v>
      </c>
      <c r="Y45" s="36">
        <v>5348</v>
      </c>
      <c r="Z45" s="36">
        <v>5311</v>
      </c>
      <c r="AA45" s="36">
        <v>5127</v>
      </c>
      <c r="AB45" s="36">
        <v>5708.083333333333</v>
      </c>
    </row>
    <row r="46" spans="1:28" ht="12.75">
      <c r="A46" s="33" t="s">
        <v>32</v>
      </c>
      <c r="B46" s="36">
        <v>5185</v>
      </c>
      <c r="C46" s="36">
        <v>5934</v>
      </c>
      <c r="D46" s="36">
        <v>6529</v>
      </c>
      <c r="E46" s="36">
        <v>6640</v>
      </c>
      <c r="F46" s="36">
        <v>6562</v>
      </c>
      <c r="G46" s="36">
        <v>5873</v>
      </c>
      <c r="H46" s="36">
        <v>5424</v>
      </c>
      <c r="I46" s="36">
        <v>5135</v>
      </c>
      <c r="J46" s="36">
        <v>5429</v>
      </c>
      <c r="K46" s="36">
        <v>5348</v>
      </c>
      <c r="L46" s="36">
        <v>5311</v>
      </c>
      <c r="M46" s="36">
        <v>5127</v>
      </c>
      <c r="N46" s="36">
        <v>5708.083333333333</v>
      </c>
      <c r="O46" s="33" t="s">
        <v>33</v>
      </c>
      <c r="P46" s="36">
        <v>5042</v>
      </c>
      <c r="Q46" s="36">
        <v>5679</v>
      </c>
      <c r="R46" s="36">
        <v>6084</v>
      </c>
      <c r="S46" s="36">
        <v>4976</v>
      </c>
      <c r="T46" s="36">
        <v>4738</v>
      </c>
      <c r="U46" s="36">
        <v>5229</v>
      </c>
      <c r="V46" s="36">
        <v>4707</v>
      </c>
      <c r="W46" s="36">
        <v>4797</v>
      </c>
      <c r="X46" s="36">
        <v>5404</v>
      </c>
      <c r="Y46" s="36">
        <v>5077</v>
      </c>
      <c r="Z46" s="36">
        <v>5311</v>
      </c>
      <c r="AA46" s="36">
        <v>4682</v>
      </c>
      <c r="AB46" s="36">
        <v>5143.833333333333</v>
      </c>
    </row>
    <row r="47" spans="1:28" ht="12.75">
      <c r="A47" s="33" t="s">
        <v>33</v>
      </c>
      <c r="B47" s="36">
        <v>5042</v>
      </c>
      <c r="C47" s="36">
        <v>5679</v>
      </c>
      <c r="D47" s="36">
        <v>6084</v>
      </c>
      <c r="E47" s="36">
        <v>4976</v>
      </c>
      <c r="F47" s="36">
        <v>4738</v>
      </c>
      <c r="G47" s="36">
        <v>5229</v>
      </c>
      <c r="H47" s="36">
        <v>4707</v>
      </c>
      <c r="I47" s="36">
        <v>4797</v>
      </c>
      <c r="J47" s="36">
        <v>5404</v>
      </c>
      <c r="K47" s="36">
        <v>5077</v>
      </c>
      <c r="L47" s="36">
        <v>5311</v>
      </c>
      <c r="M47" s="36">
        <v>4682</v>
      </c>
      <c r="N47" s="36">
        <v>5143.833333333333</v>
      </c>
      <c r="O47" s="33" t="s">
        <v>20</v>
      </c>
      <c r="P47" s="53">
        <v>50.23</v>
      </c>
      <c r="Q47" s="53">
        <v>58.3</v>
      </c>
      <c r="R47" s="53">
        <v>61.27</v>
      </c>
      <c r="S47" s="53">
        <v>55.22</v>
      </c>
      <c r="T47" s="53">
        <v>56.32</v>
      </c>
      <c r="U47" s="53">
        <v>54</v>
      </c>
      <c r="V47" s="53">
        <v>44.33</v>
      </c>
      <c r="W47" s="53">
        <v>39.1</v>
      </c>
      <c r="X47" s="53">
        <v>36.92</v>
      </c>
      <c r="Y47" s="53">
        <v>45.89</v>
      </c>
      <c r="Z47" s="53">
        <v>51.3</v>
      </c>
      <c r="AA47" s="53">
        <v>54.23</v>
      </c>
      <c r="AB47" s="54">
        <v>50.5925</v>
      </c>
    </row>
    <row r="48" spans="1:28" ht="12.75">
      <c r="A48" s="33" t="s">
        <v>20</v>
      </c>
      <c r="B48" s="53">
        <v>50.23</v>
      </c>
      <c r="C48" s="53">
        <v>58.3</v>
      </c>
      <c r="D48" s="53">
        <v>61.27</v>
      </c>
      <c r="E48" s="53">
        <v>55.22</v>
      </c>
      <c r="F48" s="53">
        <v>56.32</v>
      </c>
      <c r="G48" s="53">
        <v>54</v>
      </c>
      <c r="H48" s="53">
        <v>44.33</v>
      </c>
      <c r="I48" s="53">
        <v>39.1</v>
      </c>
      <c r="J48" s="53">
        <v>36.92</v>
      </c>
      <c r="K48" s="53">
        <v>45.89</v>
      </c>
      <c r="L48" s="53">
        <v>51.3</v>
      </c>
      <c r="M48" s="53">
        <v>54.23</v>
      </c>
      <c r="N48" s="54">
        <v>50.5925</v>
      </c>
      <c r="O48" s="33" t="s">
        <v>36</v>
      </c>
      <c r="P48" s="13">
        <v>17.06</v>
      </c>
      <c r="Q48" s="13">
        <v>25.13</v>
      </c>
      <c r="R48" s="13">
        <v>28.1</v>
      </c>
      <c r="S48" s="13">
        <v>22.05</v>
      </c>
      <c r="T48" s="13">
        <v>23.15</v>
      </c>
      <c r="U48" s="13">
        <v>20.83</v>
      </c>
      <c r="V48" s="13">
        <v>11.16</v>
      </c>
      <c r="W48" s="13">
        <v>5.93</v>
      </c>
      <c r="X48" s="13">
        <v>3.75</v>
      </c>
      <c r="Y48" s="13">
        <v>12.72</v>
      </c>
      <c r="Z48" s="13">
        <v>18.13</v>
      </c>
      <c r="AA48" s="13">
        <v>21.06</v>
      </c>
      <c r="AB48" s="13">
        <v>17.4225</v>
      </c>
    </row>
    <row r="49" spans="1:28" ht="12.75">
      <c r="A49" s="33" t="s">
        <v>36</v>
      </c>
      <c r="B49" s="13">
        <v>17.06</v>
      </c>
      <c r="C49" s="13">
        <v>25.13</v>
      </c>
      <c r="D49" s="13">
        <v>28.1</v>
      </c>
      <c r="E49" s="13">
        <v>22.05</v>
      </c>
      <c r="F49" s="13">
        <v>23.15</v>
      </c>
      <c r="G49" s="13">
        <v>20.83</v>
      </c>
      <c r="H49" s="13">
        <v>11.16</v>
      </c>
      <c r="I49" s="13">
        <v>5.93</v>
      </c>
      <c r="J49" s="13">
        <v>3.75</v>
      </c>
      <c r="K49" s="13">
        <v>12.72</v>
      </c>
      <c r="L49" s="13">
        <v>18.13</v>
      </c>
      <c r="M49" s="13">
        <v>21.06</v>
      </c>
      <c r="N49" s="13">
        <v>17.4225</v>
      </c>
      <c r="O49" s="33" t="s">
        <v>36</v>
      </c>
      <c r="P49" s="13">
        <v>16.1</v>
      </c>
      <c r="Q49" s="13">
        <v>24.17</v>
      </c>
      <c r="R49" s="13">
        <v>27.14</v>
      </c>
      <c r="S49" s="13">
        <v>21.09</v>
      </c>
      <c r="T49" s="13">
        <v>22.19</v>
      </c>
      <c r="U49" s="13">
        <v>19.87</v>
      </c>
      <c r="V49" s="13">
        <v>10.2</v>
      </c>
      <c r="W49" s="13">
        <v>4.97</v>
      </c>
      <c r="X49" s="13">
        <v>2.79</v>
      </c>
      <c r="Y49" s="13">
        <v>11.76</v>
      </c>
      <c r="Z49" s="13">
        <v>17.17</v>
      </c>
      <c r="AA49" s="13">
        <v>20.1</v>
      </c>
      <c r="AB49" s="13">
        <v>16.4625</v>
      </c>
    </row>
    <row r="50" spans="1:28" ht="12.75">
      <c r="A50" s="33" t="s">
        <v>36</v>
      </c>
      <c r="B50" s="13">
        <v>16.1</v>
      </c>
      <c r="C50" s="13">
        <v>24.17</v>
      </c>
      <c r="D50" s="13">
        <v>27.14</v>
      </c>
      <c r="E50" s="13">
        <v>21.09</v>
      </c>
      <c r="F50" s="13">
        <v>22.19</v>
      </c>
      <c r="G50" s="13">
        <v>19.87</v>
      </c>
      <c r="H50" s="13">
        <v>10.2</v>
      </c>
      <c r="I50" s="13">
        <v>4.97</v>
      </c>
      <c r="J50" s="13">
        <v>2.79</v>
      </c>
      <c r="K50" s="13">
        <v>11.76</v>
      </c>
      <c r="L50" s="13">
        <v>17.17</v>
      </c>
      <c r="M50" s="13">
        <v>20.1</v>
      </c>
      <c r="N50" s="13">
        <v>16.4625</v>
      </c>
      <c r="O50" s="33" t="s">
        <v>21</v>
      </c>
      <c r="P50" s="33">
        <v>0.745</v>
      </c>
      <c r="Q50" s="33">
        <v>0.72</v>
      </c>
      <c r="R50" s="33">
        <v>0.744</v>
      </c>
      <c r="S50" s="33">
        <v>0.744</v>
      </c>
      <c r="T50" s="33">
        <v>0.696</v>
      </c>
      <c r="U50" s="33">
        <v>0.744</v>
      </c>
      <c r="V50" s="33">
        <v>0.719</v>
      </c>
      <c r="W50" s="33">
        <v>0.744</v>
      </c>
      <c r="X50" s="33">
        <v>0.72</v>
      </c>
      <c r="Y50" s="33">
        <v>0.744</v>
      </c>
      <c r="Z50" s="33">
        <v>0.744</v>
      </c>
      <c r="AA50" s="33">
        <v>0.72</v>
      </c>
      <c r="AB50" s="33">
        <v>8.783999999999999</v>
      </c>
    </row>
    <row r="51" spans="1:14" ht="12.75">
      <c r="A51" s="33" t="s">
        <v>21</v>
      </c>
      <c r="B51" s="33">
        <v>0.745</v>
      </c>
      <c r="C51" s="33">
        <v>0.72</v>
      </c>
      <c r="D51" s="33">
        <v>0.744</v>
      </c>
      <c r="E51" s="33">
        <v>0.744</v>
      </c>
      <c r="F51" s="33">
        <v>0.696</v>
      </c>
      <c r="G51" s="33">
        <v>0.744</v>
      </c>
      <c r="H51" s="33">
        <v>0.719</v>
      </c>
      <c r="I51" s="33">
        <v>0.744</v>
      </c>
      <c r="J51" s="33">
        <v>0.72</v>
      </c>
      <c r="K51" s="33">
        <v>0.744</v>
      </c>
      <c r="L51" s="33">
        <v>0.744</v>
      </c>
      <c r="M51" s="33">
        <v>0.72</v>
      </c>
      <c r="N51" s="33">
        <v>8.783999999999999</v>
      </c>
    </row>
    <row r="53" spans="15:28" ht="12.75">
      <c r="O53" s="33" t="s">
        <v>29</v>
      </c>
      <c r="P53" s="36">
        <v>100.568</v>
      </c>
      <c r="Q53" s="36">
        <v>114.4</v>
      </c>
      <c r="R53" s="36">
        <v>127.244</v>
      </c>
      <c r="S53" s="36">
        <v>127.29599999999999</v>
      </c>
      <c r="T53" s="36">
        <v>124.07199999999999</v>
      </c>
      <c r="U53" s="36">
        <v>113.36</v>
      </c>
      <c r="V53" s="36">
        <v>100.672</v>
      </c>
      <c r="W53" s="36">
        <v>89.07600000000001</v>
      </c>
      <c r="X53" s="36">
        <v>84.86399999999999</v>
      </c>
      <c r="Y53" s="36">
        <v>86.5072</v>
      </c>
      <c r="Z53" s="36">
        <v>89.648</v>
      </c>
      <c r="AA53" s="36">
        <v>90.2928</v>
      </c>
      <c r="AB53" s="36">
        <v>104</v>
      </c>
    </row>
    <row r="54" spans="1:28" ht="12.75">
      <c r="A54" s="33" t="s">
        <v>29</v>
      </c>
      <c r="B54" s="36">
        <v>100.568</v>
      </c>
      <c r="C54" s="36">
        <v>114.4</v>
      </c>
      <c r="D54" s="36">
        <v>127.244</v>
      </c>
      <c r="E54" s="36">
        <v>127.29599999999999</v>
      </c>
      <c r="F54" s="36">
        <v>124.07199999999999</v>
      </c>
      <c r="G54" s="36">
        <v>113.36</v>
      </c>
      <c r="H54" s="36">
        <v>100.672</v>
      </c>
      <c r="I54" s="36">
        <v>89.07600000000001</v>
      </c>
      <c r="J54" s="36">
        <v>84.86399999999999</v>
      </c>
      <c r="K54" s="36">
        <v>86.5072</v>
      </c>
      <c r="L54" s="36">
        <v>89.648</v>
      </c>
      <c r="M54" s="36">
        <v>90.2928</v>
      </c>
      <c r="N54" s="36">
        <v>104</v>
      </c>
      <c r="O54" s="33" t="s">
        <v>12</v>
      </c>
      <c r="P54" s="36">
        <v>97</v>
      </c>
      <c r="Q54" s="36">
        <v>110</v>
      </c>
      <c r="R54" s="36">
        <v>122</v>
      </c>
      <c r="S54" s="36">
        <v>122</v>
      </c>
      <c r="T54" s="36">
        <v>119</v>
      </c>
      <c r="U54" s="36">
        <v>109</v>
      </c>
      <c r="V54" s="36">
        <v>97</v>
      </c>
      <c r="W54" s="36">
        <v>86</v>
      </c>
      <c r="X54" s="36">
        <v>82</v>
      </c>
      <c r="Y54" s="36">
        <v>83</v>
      </c>
      <c r="Z54" s="36">
        <v>86</v>
      </c>
      <c r="AA54" s="36">
        <v>87</v>
      </c>
      <c r="AB54" s="36">
        <v>100</v>
      </c>
    </row>
    <row r="55" spans="1:28" ht="12.75">
      <c r="A55" s="33" t="s">
        <v>12</v>
      </c>
      <c r="B55" s="36">
        <v>97</v>
      </c>
      <c r="C55" s="36">
        <v>110</v>
      </c>
      <c r="D55" s="36">
        <v>122</v>
      </c>
      <c r="E55" s="36">
        <v>122</v>
      </c>
      <c r="F55" s="36">
        <v>119</v>
      </c>
      <c r="G55" s="36">
        <v>109</v>
      </c>
      <c r="H55" s="36">
        <v>97</v>
      </c>
      <c r="I55" s="36">
        <v>86</v>
      </c>
      <c r="J55" s="36">
        <v>82</v>
      </c>
      <c r="K55" s="36">
        <v>83</v>
      </c>
      <c r="L55" s="36">
        <v>86</v>
      </c>
      <c r="M55" s="36">
        <v>87</v>
      </c>
      <c r="N55" s="36">
        <v>100</v>
      </c>
      <c r="P55" s="33">
        <v>2</v>
      </c>
      <c r="Q55" s="33">
        <v>3</v>
      </c>
      <c r="R55" s="33">
        <v>4</v>
      </c>
      <c r="S55" s="33">
        <v>5</v>
      </c>
      <c r="T55" s="33">
        <v>6</v>
      </c>
      <c r="U55" s="33">
        <v>7</v>
      </c>
      <c r="V55" s="33">
        <v>8</v>
      </c>
      <c r="W55" s="33">
        <v>9</v>
      </c>
      <c r="X55" s="33">
        <v>10</v>
      </c>
      <c r="Y55" s="33">
        <v>11</v>
      </c>
      <c r="Z55" s="33">
        <v>12</v>
      </c>
      <c r="AA55" s="33">
        <v>13</v>
      </c>
      <c r="AB55" s="33">
        <v>14</v>
      </c>
    </row>
    <row r="56" spans="2:15" ht="12.75">
      <c r="B56" s="33">
        <v>2</v>
      </c>
      <c r="C56" s="33">
        <v>3</v>
      </c>
      <c r="D56" s="33">
        <v>4</v>
      </c>
      <c r="E56" s="33">
        <v>5</v>
      </c>
      <c r="F56" s="33">
        <v>6</v>
      </c>
      <c r="G56" s="33">
        <v>7</v>
      </c>
      <c r="H56" s="33">
        <v>8</v>
      </c>
      <c r="I56" s="33">
        <v>9</v>
      </c>
      <c r="J56" s="33">
        <v>10</v>
      </c>
      <c r="K56" s="33">
        <v>11</v>
      </c>
      <c r="L56" s="33">
        <v>12</v>
      </c>
      <c r="M56" s="33">
        <v>13</v>
      </c>
      <c r="N56" s="33">
        <v>14</v>
      </c>
      <c r="O56" s="32" t="s">
        <v>35</v>
      </c>
    </row>
    <row r="57" spans="1:28" ht="12.75">
      <c r="A57" s="32" t="s">
        <v>35</v>
      </c>
      <c r="O57" t="s">
        <v>57</v>
      </c>
      <c r="P57" s="33">
        <v>97</v>
      </c>
      <c r="Q57" s="33">
        <v>110</v>
      </c>
      <c r="R57" s="33">
        <v>122</v>
      </c>
      <c r="S57" s="33">
        <v>122</v>
      </c>
      <c r="T57" s="33">
        <v>119</v>
      </c>
      <c r="U57" s="33">
        <v>109</v>
      </c>
      <c r="V57" s="33">
        <v>97</v>
      </c>
      <c r="W57" s="33">
        <v>86</v>
      </c>
      <c r="X57" s="33">
        <v>82</v>
      </c>
      <c r="Y57" s="33">
        <v>83</v>
      </c>
      <c r="Z57" s="33">
        <v>86</v>
      </c>
      <c r="AA57" s="33">
        <v>87</v>
      </c>
      <c r="AB57" s="36">
        <v>100</v>
      </c>
    </row>
    <row r="58" spans="1:28" ht="12.75">
      <c r="A58" t="s">
        <v>57</v>
      </c>
      <c r="B58" s="33">
        <v>97</v>
      </c>
      <c r="C58" s="33">
        <v>110</v>
      </c>
      <c r="D58" s="33">
        <v>122</v>
      </c>
      <c r="E58" s="33">
        <v>122</v>
      </c>
      <c r="F58" s="33">
        <v>119</v>
      </c>
      <c r="G58" s="33">
        <v>109</v>
      </c>
      <c r="H58" s="33">
        <v>97</v>
      </c>
      <c r="I58" s="33">
        <v>86</v>
      </c>
      <c r="J58" s="33">
        <v>82</v>
      </c>
      <c r="K58" s="33">
        <v>83</v>
      </c>
      <c r="L58" s="33">
        <v>86</v>
      </c>
      <c r="M58" s="33">
        <v>87</v>
      </c>
      <c r="N58" s="36">
        <v>100</v>
      </c>
      <c r="O58" t="s">
        <v>58</v>
      </c>
      <c r="P58" s="33">
        <v>93</v>
      </c>
      <c r="Q58" s="33">
        <v>84</v>
      </c>
      <c r="R58" s="33">
        <v>93</v>
      </c>
      <c r="S58" s="33">
        <v>93</v>
      </c>
      <c r="T58" s="33">
        <v>85</v>
      </c>
      <c r="U58" s="33">
        <v>73</v>
      </c>
      <c r="V58" s="33">
        <v>86</v>
      </c>
      <c r="W58" s="33">
        <v>100</v>
      </c>
      <c r="X58" s="33">
        <v>120</v>
      </c>
      <c r="Y58" s="33">
        <v>135</v>
      </c>
      <c r="Z58" s="33">
        <v>128</v>
      </c>
      <c r="AA58" s="33">
        <v>109</v>
      </c>
      <c r="AB58" s="36">
        <v>99.91666666666667</v>
      </c>
    </row>
    <row r="59" spans="1:28" ht="12.75">
      <c r="A59" t="s">
        <v>58</v>
      </c>
      <c r="B59" s="33">
        <v>93</v>
      </c>
      <c r="C59" s="33">
        <v>84</v>
      </c>
      <c r="D59" s="33">
        <v>93</v>
      </c>
      <c r="E59" s="33">
        <v>93</v>
      </c>
      <c r="F59" s="33">
        <v>85</v>
      </c>
      <c r="G59" s="33">
        <v>73</v>
      </c>
      <c r="H59" s="33">
        <v>86</v>
      </c>
      <c r="I59" s="33">
        <v>100</v>
      </c>
      <c r="J59" s="33">
        <v>120</v>
      </c>
      <c r="K59" s="33">
        <v>135</v>
      </c>
      <c r="L59" s="33">
        <v>128</v>
      </c>
      <c r="M59" s="33">
        <v>109</v>
      </c>
      <c r="N59" s="36">
        <v>99.91666666666667</v>
      </c>
      <c r="O59" s="33" t="s">
        <v>28</v>
      </c>
      <c r="P59" s="33">
        <v>87</v>
      </c>
      <c r="Q59" s="33">
        <v>116</v>
      </c>
      <c r="R59" s="33">
        <v>126</v>
      </c>
      <c r="S59" s="33">
        <v>131</v>
      </c>
      <c r="T59" s="33">
        <v>130</v>
      </c>
      <c r="U59" s="33">
        <v>103</v>
      </c>
      <c r="V59" s="33">
        <v>93</v>
      </c>
      <c r="W59" s="33">
        <v>77</v>
      </c>
      <c r="X59" s="33">
        <v>78</v>
      </c>
      <c r="Y59" s="33">
        <v>83</v>
      </c>
      <c r="Z59" s="33">
        <v>87</v>
      </c>
      <c r="AA59" s="33">
        <v>89</v>
      </c>
      <c r="AB59" s="36">
        <v>100</v>
      </c>
    </row>
    <row r="60" spans="1:28" ht="12.75">
      <c r="A60" s="33" t="s">
        <v>28</v>
      </c>
      <c r="B60" s="33">
        <v>87</v>
      </c>
      <c r="C60" s="33">
        <v>116</v>
      </c>
      <c r="D60" s="33">
        <v>126</v>
      </c>
      <c r="E60" s="33">
        <v>131</v>
      </c>
      <c r="F60" s="33">
        <v>130</v>
      </c>
      <c r="G60" s="33">
        <v>103</v>
      </c>
      <c r="H60" s="33">
        <v>93</v>
      </c>
      <c r="I60" s="33">
        <v>77</v>
      </c>
      <c r="J60" s="33">
        <v>78</v>
      </c>
      <c r="K60" s="33">
        <v>83</v>
      </c>
      <c r="L60" s="33">
        <v>87</v>
      </c>
      <c r="M60" s="33">
        <v>89</v>
      </c>
      <c r="N60" s="36">
        <v>100</v>
      </c>
      <c r="O60" s="33" t="s">
        <v>34</v>
      </c>
      <c r="P60" s="33">
        <v>100</v>
      </c>
      <c r="Q60" s="33">
        <v>100</v>
      </c>
      <c r="R60" s="33">
        <v>100</v>
      </c>
      <c r="S60" s="33">
        <v>100</v>
      </c>
      <c r="T60" s="33">
        <v>100</v>
      </c>
      <c r="U60" s="33">
        <v>100</v>
      </c>
      <c r="V60" s="33">
        <v>100</v>
      </c>
      <c r="W60" s="33">
        <v>100</v>
      </c>
      <c r="X60" s="33">
        <v>100</v>
      </c>
      <c r="Y60" s="33">
        <v>100</v>
      </c>
      <c r="Z60" s="33">
        <v>100</v>
      </c>
      <c r="AA60" s="33">
        <v>100</v>
      </c>
      <c r="AB60" s="36">
        <v>100</v>
      </c>
    </row>
    <row r="61" spans="1:28" ht="12.75">
      <c r="A61" s="33" t="s">
        <v>34</v>
      </c>
      <c r="B61" s="33">
        <v>100</v>
      </c>
      <c r="C61" s="33">
        <v>100</v>
      </c>
      <c r="D61" s="33">
        <v>100</v>
      </c>
      <c r="E61" s="33">
        <v>100</v>
      </c>
      <c r="F61" s="33">
        <v>100</v>
      </c>
      <c r="G61" s="33">
        <v>100</v>
      </c>
      <c r="H61" s="33">
        <v>100</v>
      </c>
      <c r="I61" s="33">
        <v>100</v>
      </c>
      <c r="J61" s="33">
        <v>100</v>
      </c>
      <c r="K61" s="33">
        <v>100</v>
      </c>
      <c r="L61" s="33">
        <v>100</v>
      </c>
      <c r="M61" s="33">
        <v>100</v>
      </c>
      <c r="N61" s="36">
        <v>100</v>
      </c>
      <c r="O61" s="33" t="s">
        <v>44</v>
      </c>
      <c r="P61" s="33">
        <v>52</v>
      </c>
      <c r="Q61" s="33">
        <v>40</v>
      </c>
      <c r="R61" s="33">
        <v>43</v>
      </c>
      <c r="S61" s="33">
        <v>43</v>
      </c>
      <c r="T61" s="33">
        <v>41</v>
      </c>
      <c r="U61" s="33">
        <v>38</v>
      </c>
      <c r="V61" s="33">
        <v>87</v>
      </c>
      <c r="W61" s="33">
        <v>167</v>
      </c>
      <c r="X61" s="33">
        <v>183</v>
      </c>
      <c r="Y61" s="33">
        <v>203</v>
      </c>
      <c r="Z61" s="33">
        <v>184</v>
      </c>
      <c r="AA61" s="33">
        <v>119</v>
      </c>
      <c r="AB61" s="36">
        <v>100</v>
      </c>
    </row>
    <row r="62" spans="1:28" ht="12.75">
      <c r="A62" s="33" t="s">
        <v>44</v>
      </c>
      <c r="B62" s="33">
        <v>52</v>
      </c>
      <c r="C62" s="33">
        <v>40</v>
      </c>
      <c r="D62" s="33">
        <v>43</v>
      </c>
      <c r="E62" s="33">
        <v>43</v>
      </c>
      <c r="F62" s="33">
        <v>41</v>
      </c>
      <c r="G62" s="33">
        <v>38</v>
      </c>
      <c r="H62" s="33">
        <v>87</v>
      </c>
      <c r="I62" s="33">
        <v>167</v>
      </c>
      <c r="J62" s="33">
        <v>183</v>
      </c>
      <c r="K62" s="33">
        <v>203</v>
      </c>
      <c r="L62" s="33">
        <v>184</v>
      </c>
      <c r="M62" s="33">
        <v>119</v>
      </c>
      <c r="N62" s="36">
        <v>100</v>
      </c>
      <c r="O62" s="33" t="s">
        <v>45</v>
      </c>
      <c r="P62" s="55">
        <v>92</v>
      </c>
      <c r="Q62" s="55">
        <v>110</v>
      </c>
      <c r="R62" s="55">
        <v>128</v>
      </c>
      <c r="S62" s="55">
        <v>129</v>
      </c>
      <c r="T62" s="55">
        <v>124</v>
      </c>
      <c r="U62" s="55">
        <v>109</v>
      </c>
      <c r="V62" s="55">
        <v>94</v>
      </c>
      <c r="W62" s="55">
        <v>80</v>
      </c>
      <c r="X62" s="55">
        <v>75</v>
      </c>
      <c r="Y62" s="55">
        <v>86</v>
      </c>
      <c r="Z62" s="55">
        <v>89</v>
      </c>
      <c r="AA62" s="55">
        <v>84</v>
      </c>
      <c r="AB62" s="36">
        <v>100</v>
      </c>
    </row>
    <row r="63" spans="1:14" ht="12.75">
      <c r="A63" s="33" t="s">
        <v>45</v>
      </c>
      <c r="B63" s="55">
        <v>92</v>
      </c>
      <c r="C63" s="55">
        <v>110</v>
      </c>
      <c r="D63" s="55">
        <v>128</v>
      </c>
      <c r="E63" s="55">
        <v>129</v>
      </c>
      <c r="F63" s="55">
        <v>124</v>
      </c>
      <c r="G63" s="55">
        <v>109</v>
      </c>
      <c r="H63" s="55">
        <v>94</v>
      </c>
      <c r="I63" s="55">
        <v>80</v>
      </c>
      <c r="J63" s="55">
        <v>75</v>
      </c>
      <c r="K63" s="55">
        <v>86</v>
      </c>
      <c r="L63" s="55">
        <v>89</v>
      </c>
      <c r="M63" s="55">
        <v>84</v>
      </c>
      <c r="N63" s="36">
        <v>100</v>
      </c>
    </row>
    <row r="65" spans="15:28" ht="12.75">
      <c r="O65" s="33" t="s">
        <v>20</v>
      </c>
      <c r="P65" s="53">
        <v>50.23</v>
      </c>
      <c r="Q65" s="53">
        <v>58.3</v>
      </c>
      <c r="R65" s="53">
        <v>61.27</v>
      </c>
      <c r="S65" s="53">
        <v>55.22</v>
      </c>
      <c r="T65" s="53">
        <v>56.32</v>
      </c>
      <c r="U65" s="53">
        <v>54</v>
      </c>
      <c r="V65" s="53">
        <v>44.33</v>
      </c>
      <c r="W65" s="53">
        <v>39.1</v>
      </c>
      <c r="X65" s="53">
        <v>36.92</v>
      </c>
      <c r="Y65" s="53">
        <v>45.89</v>
      </c>
      <c r="Z65" s="53">
        <v>51.3</v>
      </c>
      <c r="AA65" s="53">
        <v>54.23</v>
      </c>
      <c r="AB65" s="54"/>
    </row>
    <row r="66" spans="1:14" ht="12.75">
      <c r="A66" s="33" t="s">
        <v>20</v>
      </c>
      <c r="B66" s="53">
        <v>50.23</v>
      </c>
      <c r="C66" s="53">
        <v>58.3</v>
      </c>
      <c r="D66" s="53">
        <v>61.27</v>
      </c>
      <c r="E66" s="53">
        <v>55.22</v>
      </c>
      <c r="F66" s="53">
        <v>56.32</v>
      </c>
      <c r="G66" s="53">
        <v>54</v>
      </c>
      <c r="H66" s="53">
        <v>44.33</v>
      </c>
      <c r="I66" s="53">
        <v>39.1</v>
      </c>
      <c r="J66" s="53">
        <v>36.92</v>
      </c>
      <c r="K66" s="53">
        <v>45.89</v>
      </c>
      <c r="L66" s="53">
        <v>51.3</v>
      </c>
      <c r="M66" s="53">
        <v>54.23</v>
      </c>
      <c r="N66" s="54"/>
    </row>
    <row r="68" spans="15:28" ht="12.75">
      <c r="O68" s="32" t="s">
        <v>40</v>
      </c>
      <c r="P68" s="36">
        <v>5031.3</v>
      </c>
      <c r="Q68" s="36">
        <v>5757.6</v>
      </c>
      <c r="R68" s="36">
        <v>6336.4</v>
      </c>
      <c r="S68" s="36">
        <v>6448.2</v>
      </c>
      <c r="T68" s="36">
        <v>6366.1</v>
      </c>
      <c r="U68" s="36">
        <v>5703.2</v>
      </c>
      <c r="V68" s="36">
        <v>5254</v>
      </c>
      <c r="W68" s="36">
        <v>4963.1</v>
      </c>
      <c r="X68" s="36">
        <v>5243.1</v>
      </c>
      <c r="Y68" s="36">
        <v>5167.9</v>
      </c>
      <c r="Z68" s="36">
        <v>5141.2</v>
      </c>
      <c r="AA68" s="36">
        <v>4974.9</v>
      </c>
      <c r="AB68" s="36">
        <v>5532.25</v>
      </c>
    </row>
    <row r="69" spans="1:28" ht="12.75">
      <c r="A69" s="32" t="s">
        <v>40</v>
      </c>
      <c r="B69" s="36">
        <v>5031.3</v>
      </c>
      <c r="C69" s="36">
        <v>5757.6</v>
      </c>
      <c r="D69" s="36">
        <v>6336.4</v>
      </c>
      <c r="E69" s="36">
        <v>6448.2</v>
      </c>
      <c r="F69" s="36">
        <v>6366.1</v>
      </c>
      <c r="G69" s="36">
        <v>5703.2</v>
      </c>
      <c r="H69" s="36">
        <v>5254</v>
      </c>
      <c r="I69" s="36">
        <v>4963.1</v>
      </c>
      <c r="J69" s="36">
        <v>5243.1</v>
      </c>
      <c r="K69" s="36">
        <v>5167.9</v>
      </c>
      <c r="L69" s="36">
        <v>5141.2</v>
      </c>
      <c r="M69" s="36">
        <v>4974.9</v>
      </c>
      <c r="N69" s="36">
        <v>5532.25</v>
      </c>
      <c r="O69" s="33" t="s">
        <v>41</v>
      </c>
      <c r="P69" s="33">
        <v>5420</v>
      </c>
      <c r="Q69" s="33">
        <v>6194</v>
      </c>
      <c r="R69" s="33">
        <v>6084</v>
      </c>
      <c r="S69" s="33">
        <v>4855</v>
      </c>
      <c r="T69" s="33">
        <v>5014</v>
      </c>
      <c r="U69" s="33">
        <v>5254</v>
      </c>
      <c r="V69" s="33">
        <v>4868</v>
      </c>
      <c r="W69" s="33">
        <v>4855</v>
      </c>
      <c r="X69" s="33">
        <v>6436</v>
      </c>
      <c r="Y69" s="33">
        <v>6383</v>
      </c>
      <c r="Z69" s="33">
        <v>5954</v>
      </c>
      <c r="AA69" s="33">
        <v>5070</v>
      </c>
      <c r="AB69" s="36">
        <v>5532.25</v>
      </c>
    </row>
    <row r="70" spans="1:28" ht="12.75">
      <c r="A70" s="33" t="s">
        <v>41</v>
      </c>
      <c r="B70" s="33">
        <v>5420</v>
      </c>
      <c r="C70" s="33">
        <v>6194</v>
      </c>
      <c r="D70" s="33">
        <v>6084</v>
      </c>
      <c r="E70" s="33">
        <v>4855</v>
      </c>
      <c r="F70" s="33">
        <v>5014</v>
      </c>
      <c r="G70" s="33">
        <v>5254</v>
      </c>
      <c r="H70" s="33">
        <v>4868</v>
      </c>
      <c r="I70" s="33">
        <v>4855</v>
      </c>
      <c r="J70" s="33">
        <v>6436</v>
      </c>
      <c r="K70" s="33">
        <v>6383</v>
      </c>
      <c r="L70" s="33">
        <v>5954</v>
      </c>
      <c r="M70" s="33">
        <v>5070</v>
      </c>
      <c r="N70" s="36">
        <v>5532.25</v>
      </c>
      <c r="O70" s="33" t="s">
        <v>42</v>
      </c>
      <c r="P70" s="36">
        <v>5031.3</v>
      </c>
      <c r="Q70" s="36">
        <v>5757.6</v>
      </c>
      <c r="R70" s="36">
        <v>6336.4</v>
      </c>
      <c r="S70" s="36">
        <v>6448.2</v>
      </c>
      <c r="T70" s="36">
        <v>6366.1</v>
      </c>
      <c r="U70" s="36">
        <v>5703.2</v>
      </c>
      <c r="V70" s="36">
        <v>5254</v>
      </c>
      <c r="W70" s="36">
        <v>4963.1</v>
      </c>
      <c r="X70" s="36">
        <v>5243.1</v>
      </c>
      <c r="Y70" s="36">
        <v>5167.9</v>
      </c>
      <c r="Z70" s="36">
        <v>5141.2</v>
      </c>
      <c r="AA70" s="36">
        <v>4974.9</v>
      </c>
      <c r="AB70" s="36">
        <v>5532.25</v>
      </c>
    </row>
    <row r="71" spans="1:14" ht="12.75">
      <c r="A71" s="33" t="s">
        <v>42</v>
      </c>
      <c r="B71" s="36">
        <v>5031.3</v>
      </c>
      <c r="C71" s="36">
        <v>5757.6</v>
      </c>
      <c r="D71" s="36">
        <v>6336.4</v>
      </c>
      <c r="E71" s="36">
        <v>6448.2</v>
      </c>
      <c r="F71" s="36">
        <v>6366.1</v>
      </c>
      <c r="G71" s="36">
        <v>5703.2</v>
      </c>
      <c r="H71" s="36">
        <v>5254</v>
      </c>
      <c r="I71" s="36">
        <v>4963.1</v>
      </c>
      <c r="J71" s="36">
        <v>5243.1</v>
      </c>
      <c r="K71" s="36">
        <v>5167.9</v>
      </c>
      <c r="L71" s="36">
        <v>5141.2</v>
      </c>
      <c r="M71" s="36">
        <v>4974.9</v>
      </c>
      <c r="N71" s="36">
        <v>5532.25</v>
      </c>
    </row>
    <row r="73" spans="15:27" ht="12.75">
      <c r="O73" s="32" t="s">
        <v>39</v>
      </c>
      <c r="P73" s="54">
        <v>0.967</v>
      </c>
      <c r="Q73" s="54">
        <v>1.1</v>
      </c>
      <c r="R73" s="54">
        <v>1.2235</v>
      </c>
      <c r="S73" s="54">
        <v>1.224</v>
      </c>
      <c r="T73" s="54">
        <v>1.1929999999999998</v>
      </c>
      <c r="U73" s="54">
        <v>1.09</v>
      </c>
      <c r="V73" s="54">
        <v>0.968</v>
      </c>
      <c r="W73" s="54">
        <v>0.8565</v>
      </c>
      <c r="X73" s="54">
        <v>0.816</v>
      </c>
      <c r="Y73" s="54">
        <v>0.8318</v>
      </c>
      <c r="Z73" s="54">
        <v>0.862</v>
      </c>
      <c r="AA73" s="54">
        <v>0.8682</v>
      </c>
    </row>
    <row r="74" spans="1:27" ht="12.75">
      <c r="A74" s="32" t="s">
        <v>39</v>
      </c>
      <c r="B74" s="54">
        <v>0.967</v>
      </c>
      <c r="C74" s="54">
        <v>1.1</v>
      </c>
      <c r="D74" s="54">
        <v>1.2235</v>
      </c>
      <c r="E74" s="54">
        <v>1.224</v>
      </c>
      <c r="F74" s="54">
        <v>1.1929999999999998</v>
      </c>
      <c r="G74" s="54">
        <v>1.09</v>
      </c>
      <c r="H74" s="54">
        <v>0.968</v>
      </c>
      <c r="I74" s="54">
        <v>0.8565</v>
      </c>
      <c r="J74" s="54">
        <v>0.816</v>
      </c>
      <c r="K74" s="54">
        <v>0.8318</v>
      </c>
      <c r="L74" s="54">
        <v>0.862</v>
      </c>
      <c r="M74" s="54">
        <v>0.8682</v>
      </c>
      <c r="O74" s="33">
        <v>2010</v>
      </c>
      <c r="P74" s="54">
        <v>0.97</v>
      </c>
      <c r="Q74" s="54">
        <v>1.1</v>
      </c>
      <c r="R74" s="54">
        <v>1.22</v>
      </c>
      <c r="S74" s="54">
        <v>1.22</v>
      </c>
      <c r="T74" s="54">
        <v>1.19</v>
      </c>
      <c r="U74" s="54">
        <v>1.09</v>
      </c>
      <c r="V74" s="54">
        <v>0.97</v>
      </c>
      <c r="W74" s="54">
        <v>0.86</v>
      </c>
      <c r="X74" s="54">
        <v>0.82</v>
      </c>
      <c r="Y74" s="54">
        <v>0.83</v>
      </c>
      <c r="Z74" s="54">
        <v>0.86</v>
      </c>
      <c r="AA74" s="54">
        <v>0.87</v>
      </c>
    </row>
    <row r="75" spans="1:27" ht="12.75">
      <c r="A75" s="33">
        <v>2010</v>
      </c>
      <c r="B75" s="54">
        <v>0.97</v>
      </c>
      <c r="C75" s="54">
        <v>1.1</v>
      </c>
      <c r="D75" s="54">
        <v>1.22</v>
      </c>
      <c r="E75" s="54">
        <v>1.22</v>
      </c>
      <c r="F75" s="54">
        <v>1.19</v>
      </c>
      <c r="G75" s="54">
        <v>1.09</v>
      </c>
      <c r="H75" s="54">
        <v>0.97</v>
      </c>
      <c r="I75" s="54">
        <v>0.86</v>
      </c>
      <c r="J75" s="54">
        <v>0.82</v>
      </c>
      <c r="K75" s="54">
        <v>0.83</v>
      </c>
      <c r="L75" s="54">
        <v>0.86</v>
      </c>
      <c r="M75" s="54">
        <v>0.87</v>
      </c>
      <c r="O75" s="33">
        <v>2012</v>
      </c>
      <c r="P75" s="54">
        <v>0.967</v>
      </c>
      <c r="Q75" s="54">
        <v>1.1</v>
      </c>
      <c r="R75" s="54">
        <v>1.2235</v>
      </c>
      <c r="S75" s="54">
        <v>1.224</v>
      </c>
      <c r="T75" s="54">
        <v>1.1929999999999998</v>
      </c>
      <c r="U75" s="54">
        <v>1.09</v>
      </c>
      <c r="V75" s="54">
        <v>0.968</v>
      </c>
      <c r="W75" s="54">
        <v>0.8565</v>
      </c>
      <c r="X75" s="54">
        <v>0.816</v>
      </c>
      <c r="Y75" s="54">
        <v>0.8318</v>
      </c>
      <c r="Z75" s="54">
        <v>0.862</v>
      </c>
      <c r="AA75" s="54">
        <v>0.8682</v>
      </c>
    </row>
    <row r="76" spans="1:27" ht="12.75">
      <c r="A76" s="33">
        <v>2012</v>
      </c>
      <c r="B76" s="54">
        <v>0.967</v>
      </c>
      <c r="C76" s="54">
        <v>1.1</v>
      </c>
      <c r="D76" s="54">
        <v>1.2235</v>
      </c>
      <c r="E76" s="54">
        <v>1.224</v>
      </c>
      <c r="F76" s="54">
        <v>1.1929999999999998</v>
      </c>
      <c r="G76" s="54">
        <v>1.09</v>
      </c>
      <c r="H76" s="54">
        <v>0.968</v>
      </c>
      <c r="I76" s="54">
        <v>0.8565</v>
      </c>
      <c r="J76" s="54">
        <v>0.816</v>
      </c>
      <c r="K76" s="54">
        <v>0.8318</v>
      </c>
      <c r="L76" s="54">
        <v>0.862</v>
      </c>
      <c r="M76" s="54">
        <v>0.8682</v>
      </c>
      <c r="O76" s="33">
        <v>2013</v>
      </c>
      <c r="P76" s="54">
        <v>0.964</v>
      </c>
      <c r="Q76" s="54">
        <v>1.1</v>
      </c>
      <c r="R76" s="54">
        <v>1.227</v>
      </c>
      <c r="S76" s="54">
        <v>1.228</v>
      </c>
      <c r="T76" s="54">
        <v>1.1959999999999997</v>
      </c>
      <c r="U76" s="54">
        <v>1.09</v>
      </c>
      <c r="V76" s="54">
        <v>0.966</v>
      </c>
      <c r="W76" s="54">
        <v>0.8530000000000001</v>
      </c>
      <c r="X76" s="54">
        <v>0.8119999999999999</v>
      </c>
      <c r="Y76" s="54">
        <v>0.8336</v>
      </c>
      <c r="Z76" s="54">
        <v>0.864</v>
      </c>
      <c r="AA76" s="54">
        <v>0.8664</v>
      </c>
    </row>
    <row r="77" spans="1:27" ht="12.75">
      <c r="A77" s="33">
        <v>2013</v>
      </c>
      <c r="B77" s="54">
        <v>0.964</v>
      </c>
      <c r="C77" s="54">
        <v>1.1</v>
      </c>
      <c r="D77" s="54">
        <v>1.227</v>
      </c>
      <c r="E77" s="54">
        <v>1.228</v>
      </c>
      <c r="F77" s="54">
        <v>1.1959999999999997</v>
      </c>
      <c r="G77" s="54">
        <v>1.09</v>
      </c>
      <c r="H77" s="54">
        <v>0.966</v>
      </c>
      <c r="I77" s="54">
        <v>0.8530000000000001</v>
      </c>
      <c r="J77" s="54">
        <v>0.8119999999999999</v>
      </c>
      <c r="K77" s="54">
        <v>0.8336</v>
      </c>
      <c r="L77" s="54">
        <v>0.864</v>
      </c>
      <c r="M77" s="54">
        <v>0.8664</v>
      </c>
      <c r="O77" s="33">
        <v>2014</v>
      </c>
      <c r="P77" s="54">
        <v>0.961</v>
      </c>
      <c r="Q77" s="54">
        <v>1.1</v>
      </c>
      <c r="R77" s="54">
        <v>1.2305000000000001</v>
      </c>
      <c r="S77" s="54">
        <v>1.232</v>
      </c>
      <c r="T77" s="54">
        <v>1.1989999999999996</v>
      </c>
      <c r="U77" s="54">
        <v>1.09</v>
      </c>
      <c r="V77" s="54">
        <v>0.964</v>
      </c>
      <c r="W77" s="54">
        <v>0.8495000000000001</v>
      </c>
      <c r="X77" s="54">
        <v>0.8079999999999999</v>
      </c>
      <c r="Y77" s="54">
        <v>0.8354</v>
      </c>
      <c r="Z77" s="54">
        <v>0.866</v>
      </c>
      <c r="AA77" s="54">
        <v>0.8645999999999999</v>
      </c>
    </row>
    <row r="78" spans="1:27" ht="12.75">
      <c r="A78" s="33">
        <v>2014</v>
      </c>
      <c r="B78" s="54">
        <v>0.961</v>
      </c>
      <c r="C78" s="54">
        <v>1.1</v>
      </c>
      <c r="D78" s="54">
        <v>1.2305000000000001</v>
      </c>
      <c r="E78" s="54">
        <v>1.232</v>
      </c>
      <c r="F78" s="54">
        <v>1.1989999999999996</v>
      </c>
      <c r="G78" s="54">
        <v>1.09</v>
      </c>
      <c r="H78" s="54">
        <v>0.964</v>
      </c>
      <c r="I78" s="54">
        <v>0.8495000000000001</v>
      </c>
      <c r="J78" s="54">
        <v>0.8079999999999999</v>
      </c>
      <c r="K78" s="54">
        <v>0.8354</v>
      </c>
      <c r="L78" s="54">
        <v>0.866</v>
      </c>
      <c r="M78" s="54">
        <v>0.8645999999999999</v>
      </c>
      <c r="O78" s="33">
        <v>2015</v>
      </c>
      <c r="P78" s="54">
        <v>0.958</v>
      </c>
      <c r="Q78" s="54">
        <v>1.1</v>
      </c>
      <c r="R78" s="54">
        <v>1.2340000000000002</v>
      </c>
      <c r="S78" s="54">
        <v>1.236</v>
      </c>
      <c r="T78" s="54">
        <v>1.2019999999999995</v>
      </c>
      <c r="U78" s="54">
        <v>1.09</v>
      </c>
      <c r="V78" s="54">
        <v>0.962</v>
      </c>
      <c r="W78" s="54">
        <v>0.8460000000000002</v>
      </c>
      <c r="X78" s="54">
        <v>0.8039999999999999</v>
      </c>
      <c r="Y78" s="54">
        <v>0.8372</v>
      </c>
      <c r="Z78" s="54">
        <v>0.868</v>
      </c>
      <c r="AA78" s="54">
        <v>0.8627999999999999</v>
      </c>
    </row>
    <row r="79" spans="1:27" ht="12.75">
      <c r="A79" s="33">
        <v>2015</v>
      </c>
      <c r="B79" s="54">
        <v>0.958</v>
      </c>
      <c r="C79" s="54">
        <v>1.1</v>
      </c>
      <c r="D79" s="54">
        <v>1.2340000000000002</v>
      </c>
      <c r="E79" s="54">
        <v>1.236</v>
      </c>
      <c r="F79" s="54">
        <v>1.2019999999999995</v>
      </c>
      <c r="G79" s="54">
        <v>1.09</v>
      </c>
      <c r="H79" s="54">
        <v>0.962</v>
      </c>
      <c r="I79" s="54">
        <v>0.8460000000000002</v>
      </c>
      <c r="J79" s="54">
        <v>0.8039999999999999</v>
      </c>
      <c r="K79" s="54">
        <v>0.8372</v>
      </c>
      <c r="L79" s="54">
        <v>0.868</v>
      </c>
      <c r="M79" s="54">
        <v>0.8627999999999999</v>
      </c>
      <c r="O79" s="33">
        <v>2016</v>
      </c>
      <c r="P79" s="54">
        <v>0.955</v>
      </c>
      <c r="Q79" s="54">
        <v>1.1</v>
      </c>
      <c r="R79" s="54">
        <v>1.2375</v>
      </c>
      <c r="S79" s="54">
        <v>1.24</v>
      </c>
      <c r="T79" s="54">
        <v>1.205</v>
      </c>
      <c r="U79" s="54">
        <v>1.09</v>
      </c>
      <c r="V79" s="54">
        <v>0.96</v>
      </c>
      <c r="W79" s="54">
        <v>0.8425</v>
      </c>
      <c r="X79" s="54">
        <v>0.8</v>
      </c>
      <c r="Y79" s="54">
        <v>0.8390000000000001</v>
      </c>
      <c r="Z79" s="54">
        <v>0.87</v>
      </c>
      <c r="AA79" s="54">
        <v>0.8609999999999999</v>
      </c>
    </row>
    <row r="80" spans="1:27" ht="12.75">
      <c r="A80" s="33">
        <v>2016</v>
      </c>
      <c r="B80" s="54">
        <v>0.955</v>
      </c>
      <c r="C80" s="54">
        <v>1.1</v>
      </c>
      <c r="D80" s="54">
        <v>1.2375</v>
      </c>
      <c r="E80" s="54">
        <v>1.24</v>
      </c>
      <c r="F80" s="54">
        <v>1.205</v>
      </c>
      <c r="G80" s="54">
        <v>1.09</v>
      </c>
      <c r="H80" s="54">
        <v>0.96</v>
      </c>
      <c r="I80" s="54">
        <v>0.8425</v>
      </c>
      <c r="J80" s="54">
        <v>0.8</v>
      </c>
      <c r="K80" s="54">
        <v>0.8390000000000001</v>
      </c>
      <c r="L80" s="54">
        <v>0.87</v>
      </c>
      <c r="M80" s="54">
        <v>0.8609999999999999</v>
      </c>
      <c r="O80" s="33">
        <v>2017</v>
      </c>
      <c r="P80" s="54">
        <v>0.952</v>
      </c>
      <c r="Q80" s="54">
        <v>1.1</v>
      </c>
      <c r="R80" s="54">
        <v>1.2410000000000003</v>
      </c>
      <c r="S80" s="54">
        <v>1.244</v>
      </c>
      <c r="T80" s="54">
        <v>1.2079999999999993</v>
      </c>
      <c r="U80" s="54">
        <v>1.09</v>
      </c>
      <c r="V80" s="54">
        <v>0.958</v>
      </c>
      <c r="W80" s="54">
        <v>0.8390000000000003</v>
      </c>
      <c r="X80" s="54">
        <v>0.7959999999999999</v>
      </c>
      <c r="Y80" s="54">
        <v>0.8408000000000001</v>
      </c>
      <c r="Z80" s="54">
        <v>0.872</v>
      </c>
      <c r="AA80" s="54">
        <v>0.8591999999999999</v>
      </c>
    </row>
    <row r="81" spans="1:27" ht="12.75">
      <c r="A81" s="33">
        <v>2017</v>
      </c>
      <c r="B81" s="54">
        <v>0.952</v>
      </c>
      <c r="C81" s="54">
        <v>1.1</v>
      </c>
      <c r="D81" s="54">
        <v>1.2410000000000003</v>
      </c>
      <c r="E81" s="54">
        <v>1.244</v>
      </c>
      <c r="F81" s="54">
        <v>1.2079999999999993</v>
      </c>
      <c r="G81" s="54">
        <v>1.09</v>
      </c>
      <c r="H81" s="54">
        <v>0.958</v>
      </c>
      <c r="I81" s="54">
        <v>0.8390000000000003</v>
      </c>
      <c r="J81" s="54">
        <v>0.7959999999999999</v>
      </c>
      <c r="K81" s="54">
        <v>0.8408000000000001</v>
      </c>
      <c r="L81" s="54">
        <v>0.872</v>
      </c>
      <c r="M81" s="54">
        <v>0.8591999999999999</v>
      </c>
      <c r="O81" s="33">
        <v>2018</v>
      </c>
      <c r="P81" s="54">
        <v>0.949</v>
      </c>
      <c r="Q81" s="54">
        <v>1.1</v>
      </c>
      <c r="R81" s="54">
        <v>1.2445000000000004</v>
      </c>
      <c r="S81" s="54">
        <v>1.248</v>
      </c>
      <c r="T81" s="54">
        <v>1.2109999999999992</v>
      </c>
      <c r="U81" s="54">
        <v>1.09</v>
      </c>
      <c r="V81" s="54">
        <v>0.956</v>
      </c>
      <c r="W81" s="54">
        <v>0.8355000000000004</v>
      </c>
      <c r="X81" s="54">
        <v>0.7919999999999999</v>
      </c>
      <c r="Y81" s="54">
        <v>0.8426000000000001</v>
      </c>
      <c r="Z81" s="54">
        <v>0.874</v>
      </c>
      <c r="AA81" s="54">
        <v>0.8573999999999998</v>
      </c>
    </row>
    <row r="82" spans="1:27" ht="12.75">
      <c r="A82" s="33">
        <v>2018</v>
      </c>
      <c r="B82" s="54">
        <v>0.949</v>
      </c>
      <c r="C82" s="54">
        <v>1.1</v>
      </c>
      <c r="D82" s="54">
        <v>1.2445000000000004</v>
      </c>
      <c r="E82" s="54">
        <v>1.248</v>
      </c>
      <c r="F82" s="54">
        <v>1.2109999999999992</v>
      </c>
      <c r="G82" s="54">
        <v>1.09</v>
      </c>
      <c r="H82" s="54">
        <v>0.956</v>
      </c>
      <c r="I82" s="54">
        <v>0.8355000000000004</v>
      </c>
      <c r="J82" s="54">
        <v>0.7919999999999999</v>
      </c>
      <c r="K82" s="54">
        <v>0.8426000000000001</v>
      </c>
      <c r="L82" s="54">
        <v>0.874</v>
      </c>
      <c r="M82" s="54">
        <v>0.8573999999999998</v>
      </c>
      <c r="O82" s="33">
        <v>2019</v>
      </c>
      <c r="P82" s="54">
        <v>0.946</v>
      </c>
      <c r="Q82" s="54">
        <v>1.1</v>
      </c>
      <c r="R82" s="54">
        <v>1.2480000000000004</v>
      </c>
      <c r="S82" s="54">
        <v>1.252</v>
      </c>
      <c r="T82" s="54">
        <v>1.213999999999999</v>
      </c>
      <c r="U82" s="54">
        <v>1.09</v>
      </c>
      <c r="V82" s="54">
        <v>0.954</v>
      </c>
      <c r="W82" s="54">
        <v>0.8320000000000004</v>
      </c>
      <c r="X82" s="54">
        <v>0.7879999999999999</v>
      </c>
      <c r="Y82" s="54">
        <v>0.8444000000000002</v>
      </c>
      <c r="Z82" s="54">
        <v>0.876</v>
      </c>
      <c r="AA82" s="54">
        <v>0.8555999999999998</v>
      </c>
    </row>
    <row r="83" spans="1:27" ht="12.75">
      <c r="A83" s="33">
        <v>2019</v>
      </c>
      <c r="B83" s="54">
        <v>0.946</v>
      </c>
      <c r="C83" s="54">
        <v>1.1</v>
      </c>
      <c r="D83" s="54">
        <v>1.2480000000000004</v>
      </c>
      <c r="E83" s="54">
        <v>1.252</v>
      </c>
      <c r="F83" s="54">
        <v>1.213999999999999</v>
      </c>
      <c r="G83" s="54">
        <v>1.09</v>
      </c>
      <c r="H83" s="54">
        <v>0.954</v>
      </c>
      <c r="I83" s="54">
        <v>0.8320000000000004</v>
      </c>
      <c r="J83" s="54">
        <v>0.7879999999999999</v>
      </c>
      <c r="K83" s="54">
        <v>0.8444000000000002</v>
      </c>
      <c r="L83" s="54">
        <v>0.876</v>
      </c>
      <c r="M83" s="54">
        <v>0.8555999999999998</v>
      </c>
      <c r="O83" s="33">
        <v>2020</v>
      </c>
      <c r="P83" s="54">
        <v>0.943</v>
      </c>
      <c r="Q83" s="54">
        <v>1.1</v>
      </c>
      <c r="R83" s="54">
        <v>1.2515000000000005</v>
      </c>
      <c r="S83" s="54">
        <v>1.256</v>
      </c>
      <c r="T83" s="54">
        <v>1.216999999999999</v>
      </c>
      <c r="U83" s="54">
        <v>1.09</v>
      </c>
      <c r="V83" s="54">
        <v>0.952</v>
      </c>
      <c r="W83" s="54">
        <v>0.8285000000000005</v>
      </c>
      <c r="X83" s="54">
        <v>0.7839999999999999</v>
      </c>
      <c r="Y83" s="54">
        <v>0.8462000000000002</v>
      </c>
      <c r="Z83" s="54">
        <v>0.878</v>
      </c>
      <c r="AA83" s="54">
        <v>0.8537999999999998</v>
      </c>
    </row>
    <row r="84" spans="1:27" ht="12.75">
      <c r="A84" s="33">
        <v>2020</v>
      </c>
      <c r="B84" s="54">
        <v>0.943</v>
      </c>
      <c r="C84" s="54">
        <v>1.1</v>
      </c>
      <c r="D84" s="54">
        <v>1.2515000000000005</v>
      </c>
      <c r="E84" s="54">
        <v>1.256</v>
      </c>
      <c r="F84" s="54">
        <v>1.216999999999999</v>
      </c>
      <c r="G84" s="54">
        <v>1.09</v>
      </c>
      <c r="H84" s="54">
        <v>0.952</v>
      </c>
      <c r="I84" s="54">
        <v>0.8285000000000005</v>
      </c>
      <c r="J84" s="54">
        <v>0.7839999999999999</v>
      </c>
      <c r="K84" s="54">
        <v>0.8462000000000002</v>
      </c>
      <c r="L84" s="54">
        <v>0.878</v>
      </c>
      <c r="M84" s="54">
        <v>0.8537999999999998</v>
      </c>
      <c r="O84" s="33">
        <v>2021</v>
      </c>
      <c r="P84" s="54">
        <v>0.94</v>
      </c>
      <c r="Q84" s="54">
        <v>1.1</v>
      </c>
      <c r="R84" s="54">
        <v>1.255</v>
      </c>
      <c r="S84" s="54">
        <v>1.26</v>
      </c>
      <c r="T84" s="54">
        <v>1.22</v>
      </c>
      <c r="U84" s="54">
        <v>1.09</v>
      </c>
      <c r="V84" s="54">
        <v>0.95</v>
      </c>
      <c r="W84" s="54">
        <v>0.8250000000000005</v>
      </c>
      <c r="X84" s="54">
        <v>0.78</v>
      </c>
      <c r="Y84" s="54">
        <v>0.8480000000000002</v>
      </c>
      <c r="Z84" s="54">
        <v>0.88</v>
      </c>
      <c r="AA84" s="54">
        <v>0.8519999999999998</v>
      </c>
    </row>
    <row r="85" spans="1:27" ht="12.75">
      <c r="A85" s="33">
        <v>2021</v>
      </c>
      <c r="B85" s="54">
        <v>0.94</v>
      </c>
      <c r="C85" s="54">
        <v>1.1</v>
      </c>
      <c r="D85" s="54">
        <v>1.255</v>
      </c>
      <c r="E85" s="54">
        <v>1.26</v>
      </c>
      <c r="F85" s="54">
        <v>1.22</v>
      </c>
      <c r="G85" s="54">
        <v>1.09</v>
      </c>
      <c r="H85" s="54">
        <v>0.95</v>
      </c>
      <c r="I85" s="54">
        <v>0.8250000000000005</v>
      </c>
      <c r="J85" s="54">
        <v>0.78</v>
      </c>
      <c r="K85" s="54">
        <v>0.8480000000000002</v>
      </c>
      <c r="L85" s="54">
        <v>0.88</v>
      </c>
      <c r="M85" s="54">
        <v>0.8519999999999998</v>
      </c>
      <c r="O85" s="33">
        <v>2022</v>
      </c>
      <c r="P85" s="54">
        <v>0.9369999999999999</v>
      </c>
      <c r="Q85" s="54">
        <v>1.1</v>
      </c>
      <c r="R85" s="54">
        <v>1.2585000000000006</v>
      </c>
      <c r="S85" s="54">
        <v>1.264</v>
      </c>
      <c r="T85" s="54">
        <v>1.2229999999999988</v>
      </c>
      <c r="U85" s="54">
        <v>1.09</v>
      </c>
      <c r="V85" s="54">
        <v>0.948</v>
      </c>
      <c r="W85" s="54">
        <v>0.8215000000000006</v>
      </c>
      <c r="X85" s="54">
        <v>0.7759999999999999</v>
      </c>
      <c r="Y85" s="54">
        <v>0.8498000000000002</v>
      </c>
      <c r="Z85" s="54">
        <v>0.882</v>
      </c>
      <c r="AA85" s="54">
        <v>0.8501999999999997</v>
      </c>
    </row>
    <row r="86" spans="1:27" ht="12.75">
      <c r="A86" s="33">
        <v>2022</v>
      </c>
      <c r="B86" s="54">
        <v>0.9369999999999999</v>
      </c>
      <c r="C86" s="54">
        <v>1.1</v>
      </c>
      <c r="D86" s="54">
        <v>1.2585000000000006</v>
      </c>
      <c r="E86" s="54">
        <v>1.264</v>
      </c>
      <c r="F86" s="54">
        <v>1.2229999999999988</v>
      </c>
      <c r="G86" s="54">
        <v>1.09</v>
      </c>
      <c r="H86" s="54">
        <v>0.948</v>
      </c>
      <c r="I86" s="54">
        <v>0.8215000000000006</v>
      </c>
      <c r="J86" s="54">
        <v>0.7759999999999999</v>
      </c>
      <c r="K86" s="54">
        <v>0.8498000000000002</v>
      </c>
      <c r="L86" s="54">
        <v>0.882</v>
      </c>
      <c r="M86" s="54">
        <v>0.8501999999999997</v>
      </c>
      <c r="O86" s="33">
        <v>2023</v>
      </c>
      <c r="P86" s="54">
        <v>0.9339999999999999</v>
      </c>
      <c r="Q86" s="54">
        <v>1.1</v>
      </c>
      <c r="R86" s="54">
        <v>1.2620000000000007</v>
      </c>
      <c r="S86" s="54">
        <v>1.268</v>
      </c>
      <c r="T86" s="54">
        <v>1.2259999999999986</v>
      </c>
      <c r="U86" s="54">
        <v>1.09</v>
      </c>
      <c r="V86" s="54">
        <v>0.946</v>
      </c>
      <c r="W86" s="54">
        <v>0.8180000000000006</v>
      </c>
      <c r="X86" s="54">
        <v>0.7719999999999999</v>
      </c>
      <c r="Y86" s="54">
        <v>0.8516000000000002</v>
      </c>
      <c r="Z86" s="54">
        <v>0.884</v>
      </c>
      <c r="AA86" s="54">
        <v>0.8483999999999997</v>
      </c>
    </row>
    <row r="87" spans="1:27" ht="12.75">
      <c r="A87" s="33">
        <v>2023</v>
      </c>
      <c r="B87" s="54">
        <v>0.9339999999999999</v>
      </c>
      <c r="C87" s="54">
        <v>1.1</v>
      </c>
      <c r="D87" s="54">
        <v>1.2620000000000007</v>
      </c>
      <c r="E87" s="54">
        <v>1.268</v>
      </c>
      <c r="F87" s="54">
        <v>1.2259999999999986</v>
      </c>
      <c r="G87" s="54">
        <v>1.09</v>
      </c>
      <c r="H87" s="54">
        <v>0.946</v>
      </c>
      <c r="I87" s="54">
        <v>0.8180000000000006</v>
      </c>
      <c r="J87" s="54">
        <v>0.7719999999999999</v>
      </c>
      <c r="K87" s="54">
        <v>0.8516000000000002</v>
      </c>
      <c r="L87" s="54">
        <v>0.884</v>
      </c>
      <c r="M87" s="54">
        <v>0.8483999999999997</v>
      </c>
      <c r="O87" s="33">
        <v>2024</v>
      </c>
      <c r="P87" s="54">
        <v>0.9309999999999999</v>
      </c>
      <c r="Q87" s="54">
        <v>1.1</v>
      </c>
      <c r="R87" s="54">
        <v>1.2655000000000007</v>
      </c>
      <c r="S87" s="54">
        <v>1.272</v>
      </c>
      <c r="T87" s="54">
        <v>1.2289999999999985</v>
      </c>
      <c r="U87" s="54">
        <v>1.09</v>
      </c>
      <c r="V87" s="54">
        <v>0.944</v>
      </c>
      <c r="W87" s="54">
        <v>0.8145000000000007</v>
      </c>
      <c r="X87" s="54">
        <v>0.7679999999999999</v>
      </c>
      <c r="Y87" s="54">
        <v>0.8534000000000003</v>
      </c>
      <c r="Z87" s="54">
        <v>0.886</v>
      </c>
      <c r="AA87" s="54">
        <v>0.8465999999999997</v>
      </c>
    </row>
    <row r="88" spans="1:27" ht="12.75">
      <c r="A88" s="33">
        <v>2024</v>
      </c>
      <c r="B88" s="54">
        <v>0.9309999999999999</v>
      </c>
      <c r="C88" s="54">
        <v>1.1</v>
      </c>
      <c r="D88" s="54">
        <v>1.2655000000000007</v>
      </c>
      <c r="E88" s="54">
        <v>1.272</v>
      </c>
      <c r="F88" s="54">
        <v>1.2289999999999985</v>
      </c>
      <c r="G88" s="54">
        <v>1.09</v>
      </c>
      <c r="H88" s="54">
        <v>0.944</v>
      </c>
      <c r="I88" s="54">
        <v>0.8145000000000007</v>
      </c>
      <c r="J88" s="54">
        <v>0.7679999999999999</v>
      </c>
      <c r="K88" s="54">
        <v>0.8534000000000003</v>
      </c>
      <c r="L88" s="54">
        <v>0.886</v>
      </c>
      <c r="M88" s="54">
        <v>0.8465999999999997</v>
      </c>
      <c r="O88" s="33">
        <v>2025</v>
      </c>
      <c r="P88" s="54">
        <v>0.9279999999999999</v>
      </c>
      <c r="Q88" s="54">
        <v>1.1</v>
      </c>
      <c r="R88" s="54">
        <v>1.2690000000000008</v>
      </c>
      <c r="S88" s="54">
        <v>1.276</v>
      </c>
      <c r="T88" s="54">
        <v>1.2319999999999984</v>
      </c>
      <c r="U88" s="54">
        <v>1.09</v>
      </c>
      <c r="V88" s="54">
        <v>0.942</v>
      </c>
      <c r="W88" s="54">
        <v>0.8110000000000007</v>
      </c>
      <c r="X88" s="54">
        <v>0.7639999999999999</v>
      </c>
      <c r="Y88" s="54">
        <v>0.8552000000000003</v>
      </c>
      <c r="Z88" s="54">
        <v>0.888</v>
      </c>
      <c r="AA88" s="54">
        <v>0.8447999999999997</v>
      </c>
    </row>
    <row r="89" spans="1:27" ht="12.75">
      <c r="A89" s="33">
        <v>2025</v>
      </c>
      <c r="B89" s="54">
        <v>0.9279999999999999</v>
      </c>
      <c r="C89" s="54">
        <v>1.1</v>
      </c>
      <c r="D89" s="54">
        <v>1.2690000000000008</v>
      </c>
      <c r="E89" s="54">
        <v>1.276</v>
      </c>
      <c r="F89" s="54">
        <v>1.2319999999999984</v>
      </c>
      <c r="G89" s="54">
        <v>1.09</v>
      </c>
      <c r="H89" s="54">
        <v>0.942</v>
      </c>
      <c r="I89" s="54">
        <v>0.8110000000000007</v>
      </c>
      <c r="J89" s="54">
        <v>0.7639999999999999</v>
      </c>
      <c r="K89" s="54">
        <v>0.8552000000000003</v>
      </c>
      <c r="L89" s="54">
        <v>0.888</v>
      </c>
      <c r="M89" s="54">
        <v>0.8447999999999997</v>
      </c>
      <c r="O89" s="33">
        <v>2026</v>
      </c>
      <c r="P89" s="54">
        <v>0.925</v>
      </c>
      <c r="Q89" s="54">
        <v>1.1</v>
      </c>
      <c r="R89" s="54">
        <v>1.2725</v>
      </c>
      <c r="S89" s="54">
        <v>1.28</v>
      </c>
      <c r="T89" s="54">
        <v>1.235</v>
      </c>
      <c r="U89" s="54">
        <v>1.09</v>
      </c>
      <c r="V89" s="54">
        <v>0.94</v>
      </c>
      <c r="W89" s="54">
        <v>0.8075000000000008</v>
      </c>
      <c r="X89" s="54">
        <v>0.76</v>
      </c>
      <c r="Y89" s="54">
        <v>0.8570000000000003</v>
      </c>
      <c r="Z89" s="54">
        <v>0.89</v>
      </c>
      <c r="AA89" s="54">
        <v>0.8429999999999996</v>
      </c>
    </row>
    <row r="90" spans="1:27" ht="12.75">
      <c r="A90" s="33">
        <v>2026</v>
      </c>
      <c r="B90" s="54">
        <v>0.925</v>
      </c>
      <c r="C90" s="54">
        <v>1.1</v>
      </c>
      <c r="D90" s="54">
        <v>1.2725</v>
      </c>
      <c r="E90" s="54">
        <v>1.28</v>
      </c>
      <c r="F90" s="54">
        <v>1.235</v>
      </c>
      <c r="G90" s="54">
        <v>1.09</v>
      </c>
      <c r="H90" s="54">
        <v>0.94</v>
      </c>
      <c r="I90" s="54">
        <v>0.8075000000000008</v>
      </c>
      <c r="J90" s="54">
        <v>0.76</v>
      </c>
      <c r="K90" s="54">
        <v>0.8570000000000003</v>
      </c>
      <c r="L90" s="54">
        <v>0.89</v>
      </c>
      <c r="M90" s="54">
        <v>0.8429999999999996</v>
      </c>
      <c r="O90" s="33">
        <v>2027</v>
      </c>
      <c r="P90" s="54">
        <v>0.9219999999999999</v>
      </c>
      <c r="Q90" s="54">
        <v>1.1</v>
      </c>
      <c r="R90" s="54">
        <v>1.276000000000001</v>
      </c>
      <c r="S90" s="54">
        <v>1.284</v>
      </c>
      <c r="T90" s="54">
        <v>1.2379999999999982</v>
      </c>
      <c r="U90" s="54">
        <v>1.09</v>
      </c>
      <c r="V90" s="54">
        <v>0.938</v>
      </c>
      <c r="W90" s="54">
        <v>0.8040000000000008</v>
      </c>
      <c r="X90" s="54">
        <v>0.7559999999999999</v>
      </c>
      <c r="Y90" s="54">
        <v>0.8588000000000003</v>
      </c>
      <c r="Z90" s="54">
        <v>0.892</v>
      </c>
      <c r="AA90" s="54">
        <v>0.8411999999999996</v>
      </c>
    </row>
    <row r="91" spans="1:27" ht="12.75">
      <c r="A91" s="33">
        <v>2027</v>
      </c>
      <c r="B91" s="54">
        <v>0.9219999999999999</v>
      </c>
      <c r="C91" s="54">
        <v>1.1</v>
      </c>
      <c r="D91" s="54">
        <v>1.276000000000001</v>
      </c>
      <c r="E91" s="54">
        <v>1.284</v>
      </c>
      <c r="F91" s="54">
        <v>1.2379999999999982</v>
      </c>
      <c r="G91" s="54">
        <v>1.09</v>
      </c>
      <c r="H91" s="54">
        <v>0.938</v>
      </c>
      <c r="I91" s="54">
        <v>0.8040000000000008</v>
      </c>
      <c r="J91" s="54">
        <v>0.7559999999999999</v>
      </c>
      <c r="K91" s="54">
        <v>0.8588000000000003</v>
      </c>
      <c r="L91" s="54">
        <v>0.892</v>
      </c>
      <c r="M91" s="54">
        <v>0.8411999999999996</v>
      </c>
      <c r="O91" s="33">
        <v>2028</v>
      </c>
      <c r="P91" s="54">
        <v>0.9189999999999999</v>
      </c>
      <c r="Q91" s="54">
        <v>1.1</v>
      </c>
      <c r="R91" s="54">
        <v>1.279500000000001</v>
      </c>
      <c r="S91" s="54">
        <v>1.288</v>
      </c>
      <c r="T91" s="54">
        <v>1.240999999999998</v>
      </c>
      <c r="U91" s="54">
        <v>1.09</v>
      </c>
      <c r="V91" s="54">
        <v>0.9359999999999999</v>
      </c>
      <c r="W91" s="54">
        <v>0.8005000000000009</v>
      </c>
      <c r="X91" s="54">
        <v>0.7519999999999999</v>
      </c>
      <c r="Y91" s="54">
        <v>0.8606000000000004</v>
      </c>
      <c r="Z91" s="54">
        <v>0.894</v>
      </c>
      <c r="AA91" s="54">
        <v>0.8393999999999996</v>
      </c>
    </row>
    <row r="92" spans="1:27" ht="12.75">
      <c r="A92" s="33">
        <v>2028</v>
      </c>
      <c r="B92" s="54">
        <v>0.9189999999999999</v>
      </c>
      <c r="C92" s="54">
        <v>1.1</v>
      </c>
      <c r="D92" s="54">
        <v>1.279500000000001</v>
      </c>
      <c r="E92" s="54">
        <v>1.288</v>
      </c>
      <c r="F92" s="54">
        <v>1.240999999999998</v>
      </c>
      <c r="G92" s="54">
        <v>1.09</v>
      </c>
      <c r="H92" s="54">
        <v>0.9359999999999999</v>
      </c>
      <c r="I92" s="54">
        <v>0.8005000000000009</v>
      </c>
      <c r="J92" s="54">
        <v>0.7519999999999999</v>
      </c>
      <c r="K92" s="54">
        <v>0.8606000000000004</v>
      </c>
      <c r="L92" s="54">
        <v>0.894</v>
      </c>
      <c r="M92" s="54">
        <v>0.8393999999999996</v>
      </c>
      <c r="P92" s="56">
        <v>-0.0015</v>
      </c>
      <c r="Q92" s="56">
        <v>0</v>
      </c>
      <c r="R92" s="56">
        <v>0.00175</v>
      </c>
      <c r="S92" s="56">
        <v>0.002</v>
      </c>
      <c r="T92" s="56">
        <v>0.0015</v>
      </c>
      <c r="U92" s="56">
        <v>0</v>
      </c>
      <c r="V92" s="56">
        <v>-0.001</v>
      </c>
      <c r="W92" s="56">
        <v>-0.00175</v>
      </c>
      <c r="X92" s="56">
        <v>-0.002</v>
      </c>
      <c r="Y92" s="56">
        <v>0.0009</v>
      </c>
      <c r="Z92" s="56">
        <v>0.001</v>
      </c>
      <c r="AA92" s="56">
        <v>-0.0009</v>
      </c>
    </row>
    <row r="93" spans="2:13" ht="12.75">
      <c r="B93" s="56">
        <v>-0.0015</v>
      </c>
      <c r="C93" s="56">
        <v>0</v>
      </c>
      <c r="D93" s="56">
        <v>0.00175</v>
      </c>
      <c r="E93" s="56">
        <v>0.002</v>
      </c>
      <c r="F93" s="56">
        <v>0.0015</v>
      </c>
      <c r="G93" s="56">
        <v>0</v>
      </c>
      <c r="H93" s="56">
        <v>-0.001</v>
      </c>
      <c r="I93" s="56">
        <v>-0.00175</v>
      </c>
      <c r="J93" s="56">
        <v>-0.002</v>
      </c>
      <c r="K93" s="56">
        <v>0.0009</v>
      </c>
      <c r="L93" s="56">
        <v>0.001</v>
      </c>
      <c r="M93" s="56">
        <v>-0.0009</v>
      </c>
    </row>
    <row r="95" ht="12.75">
      <c r="O95" s="32" t="s">
        <v>47</v>
      </c>
    </row>
    <row r="96" spans="1:28" ht="12.75">
      <c r="A96" s="32" t="s">
        <v>47</v>
      </c>
      <c r="O96" s="33" t="s">
        <v>30</v>
      </c>
      <c r="P96" s="36">
        <v>5031.3</v>
      </c>
      <c r="Q96" s="36">
        <v>5757.6</v>
      </c>
      <c r="R96" s="36">
        <v>6336.4</v>
      </c>
      <c r="S96" s="36">
        <v>6448.2</v>
      </c>
      <c r="T96" s="36">
        <v>6366.1</v>
      </c>
      <c r="U96" s="36">
        <v>5703.2</v>
      </c>
      <c r="V96" s="36">
        <v>5254</v>
      </c>
      <c r="W96" s="36">
        <v>4963.1</v>
      </c>
      <c r="X96" s="36">
        <v>5243.1</v>
      </c>
      <c r="Y96" s="36">
        <v>5167.9</v>
      </c>
      <c r="Z96" s="36">
        <v>5141.2</v>
      </c>
      <c r="AA96" s="36">
        <v>4974.9</v>
      </c>
      <c r="AB96" s="36">
        <v>5532.25</v>
      </c>
    </row>
    <row r="97" spans="1:28" ht="12.75">
      <c r="A97" s="33" t="s">
        <v>30</v>
      </c>
      <c r="B97" s="36">
        <v>5031.3</v>
      </c>
      <c r="C97" s="36">
        <v>5757.6</v>
      </c>
      <c r="D97" s="36">
        <v>6336.4</v>
      </c>
      <c r="E97" s="36">
        <v>6448.2</v>
      </c>
      <c r="F97" s="36">
        <v>6366.1</v>
      </c>
      <c r="G97" s="36">
        <v>5703.2</v>
      </c>
      <c r="H97" s="36">
        <v>5254</v>
      </c>
      <c r="I97" s="36">
        <v>4963.1</v>
      </c>
      <c r="J97" s="36">
        <v>5243.1</v>
      </c>
      <c r="K97" s="36">
        <v>5167.9</v>
      </c>
      <c r="L97" s="36">
        <v>5141.2</v>
      </c>
      <c r="M97" s="36">
        <v>4974.9</v>
      </c>
      <c r="N97" s="36">
        <v>5532.25</v>
      </c>
      <c r="O97" s="33" t="s">
        <v>49</v>
      </c>
      <c r="P97" s="36">
        <v>5742.7</v>
      </c>
      <c r="Q97" s="36">
        <v>6532.6</v>
      </c>
      <c r="R97" s="36">
        <v>7266</v>
      </c>
      <c r="S97" s="36">
        <v>7269</v>
      </c>
      <c r="T97" s="36">
        <v>7084.9</v>
      </c>
      <c r="U97" s="36">
        <v>6473.2</v>
      </c>
      <c r="V97" s="36">
        <v>5748.7</v>
      </c>
      <c r="W97" s="36">
        <v>5086.5</v>
      </c>
      <c r="X97" s="36">
        <v>4846</v>
      </c>
      <c r="Y97" s="36">
        <v>4939.8</v>
      </c>
      <c r="Z97" s="36">
        <v>5119.2</v>
      </c>
      <c r="AA97" s="36">
        <v>5156</v>
      </c>
      <c r="AB97" s="36">
        <v>5938.7</v>
      </c>
    </row>
    <row r="98" spans="1:15" ht="12.75">
      <c r="A98" s="33" t="s">
        <v>49</v>
      </c>
      <c r="B98" s="36">
        <v>5742.7</v>
      </c>
      <c r="C98" s="36">
        <v>6532.6</v>
      </c>
      <c r="D98" s="36">
        <v>7266</v>
      </c>
      <c r="E98" s="36">
        <v>7269</v>
      </c>
      <c r="F98" s="36">
        <v>7084.9</v>
      </c>
      <c r="G98" s="36">
        <v>6473.2</v>
      </c>
      <c r="H98" s="36">
        <v>5748.7</v>
      </c>
      <c r="I98" s="36">
        <v>5086.5</v>
      </c>
      <c r="J98" s="36">
        <v>4846</v>
      </c>
      <c r="K98" s="36">
        <v>4939.8</v>
      </c>
      <c r="L98" s="36">
        <v>5119.2</v>
      </c>
      <c r="M98" s="36">
        <v>5156</v>
      </c>
      <c r="N98" s="36">
        <v>5938.7</v>
      </c>
      <c r="O98" s="33" t="s">
        <v>17</v>
      </c>
    </row>
    <row r="99" spans="1:28" ht="12.75">
      <c r="A99" s="33" t="s">
        <v>17</v>
      </c>
      <c r="O99" s="33" t="s">
        <v>50</v>
      </c>
      <c r="P99" s="36">
        <v>347.45</v>
      </c>
      <c r="Q99" s="36">
        <v>347.45</v>
      </c>
      <c r="R99" s="36">
        <v>347.45</v>
      </c>
      <c r="S99" s="36">
        <v>347.45</v>
      </c>
      <c r="T99" s="36">
        <v>347.45</v>
      </c>
      <c r="U99" s="36">
        <v>347.45</v>
      </c>
      <c r="V99" s="36">
        <v>347.45</v>
      </c>
      <c r="W99" s="36">
        <v>347.45</v>
      </c>
      <c r="X99" s="36">
        <v>347.45</v>
      </c>
      <c r="Y99" s="36">
        <v>347.45</v>
      </c>
      <c r="Z99" s="36">
        <v>347.45</v>
      </c>
      <c r="AA99" s="36">
        <v>347.45</v>
      </c>
      <c r="AB99" s="36">
        <v>347.45</v>
      </c>
    </row>
    <row r="100" spans="1:28" ht="12.75">
      <c r="A100" s="33" t="s">
        <v>50</v>
      </c>
      <c r="B100" s="36">
        <v>347.45</v>
      </c>
      <c r="C100" s="36">
        <v>347.45</v>
      </c>
      <c r="D100" s="36">
        <v>347.45</v>
      </c>
      <c r="E100" s="36">
        <v>347.45</v>
      </c>
      <c r="F100" s="36">
        <v>347.45</v>
      </c>
      <c r="G100" s="36">
        <v>347.45</v>
      </c>
      <c r="H100" s="36">
        <v>347.45</v>
      </c>
      <c r="I100" s="36">
        <v>347.45</v>
      </c>
      <c r="J100" s="36">
        <v>347.45</v>
      </c>
      <c r="K100" s="36">
        <v>347.45</v>
      </c>
      <c r="L100" s="36">
        <v>347.45</v>
      </c>
      <c r="M100" s="36">
        <v>347.45</v>
      </c>
      <c r="N100" s="36">
        <v>347.45</v>
      </c>
      <c r="O100" s="33" t="s">
        <v>48</v>
      </c>
      <c r="P100" s="36">
        <v>5395.25</v>
      </c>
      <c r="Q100" s="36">
        <v>6185.15</v>
      </c>
      <c r="R100" s="36">
        <v>6918.55</v>
      </c>
      <c r="S100" s="36">
        <v>6921.55</v>
      </c>
      <c r="T100" s="36">
        <v>6737.45</v>
      </c>
      <c r="U100" s="36">
        <v>6125.75</v>
      </c>
      <c r="V100" s="36">
        <v>5401.25</v>
      </c>
      <c r="W100" s="36">
        <v>4739.05</v>
      </c>
      <c r="X100" s="36">
        <v>4498.55</v>
      </c>
      <c r="Y100" s="36">
        <v>4592.35</v>
      </c>
      <c r="Z100" s="36">
        <v>4771.75</v>
      </c>
      <c r="AA100" s="36">
        <v>4808.55</v>
      </c>
      <c r="AB100" s="36">
        <v>5591.266666666666</v>
      </c>
    </row>
    <row r="101" spans="1:28" ht="12.75">
      <c r="A101" s="33" t="s">
        <v>48</v>
      </c>
      <c r="B101" s="36">
        <v>5395.25</v>
      </c>
      <c r="C101" s="36">
        <v>6185.15</v>
      </c>
      <c r="D101" s="36">
        <v>6918.55</v>
      </c>
      <c r="E101" s="36">
        <v>6921.55</v>
      </c>
      <c r="F101" s="36">
        <v>6737.45</v>
      </c>
      <c r="G101" s="36">
        <v>6125.75</v>
      </c>
      <c r="H101" s="36">
        <v>5401.25</v>
      </c>
      <c r="I101" s="36">
        <v>4739.05</v>
      </c>
      <c r="J101" s="36">
        <v>4498.55</v>
      </c>
      <c r="K101" s="36">
        <v>4592.35</v>
      </c>
      <c r="L101" s="36">
        <v>4771.75</v>
      </c>
      <c r="M101" s="36">
        <v>4808.55</v>
      </c>
      <c r="N101" s="36">
        <v>5591.266666666666</v>
      </c>
      <c r="O101" s="33" t="s">
        <v>46</v>
      </c>
      <c r="P101" s="36">
        <v>24.75</v>
      </c>
      <c r="Q101" s="36">
        <v>8.849999999999454</v>
      </c>
      <c r="R101" s="36">
        <v>-834.55</v>
      </c>
      <c r="S101" s="36">
        <v>-2066.55</v>
      </c>
      <c r="T101" s="36">
        <v>-1723.45</v>
      </c>
      <c r="U101" s="36">
        <v>-871.75</v>
      </c>
      <c r="V101" s="36">
        <v>-533.25</v>
      </c>
      <c r="W101" s="36">
        <v>115.95</v>
      </c>
      <c r="X101" s="36">
        <v>1937.45</v>
      </c>
      <c r="Y101" s="36">
        <v>1790.65</v>
      </c>
      <c r="Z101" s="36">
        <v>1182.25</v>
      </c>
      <c r="AA101" s="36">
        <v>261.45</v>
      </c>
      <c r="AB101" s="36">
        <v>-59.0166666666668</v>
      </c>
    </row>
    <row r="102" spans="1:28" ht="12.75">
      <c r="A102" s="33" t="s">
        <v>46</v>
      </c>
      <c r="B102" s="36">
        <v>24.75</v>
      </c>
      <c r="C102" s="36">
        <v>8.849999999999454</v>
      </c>
      <c r="D102" s="36">
        <v>-834.55</v>
      </c>
      <c r="E102" s="36">
        <v>-2066.55</v>
      </c>
      <c r="F102" s="36">
        <v>-1723.45</v>
      </c>
      <c r="G102" s="36">
        <v>-871.75</v>
      </c>
      <c r="H102" s="36">
        <v>-533.25</v>
      </c>
      <c r="I102" s="36">
        <v>115.95</v>
      </c>
      <c r="J102" s="36">
        <v>1937.45</v>
      </c>
      <c r="K102" s="36">
        <v>1790.65</v>
      </c>
      <c r="L102" s="36">
        <v>1182.25</v>
      </c>
      <c r="M102" s="36">
        <v>261.45</v>
      </c>
      <c r="N102" s="36">
        <v>-59.0166666666668</v>
      </c>
      <c r="O102" s="33" t="s">
        <v>51</v>
      </c>
      <c r="P102" s="40">
        <v>926.1784124999999</v>
      </c>
      <c r="Q102" s="40">
        <v>371.4875999999771</v>
      </c>
      <c r="R102" s="57">
        <v>-38042.86160400001</v>
      </c>
      <c r="S102" s="57">
        <v>-84901.478904</v>
      </c>
      <c r="T102" s="57">
        <v>-67557.03398399998</v>
      </c>
      <c r="U102" s="40">
        <v>-35023.428</v>
      </c>
      <c r="V102" s="40">
        <v>-16996.4212275</v>
      </c>
      <c r="W102" s="40">
        <v>3373.031879999995</v>
      </c>
      <c r="X102" s="40">
        <v>51502.07087999999</v>
      </c>
      <c r="Y102" s="40">
        <v>61136.658803999984</v>
      </c>
      <c r="Z102" s="40">
        <v>45123.17219999999</v>
      </c>
      <c r="AA102" s="40">
        <v>10208.472119999993</v>
      </c>
      <c r="AB102" s="40">
        <v>-69880.15182300008</v>
      </c>
    </row>
    <row r="103" spans="1:15" ht="12.75">
      <c r="A103" s="33" t="s">
        <v>51</v>
      </c>
      <c r="B103" s="40">
        <v>926.1784124999999</v>
      </c>
      <c r="C103" s="40">
        <v>371.4875999999771</v>
      </c>
      <c r="D103" s="57">
        <v>-38042.86160400001</v>
      </c>
      <c r="E103" s="57">
        <v>-84901.478904</v>
      </c>
      <c r="F103" s="57">
        <v>-67557.03398399998</v>
      </c>
      <c r="G103" s="40">
        <v>-35023.428</v>
      </c>
      <c r="H103" s="40">
        <v>-16996.4212275</v>
      </c>
      <c r="I103" s="40">
        <v>3373.031879999995</v>
      </c>
      <c r="J103" s="40">
        <v>51502.07087999999</v>
      </c>
      <c r="K103" s="40">
        <v>61136.658803999984</v>
      </c>
      <c r="L103" s="40">
        <v>45123.17219999999</v>
      </c>
      <c r="M103" s="40">
        <v>10208.472119999993</v>
      </c>
      <c r="N103" s="40">
        <v>-69880.15182300008</v>
      </c>
      <c r="O103" s="33" t="s">
        <v>18</v>
      </c>
    </row>
    <row r="104" spans="1:28" ht="12.75">
      <c r="A104" s="33" t="s">
        <v>18</v>
      </c>
      <c r="O104" s="33" t="s">
        <v>50</v>
      </c>
      <c r="P104" s="36">
        <v>711.4</v>
      </c>
      <c r="Q104" s="36">
        <v>775</v>
      </c>
      <c r="R104" s="36">
        <v>929.6</v>
      </c>
      <c r="S104" s="36">
        <v>820.8</v>
      </c>
      <c r="T104" s="36">
        <v>718.7999999999993</v>
      </c>
      <c r="U104" s="36">
        <v>770</v>
      </c>
      <c r="V104" s="36">
        <v>494.7</v>
      </c>
      <c r="W104" s="36">
        <v>123.4</v>
      </c>
      <c r="X104" s="36">
        <v>-397.1</v>
      </c>
      <c r="Y104" s="36">
        <v>-228.09999999999945</v>
      </c>
      <c r="Z104" s="36">
        <v>-22</v>
      </c>
      <c r="AA104" s="36">
        <v>181.1</v>
      </c>
      <c r="AB104" s="36">
        <v>406.46666666666664</v>
      </c>
    </row>
    <row r="105" spans="1:28" ht="12.75">
      <c r="A105" s="33" t="s">
        <v>50</v>
      </c>
      <c r="B105" s="36">
        <v>711.4</v>
      </c>
      <c r="C105" s="36">
        <v>775</v>
      </c>
      <c r="D105" s="36">
        <v>929.6</v>
      </c>
      <c r="E105" s="36">
        <v>820.8</v>
      </c>
      <c r="F105" s="36">
        <v>718.7999999999993</v>
      </c>
      <c r="G105" s="36">
        <v>770</v>
      </c>
      <c r="H105" s="36">
        <v>494.7</v>
      </c>
      <c r="I105" s="36">
        <v>123.4</v>
      </c>
      <c r="J105" s="36">
        <v>-397.1</v>
      </c>
      <c r="K105" s="36">
        <v>-228.09999999999945</v>
      </c>
      <c r="L105" s="36">
        <v>-22</v>
      </c>
      <c r="M105" s="36">
        <v>181.1</v>
      </c>
      <c r="N105" s="36">
        <v>406.46666666666664</v>
      </c>
      <c r="O105" s="33" t="s">
        <v>48</v>
      </c>
      <c r="P105" s="36">
        <v>5031.3</v>
      </c>
      <c r="Q105" s="36">
        <v>5757.6</v>
      </c>
      <c r="R105" s="36">
        <v>6336.4</v>
      </c>
      <c r="S105" s="36">
        <v>6448.2</v>
      </c>
      <c r="T105" s="36">
        <v>6366.1</v>
      </c>
      <c r="U105" s="36">
        <v>5703.2</v>
      </c>
      <c r="V105" s="36">
        <v>5254</v>
      </c>
      <c r="W105" s="36">
        <v>4963.1</v>
      </c>
      <c r="X105" s="36">
        <v>5243.1</v>
      </c>
      <c r="Y105" s="36">
        <v>5167.9</v>
      </c>
      <c r="Z105" s="36">
        <v>5141.2</v>
      </c>
      <c r="AA105" s="36">
        <v>4974.9</v>
      </c>
      <c r="AB105" s="36">
        <v>5532.25</v>
      </c>
    </row>
    <row r="106" spans="1:28" ht="12.75">
      <c r="A106" s="33" t="s">
        <v>48</v>
      </c>
      <c r="B106" s="36">
        <v>5031.3</v>
      </c>
      <c r="C106" s="36">
        <v>5757.6</v>
      </c>
      <c r="D106" s="36">
        <v>6336.4</v>
      </c>
      <c r="E106" s="36">
        <v>6448.2</v>
      </c>
      <c r="F106" s="36">
        <v>6366.1</v>
      </c>
      <c r="G106" s="36">
        <v>5703.2</v>
      </c>
      <c r="H106" s="36">
        <v>5254</v>
      </c>
      <c r="I106" s="36">
        <v>4963.1</v>
      </c>
      <c r="J106" s="36">
        <v>5243.1</v>
      </c>
      <c r="K106" s="36">
        <v>5167.9</v>
      </c>
      <c r="L106" s="36">
        <v>5141.2</v>
      </c>
      <c r="M106" s="36">
        <v>4974.9</v>
      </c>
      <c r="N106" s="36">
        <v>5532.25</v>
      </c>
      <c r="O106" s="33" t="s">
        <v>46</v>
      </c>
      <c r="P106" s="36">
        <v>388.7</v>
      </c>
      <c r="Q106" s="36">
        <v>436.4</v>
      </c>
      <c r="R106" s="36">
        <v>-252.4</v>
      </c>
      <c r="S106" s="36">
        <v>-1593.2</v>
      </c>
      <c r="T106" s="36">
        <v>-1352.1</v>
      </c>
      <c r="U106" s="36">
        <v>-449.2</v>
      </c>
      <c r="V106" s="36">
        <v>-386</v>
      </c>
      <c r="W106" s="36">
        <v>-108.1</v>
      </c>
      <c r="X106" s="36">
        <v>1192.9</v>
      </c>
      <c r="Y106" s="36">
        <v>1215.1</v>
      </c>
      <c r="Z106" s="36">
        <v>812.8</v>
      </c>
      <c r="AA106" s="36">
        <v>95.10000000000036</v>
      </c>
      <c r="AB106" s="36">
        <v>0</v>
      </c>
    </row>
    <row r="107" spans="1:28" ht="12.75">
      <c r="A107" s="33" t="s">
        <v>46</v>
      </c>
      <c r="B107" s="36">
        <v>388.7</v>
      </c>
      <c r="C107" s="36">
        <v>436.4</v>
      </c>
      <c r="D107" s="36">
        <v>-252.4</v>
      </c>
      <c r="E107" s="36">
        <v>-1593.2</v>
      </c>
      <c r="F107" s="36">
        <v>-1352.1</v>
      </c>
      <c r="G107" s="36">
        <v>-449.2</v>
      </c>
      <c r="H107" s="36">
        <v>-386</v>
      </c>
      <c r="I107" s="36">
        <v>-108.1</v>
      </c>
      <c r="J107" s="36">
        <v>1192.9</v>
      </c>
      <c r="K107" s="36">
        <v>1215.1</v>
      </c>
      <c r="L107" s="36">
        <v>812.8</v>
      </c>
      <c r="M107" s="36">
        <v>95.10000000000036</v>
      </c>
      <c r="N107" s="36">
        <v>0</v>
      </c>
      <c r="O107" s="33" t="s">
        <v>51</v>
      </c>
      <c r="P107" s="40">
        <v>14545.678744999994</v>
      </c>
      <c r="Q107" s="40">
        <v>18318.326399999984</v>
      </c>
      <c r="R107" s="40">
        <v>-11505.623711999984</v>
      </c>
      <c r="S107" s="40">
        <v>-65454.51897599999</v>
      </c>
      <c r="T107" s="40">
        <v>-53000.58931200002</v>
      </c>
      <c r="U107" s="40">
        <v>-18047.059199999992</v>
      </c>
      <c r="V107" s="40">
        <v>-12303.08222</v>
      </c>
      <c r="W107" s="40">
        <v>-3144.672240000011</v>
      </c>
      <c r="X107" s="40">
        <v>31710.14495999999</v>
      </c>
      <c r="Y107" s="40">
        <v>41486.13861600002</v>
      </c>
      <c r="Z107" s="40">
        <v>31022.300160000006</v>
      </c>
      <c r="AA107" s="40">
        <v>3713.236560000014</v>
      </c>
      <c r="AB107" s="40">
        <v>-22659.720218999988</v>
      </c>
    </row>
    <row r="108" spans="1:14" ht="12.75">
      <c r="A108" s="33" t="s">
        <v>51</v>
      </c>
      <c r="B108" s="40">
        <v>14545.678744999994</v>
      </c>
      <c r="C108" s="40">
        <v>18318.326399999984</v>
      </c>
      <c r="D108" s="40">
        <v>-11505.623711999984</v>
      </c>
      <c r="E108" s="40">
        <v>-65454.51897599999</v>
      </c>
      <c r="F108" s="40">
        <v>-53000.58931200002</v>
      </c>
      <c r="G108" s="40">
        <v>-18047.059199999992</v>
      </c>
      <c r="H108" s="40">
        <v>-12303.08222</v>
      </c>
      <c r="I108" s="40">
        <v>-3144.672240000011</v>
      </c>
      <c r="J108" s="40">
        <v>31710.14495999999</v>
      </c>
      <c r="K108" s="40">
        <v>41486.13861600002</v>
      </c>
      <c r="L108" s="40">
        <v>31022.300160000006</v>
      </c>
      <c r="M108" s="40">
        <v>3713.236560000014</v>
      </c>
      <c r="N108" s="40">
        <v>-22659.720218999988</v>
      </c>
    </row>
  </sheetData>
  <sheetProtection formatCells="0" formatColumns="0" formatRows="0" insertColumns="0" insertRows="0"/>
  <printOptions horizontalCentered="1"/>
  <pageMargins left="0.25" right="0.25" top="0.5" bottom="0.5" header="0.5" footer="0.5"/>
  <pageSetup fitToHeight="2" fitToWidth="2" horizontalDpi="600" verticalDpi="600" orientation="portrait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Bliven</dc:creator>
  <cp:keywords/>
  <dc:description/>
  <cp:lastModifiedBy>Raymond Bliven</cp:lastModifiedBy>
  <cp:lastPrinted>2006-09-12T23:35:14Z</cp:lastPrinted>
  <dcterms:created xsi:type="dcterms:W3CDTF">2006-08-17T22:16:43Z</dcterms:created>
  <dcterms:modified xsi:type="dcterms:W3CDTF">2006-09-12T23:53:29Z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