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125" windowHeight="7470" tabRatio="822" activeTab="0"/>
  </bookViews>
  <sheets>
    <sheet name="BNL-IGC-HTS Strand inspection." sheetId="1" r:id="rId1"/>
    <sheet name="Tensil Tests" sheetId="2" r:id="rId2"/>
    <sheet name="CABCALC2.XLS" sheetId="3" r:id="rId3"/>
    <sheet name="776-LENTHMAP" sheetId="4" r:id="rId4"/>
  </sheets>
  <definedNames>
    <definedName name="_xlnm.Print_Area" localSheetId="2">'CABCALC2.XLS'!$A$20:$K$69</definedName>
    <definedName name="Record1">'CABLCALC.XLM'!$A$1</definedName>
    <definedName name="Record10">'CABLALSO.XLM'!$G$1</definedName>
    <definedName name="Record11">'CABLALSO.XLM'!$H$1</definedName>
    <definedName name="Record12">'CABLALSO.XLM'!$I$1</definedName>
    <definedName name="Record13">'CABLALSO.XLM'!$J$1</definedName>
    <definedName name="Record3">'CABLALSO.XLM'!$A$1</definedName>
    <definedName name="Record4">'CABLALSO.XLM'!$B$1</definedName>
    <definedName name="Record5">'CABLALSO.XLM'!$K$1</definedName>
    <definedName name="Record6">'CABLALSO.XLM'!$C$1</definedName>
    <definedName name="Record7">'CABLALSO.XLM'!$D$1</definedName>
    <definedName name="Record8">'CABLALSO.XLM'!$E$1</definedName>
    <definedName name="Record9">'CABLALSO.XLM'!$F$1</definedName>
    <definedName name="RECORDER">'CABLALSO.XLM'!$J:$J</definedName>
    <definedName name="RECORDER">'CABLCALC.XLM'!$A:$A</definedName>
  </definedNames>
  <calcPr fullCalcOnLoad="1"/>
</workbook>
</file>

<file path=xl/comments1.xml><?xml version="1.0" encoding="utf-8"?>
<comments xmlns="http://schemas.openxmlformats.org/spreadsheetml/2006/main">
  <authors>
    <author>HHigley</author>
  </authors>
  <commentList>
    <comment ref="K3" authorId="0">
      <text>
        <r>
          <rPr>
            <sz val="8"/>
            <rFont val="Tahoma"/>
            <family val="0"/>
          </rPr>
          <t>Checksum used to verify inventory. Mfg. length/LBNL wt.
+/-.05kg. =  ~ +/-13m
LBNL measured value is ___m/kg.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Diameters measured with laser micrometer
 +/- .0001mm</t>
        </r>
      </text>
    </comment>
    <comment ref="M3" authorId="0">
      <text>
        <r>
          <rPr>
            <sz val="8"/>
            <rFont val="Tahoma"/>
            <family val="2"/>
          </rPr>
          <t>This Value is The wire center line radius at which failure is first visible under a magnification of 60x.
Indications are concavity at the outer bend radius, suggesting that filaments have fractured and the shell is collapsing inward.</t>
        </r>
      </text>
    </comment>
    <comment ref="M4" authorId="0">
      <text>
        <r>
          <rPr>
            <sz val="8"/>
            <rFont val="Tahoma"/>
            <family val="0"/>
          </rPr>
          <t>0.90
0.97
0.85</t>
        </r>
      </text>
    </comment>
    <comment ref="M5" authorId="0">
      <text>
        <r>
          <rPr>
            <sz val="8"/>
            <rFont val="Tahoma"/>
            <family val="0"/>
          </rPr>
          <t>2.27
1.94
2.11</t>
        </r>
      </text>
    </comment>
    <comment ref="M6" authorId="0">
      <text>
        <r>
          <rPr>
            <sz val="8"/>
            <rFont val="Tahoma"/>
            <family val="0"/>
          </rPr>
          <t>1.91
1.62
2.04</t>
        </r>
      </text>
    </comment>
    <comment ref="O3" authorId="0">
      <text>
        <r>
          <rPr>
            <sz val="8"/>
            <rFont val="Tahoma"/>
            <family val="2"/>
          </rPr>
          <t>This Value is The wire center line radius at which failure is first visible under a magnification of 60x.
Indications are concavity at the outer bend radius, suggesting that filaments have fractured and the shell is collapsing inward.</t>
        </r>
      </text>
    </comment>
  </commentList>
</comments>
</file>

<file path=xl/sharedStrings.xml><?xml version="1.0" encoding="utf-8"?>
<sst xmlns="http://schemas.openxmlformats.org/spreadsheetml/2006/main" count="177" uniqueCount="139">
  <si>
    <t>Mfg.</t>
  </si>
  <si>
    <t>IGC</t>
  </si>
  <si>
    <t>37392-1</t>
  </si>
  <si>
    <t>Mfg. Date</t>
  </si>
  <si>
    <t>Spool Label</t>
  </si>
  <si>
    <t>LBNL inspection.</t>
  </si>
  <si>
    <t>37392-2</t>
  </si>
  <si>
    <t>Composition</t>
  </si>
  <si>
    <t>Rreceived</t>
  </si>
  <si>
    <t>Mfg. Strand ID#</t>
  </si>
  <si>
    <t>H.Higley- LBNL  510-486-5815</t>
  </si>
  <si>
    <t>Cksum Mfg.m/kg</t>
  </si>
  <si>
    <t>Wt. kg +/-.05kg</t>
  </si>
  <si>
    <t>SWCC</t>
  </si>
  <si>
    <t>HTS Strand inspection.</t>
  </si>
  <si>
    <t>20567-3-2</t>
  </si>
  <si>
    <t>Tensil test.</t>
  </si>
  <si>
    <t>Sample</t>
  </si>
  <si>
    <t>lbs yield.</t>
  </si>
  <si>
    <t>Ksi yield</t>
  </si>
  <si>
    <t>Spring back</t>
  </si>
  <si>
    <t>Refrence</t>
  </si>
  <si>
    <t>.2% offset</t>
  </si>
  <si>
    <t>deg.</t>
  </si>
  <si>
    <t>Cu</t>
  </si>
  <si>
    <t>Soft Cu a  2x-100lb.</t>
  </si>
  <si>
    <t>Annealed</t>
  </si>
  <si>
    <t>Soft Cu b  2x-100lb.</t>
  </si>
  <si>
    <t>1/2 hd</t>
  </si>
  <si>
    <t>Soft Cu c  10x-100lb</t>
  </si>
  <si>
    <t>spring</t>
  </si>
  <si>
    <t>Soft Cu d  10x- 20 lb.</t>
  </si>
  <si>
    <t>ex spring</t>
  </si>
  <si>
    <t>annealed  ETP Cu</t>
  </si>
  <si>
    <t>1/2 hd Cu a</t>
  </si>
  <si>
    <t>1/2 hd Cu b</t>
  </si>
  <si>
    <t>Full hd Cu</t>
  </si>
  <si>
    <t>Dia. In.</t>
  </si>
  <si>
    <t>HTS Mfg.</t>
  </si>
  <si>
    <t>Billet#</t>
  </si>
  <si>
    <t>.2% Offset</t>
  </si>
  <si>
    <t>kPa yield</t>
  </si>
  <si>
    <r>
      <t>Area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</si>
  <si>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ksi yield</t>
  </si>
  <si>
    <t>Units are reported in lbs and ksi then converted to kPa.</t>
  </si>
  <si>
    <t>Tensil tests are done at LBNL on a 5-kip INSTRON.</t>
  </si>
  <si>
    <t>Bi-2212  7x61</t>
  </si>
  <si>
    <t>Insp. Dia. mm</t>
  </si>
  <si>
    <t>Mfg. Len m</t>
  </si>
  <si>
    <t>Mfg.   Dia mm</t>
  </si>
  <si>
    <t>Mfg.   Dia in.</t>
  </si>
  <si>
    <t>Sharp Bend Rmm as rcvd.</t>
  </si>
  <si>
    <t>Sharp Bend Rmm annealed.</t>
  </si>
  <si>
    <t>37392-1 annealed</t>
  </si>
  <si>
    <t>37392-2 annealed</t>
  </si>
  <si>
    <t>Tensil kPa Yield as rcvd.</t>
  </si>
  <si>
    <t>Tensil kPa Yield annealed.</t>
  </si>
  <si>
    <t>CABLE CALCULATOR</t>
  </si>
  <si>
    <t>USE:</t>
  </si>
  <si>
    <t xml:space="preserve"> Input paramiters in module [A]. You must press the reset button before going to [B].</t>
  </si>
  <si>
    <t>H.Higley  9/21/95</t>
  </si>
  <si>
    <t xml:space="preserve">  If you modify module [A] you must press reset before continuing to module [B]</t>
  </si>
  <si>
    <t>Module:  [A]</t>
  </si>
  <si>
    <t>UNCOMPACTED CABLE</t>
  </si>
  <si>
    <t>INPUT A</t>
  </si>
  <si>
    <t xml:space="preserve">Cable Width Min =  </t>
  </si>
  <si>
    <t>NbTi OK</t>
  </si>
  <si>
    <t>Minimum Mandrel</t>
  </si>
  <si>
    <t xml:space="preserve">No. of Strands =   </t>
  </si>
  <si>
    <t xml:space="preserve">Cable Width Max = </t>
  </si>
  <si>
    <t>Nb3Sn OK</t>
  </si>
  <si>
    <t>Width =</t>
  </si>
  <si>
    <t xml:space="preserve">Strand DIA. =   </t>
  </si>
  <si>
    <t xml:space="preserve">Cable MID Thk. = </t>
  </si>
  <si>
    <t xml:space="preserve">Pitch Angle =   </t>
  </si>
  <si>
    <t xml:space="preserve">Pitch length = </t>
  </si>
  <si>
    <t xml:space="preserve">PF @ Max Width = </t>
  </si>
  <si>
    <t xml:space="preserve">PF @ Min Width =  </t>
  </si>
  <si>
    <t>Module:  [B]</t>
  </si>
  <si>
    <t>COMPACTED CABLE</t>
  </si>
  <si>
    <t>INPUT B</t>
  </si>
  <si>
    <t xml:space="preserve">Cable Width Max. =   </t>
  </si>
  <si>
    <t>MIN.</t>
  </si>
  <si>
    <t>MID</t>
  </si>
  <si>
    <t>MAJ.</t>
  </si>
  <si>
    <t xml:space="preserve">Cable Mid Thk. =   </t>
  </si>
  <si>
    <t>Mid Packing Factor</t>
  </si>
  <si>
    <t xml:space="preserve">Keystone angle. =   </t>
  </si>
  <si>
    <t xml:space="preserve">Cable Thickness =   </t>
  </si>
  <si>
    <t xml:space="preserve">Pitch length =   </t>
  </si>
  <si>
    <t xml:space="preserve">Packing Factor =   </t>
  </si>
  <si>
    <t xml:space="preserve">Print </t>
  </si>
  <si>
    <t xml:space="preserve"> Area</t>
  </si>
  <si>
    <t xml:space="preserve">Title:   </t>
  </si>
  <si>
    <t>Iteration 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</si>
  <si>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</si>
  <si>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</si>
  <si>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</si>
  <si>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</si>
  <si>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</si>
  <si>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</si>
  <si>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</si>
  <si>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</si>
  <si>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</si>
  <si>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</si>
  <si>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UNCOMPACTED </t>
  </si>
  <si>
    <t xml:space="preserve">Cable Width =   </t>
  </si>
  <si>
    <t xml:space="preserve">Cable MID Thk. =   </t>
  </si>
  <si>
    <t xml:space="preserve">Density =   </t>
  </si>
  <si>
    <t>COMPACTED</t>
  </si>
  <si>
    <t xml:space="preserve">Cable Thickness </t>
  </si>
  <si>
    <t xml:space="preserve">MINOR EDGE =   </t>
  </si>
  <si>
    <t xml:space="preserve">MID =   </t>
  </si>
  <si>
    <t xml:space="preserve">MAJOR EDGE =   </t>
  </si>
  <si>
    <t>Packing Factor</t>
  </si>
  <si>
    <t>Record1 (a)</t>
  </si>
  <si>
    <t>Record3 (e)</t>
  </si>
  <si>
    <t>Record4 (g)</t>
  </si>
  <si>
    <t>Record6 (j)</t>
  </si>
  <si>
    <t>Record7 (k)</t>
  </si>
  <si>
    <t>Record8 (l)</t>
  </si>
  <si>
    <t>Record9 (m)</t>
  </si>
  <si>
    <t>Record10 (n)</t>
  </si>
  <si>
    <t>Record11 (o)</t>
  </si>
  <si>
    <t>Record12 (q)</t>
  </si>
  <si>
    <t>Record13 (t)</t>
  </si>
  <si>
    <r>
      <t>NEEW</t>
    </r>
    <r>
      <rPr>
        <sz val="10"/>
        <rFont val="MS Sans Serif"/>
        <family val="0"/>
      </rPr>
      <t>'s formula</t>
    </r>
  </si>
  <si>
    <t>SPOOL MAP</t>
  </si>
  <si>
    <t>INPUT   No. of  STRANDS  =</t>
  </si>
  <si>
    <t>INT LENGTHS  =</t>
  </si>
  <si>
    <t>LENGTH</t>
  </si>
  <si>
    <t>/SPOOL</t>
  </si>
  <si>
    <t>SPOOL #</t>
  </si>
  <si>
    <t>INT (E)</t>
  </si>
  <si>
    <t>LENGTH  SUM  =</t>
  </si>
  <si>
    <t>SUM  /  No. STRANDS  =</t>
  </si>
  <si>
    <t>sum of remainders =</t>
  </si>
  <si>
    <t>cabled remainder  =</t>
  </si>
  <si>
    <t>,-4% cabling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</si>
</sst>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6"/>
      <color indexed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0"/>
    </font>
    <font>
      <sz val="7"/>
      <name val="MS Sans Serif"/>
      <family val="0"/>
    </font>
    <font>
      <b/>
      <sz val="10"/>
      <name val="MS Sans Serif"/>
      <family val="0"/>
    </font>
    <font>
      <b/>
      <sz val="7"/>
      <name val="MS Sans Serif"/>
      <family val="0"/>
    </font>
    <font>
      <sz val="8"/>
      <name val="MS Sans Serif"/>
      <family val="2"/>
    </font>
    <font>
      <b/>
      <sz val="8"/>
      <name val="MS Sans Serif"/>
      <family val="0"/>
    </font>
    <font>
      <sz val="1"/>
      <name val="MS Sans Serif"/>
      <family val="0"/>
    </font>
    <font>
      <b/>
      <sz val="18"/>
      <name val="MS Sans Serif"/>
      <family val="0"/>
    </font>
    <font>
      <b/>
      <u val="single"/>
      <sz val="10"/>
      <name val="MS Sans Serif"/>
      <family val="0"/>
    </font>
    <font>
      <sz val="10"/>
      <name val="Helv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Font="1" applyAlignment="1">
      <alignment/>
    </xf>
    <xf numFmtId="165" fontId="3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65" fontId="0" fillId="0" borderId="6" xfId="0" applyNumberFormat="1" applyBorder="1" applyAlignment="1">
      <alignment/>
    </xf>
    <xf numFmtId="165" fontId="2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11" fillId="0" borderId="0" xfId="26" applyFont="1" applyProtection="1">
      <alignment/>
      <protection/>
    </xf>
    <xf numFmtId="0" fontId="12" fillId="0" borderId="0" xfId="26" applyFont="1" applyAlignment="1" applyProtection="1">
      <alignment horizontal="right"/>
      <protection/>
    </xf>
    <xf numFmtId="0" fontId="10" fillId="0" borderId="0" xfId="26" applyProtection="1">
      <alignment/>
      <protection/>
    </xf>
    <xf numFmtId="0" fontId="10" fillId="0" borderId="0" xfId="26">
      <alignment/>
      <protection/>
    </xf>
    <xf numFmtId="0" fontId="12" fillId="0" borderId="0" xfId="26" applyFont="1" applyProtection="1">
      <alignment/>
      <protection/>
    </xf>
    <xf numFmtId="0" fontId="12" fillId="0" borderId="0" xfId="26" applyFont="1" applyAlignment="1" applyProtection="1">
      <alignment horizontal="center"/>
      <protection/>
    </xf>
    <xf numFmtId="0" fontId="13" fillId="0" borderId="0" xfId="26" applyFont="1" applyAlignment="1" applyProtection="1">
      <alignment horizontal="center"/>
      <protection/>
    </xf>
    <xf numFmtId="0" fontId="14" fillId="0" borderId="0" xfId="26" applyFont="1" applyProtection="1">
      <alignment/>
      <protection/>
    </xf>
    <xf numFmtId="0" fontId="14" fillId="0" borderId="0" xfId="26" applyFont="1" applyAlignment="1" applyProtection="1">
      <alignment horizontal="right"/>
      <protection/>
    </xf>
    <xf numFmtId="0" fontId="14" fillId="0" borderId="0" xfId="26" applyFont="1" applyAlignment="1">
      <alignment horizontal="right"/>
      <protection/>
    </xf>
    <xf numFmtId="0" fontId="15" fillId="0" borderId="0" xfId="26" applyFont="1" applyProtection="1">
      <alignment/>
      <protection/>
    </xf>
    <xf numFmtId="0" fontId="10" fillId="0" borderId="0" xfId="26" applyProtection="1">
      <alignment/>
      <protection locked="0"/>
    </xf>
    <xf numFmtId="0" fontId="10" fillId="0" borderId="0" xfId="26" applyAlignment="1" applyProtection="1">
      <alignment horizontal="left"/>
      <protection/>
    </xf>
    <xf numFmtId="0" fontId="12" fillId="0" borderId="0" xfId="26" applyFont="1">
      <alignment/>
      <protection/>
    </xf>
    <xf numFmtId="0" fontId="16" fillId="0" borderId="0" xfId="26" applyFont="1">
      <alignment/>
      <protection/>
    </xf>
    <xf numFmtId="0" fontId="13" fillId="0" borderId="0" xfId="26" applyFont="1" applyProtection="1">
      <alignment/>
      <protection/>
    </xf>
    <xf numFmtId="0" fontId="10" fillId="0" borderId="0" xfId="26" applyAlignment="1" applyProtection="1">
      <alignment horizontal="center"/>
      <protection/>
    </xf>
    <xf numFmtId="0" fontId="12" fillId="0" borderId="2" xfId="26" applyFont="1" applyBorder="1" applyProtection="1">
      <alignment/>
      <protection/>
    </xf>
    <xf numFmtId="0" fontId="10" fillId="0" borderId="8" xfId="26" applyBorder="1" applyProtection="1">
      <alignment/>
      <protection/>
    </xf>
    <xf numFmtId="0" fontId="10" fillId="0" borderId="5" xfId="26" applyBorder="1" applyProtection="1">
      <alignment/>
      <protection/>
    </xf>
    <xf numFmtId="0" fontId="10" fillId="0" borderId="9" xfId="26" applyBorder="1" applyProtection="1">
      <alignment/>
      <protection/>
    </xf>
    <xf numFmtId="0" fontId="10" fillId="0" borderId="3" xfId="26" applyBorder="1" applyProtection="1">
      <alignment/>
      <protection/>
    </xf>
    <xf numFmtId="0" fontId="10" fillId="0" borderId="4" xfId="26" applyBorder="1" applyProtection="1">
      <alignment/>
      <protection/>
    </xf>
    <xf numFmtId="0" fontId="17" fillId="0" borderId="0" xfId="26" applyFont="1" applyProtection="1">
      <alignment/>
      <protection/>
    </xf>
    <xf numFmtId="0" fontId="10" fillId="0" borderId="0" xfId="26" applyAlignment="1">
      <alignment horizontal="right"/>
      <protection/>
    </xf>
    <xf numFmtId="0" fontId="10" fillId="0" borderId="0" xfId="26" applyAlignment="1">
      <alignment horizontal="center"/>
      <protection/>
    </xf>
    <xf numFmtId="0" fontId="15" fillId="0" borderId="0" xfId="26" applyFont="1" applyAlignment="1" applyProtection="1">
      <alignment horizontal="left"/>
      <protection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Alignment="1">
      <alignment horizontal="center"/>
      <protection/>
    </xf>
    <xf numFmtId="0" fontId="12" fillId="0" borderId="6" xfId="26" applyFont="1" applyBorder="1" applyAlignment="1">
      <alignment horizontal="right"/>
      <protection/>
    </xf>
    <xf numFmtId="0" fontId="10" fillId="0" borderId="6" xfId="26" applyBorder="1">
      <alignment/>
      <protection/>
    </xf>
    <xf numFmtId="0" fontId="18" fillId="0" borderId="0" xfId="26" applyFont="1" applyBorder="1" applyAlignment="1" applyProtection="1">
      <alignment horizontal="right"/>
      <protection/>
    </xf>
    <xf numFmtId="0" fontId="10" fillId="0" borderId="0" xfId="26" applyFont="1" applyBorder="1">
      <alignment/>
      <protection/>
    </xf>
    <xf numFmtId="0" fontId="12" fillId="0" borderId="0" xfId="26" applyFont="1" applyAlignment="1">
      <alignment horizontal="right"/>
      <protection/>
    </xf>
    <xf numFmtId="0" fontId="18" fillId="0" borderId="0" xfId="26" applyFont="1" applyBorder="1" applyAlignment="1">
      <alignment horizontal="right"/>
      <protection/>
    </xf>
    <xf numFmtId="166" fontId="12" fillId="0" borderId="0" xfId="26" applyNumberFormat="1" applyFont="1">
      <alignment/>
      <protection/>
    </xf>
    <xf numFmtId="166" fontId="10" fillId="0" borderId="0" xfId="26" applyNumberFormat="1">
      <alignment/>
      <protection/>
    </xf>
    <xf numFmtId="164" fontId="10" fillId="0" borderId="0" xfId="26" applyNumberFormat="1">
      <alignment/>
      <protection/>
    </xf>
    <xf numFmtId="166" fontId="12" fillId="0" borderId="0" xfId="26" applyNumberFormat="1" applyFont="1" applyAlignment="1">
      <alignment horizontal="center"/>
      <protection/>
    </xf>
    <xf numFmtId="164" fontId="12" fillId="0" borderId="0" xfId="26" applyNumberFormat="1" applyFont="1">
      <alignment/>
      <protection/>
    </xf>
    <xf numFmtId="0" fontId="20" fillId="0" borderId="0" xfId="27" applyFont="1">
      <alignment/>
      <protection/>
    </xf>
    <xf numFmtId="0" fontId="19" fillId="0" borderId="0" xfId="27">
      <alignment/>
      <protection/>
    </xf>
    <xf numFmtId="0" fontId="19" fillId="0" borderId="0" xfId="27" applyAlignment="1">
      <alignment horizontal="right"/>
      <protection/>
    </xf>
    <xf numFmtId="0" fontId="19" fillId="0" borderId="0" xfId="27" applyAlignment="1">
      <alignment horizontal="center"/>
      <protection/>
    </xf>
    <xf numFmtId="0" fontId="19" fillId="0" borderId="0" xfId="27" applyFont="1" applyAlignment="1">
      <alignment horizontal="center"/>
      <protection/>
    </xf>
    <xf numFmtId="0" fontId="19" fillId="0" borderId="0" xfId="27" applyFont="1" applyAlignment="1">
      <alignment horizontal="right"/>
      <protection/>
    </xf>
    <xf numFmtId="0" fontId="3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</cellXfs>
  <cellStyles count="15">
    <cellStyle name="Normal" xfId="0"/>
    <cellStyle name="Comma" xfId="15"/>
    <cellStyle name="Comma [0]" xfId="16"/>
    <cellStyle name="Comma [0]_CABLCALC" xfId="17"/>
    <cellStyle name="Comma_CABLCALC" xfId="18"/>
    <cellStyle name="Comma_LENTHMAP" xfId="19"/>
    <cellStyle name="Currency" xfId="20"/>
    <cellStyle name="Currency [0]" xfId="21"/>
    <cellStyle name="Currency [0]_CABLCALC" xfId="22"/>
    <cellStyle name="Currency_CABLCALC" xfId="23"/>
    <cellStyle name="Currency_LENTHMAP" xfId="24"/>
    <cellStyle name="Hyperlink" xfId="25"/>
    <cellStyle name="Normal_CABLCALC" xfId="26"/>
    <cellStyle name="Normal_LENTHMAP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152400</xdr:rowOff>
    </xdr:from>
    <xdr:to>
      <xdr:col>5</xdr:col>
      <xdr:colOff>85725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752600" y="314325"/>
          <a:ext cx="1924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200025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323850"/>
          <a:ext cx="54483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200025</xdr:colOff>
      <xdr:row>18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666875"/>
          <a:ext cx="54483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705225"/>
          <a:ext cx="1381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5162550"/>
          <a:ext cx="1381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28575</xdr:rowOff>
    </xdr:from>
    <xdr:to>
      <xdr:col>5</xdr:col>
      <xdr:colOff>47625</xdr:colOff>
      <xdr:row>10</xdr:row>
      <xdr:rowOff>190500</xdr:rowOff>
    </xdr:to>
    <xdr:sp>
      <xdr:nvSpPr>
        <xdr:cNvPr id="6" name="Rectangle 17"/>
        <xdr:cNvSpPr>
          <a:spLocks/>
        </xdr:cNvSpPr>
      </xdr:nvSpPr>
      <xdr:spPr>
        <a:xfrm>
          <a:off x="1762125" y="1685925"/>
          <a:ext cx="1876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1362075</xdr:colOff>
      <xdr:row>3</xdr:row>
      <xdr:rowOff>9525</xdr:rowOff>
    </xdr:from>
    <xdr:to>
      <xdr:col>2</xdr:col>
      <xdr:colOff>85725</xdr:colOff>
      <xdr:row>7</xdr:row>
      <xdr:rowOff>0</xdr:rowOff>
    </xdr:to>
    <xdr:sp>
      <xdr:nvSpPr>
        <xdr:cNvPr id="7" name="Rectangle 18"/>
        <xdr:cNvSpPr>
          <a:spLocks/>
        </xdr:cNvSpPr>
      </xdr:nvSpPr>
      <xdr:spPr>
        <a:xfrm>
          <a:off x="1362075" y="523875"/>
          <a:ext cx="65722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1362075</xdr:colOff>
      <xdr:row>11</xdr:row>
      <xdr:rowOff>9525</xdr:rowOff>
    </xdr:from>
    <xdr:to>
      <xdr:col>2</xdr:col>
      <xdr:colOff>85725</xdr:colOff>
      <xdr:row>16</xdr:row>
      <xdr:rowOff>0</xdr:rowOff>
    </xdr:to>
    <xdr:sp>
      <xdr:nvSpPr>
        <xdr:cNvPr id="8" name="Rectangle 19"/>
        <xdr:cNvSpPr>
          <a:spLocks/>
        </xdr:cNvSpPr>
      </xdr:nvSpPr>
      <xdr:spPr>
        <a:xfrm>
          <a:off x="1362075" y="1866900"/>
          <a:ext cx="6572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5800725" y="514350"/>
          <a:ext cx="1104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200025</xdr:rowOff>
    </xdr:from>
    <xdr:to>
      <xdr:col>10</xdr:col>
      <xdr:colOff>0</xdr:colOff>
      <xdr:row>19</xdr:row>
      <xdr:rowOff>0</xdr:rowOff>
    </xdr:to>
    <xdr:sp>
      <xdr:nvSpPr>
        <xdr:cNvPr id="10" name="Line 21"/>
        <xdr:cNvSpPr>
          <a:spLocks/>
        </xdr:cNvSpPr>
      </xdr:nvSpPr>
      <xdr:spPr>
        <a:xfrm>
          <a:off x="6353175" y="304800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152400</xdr:rowOff>
    </xdr:from>
    <xdr:to>
      <xdr:col>11</xdr:col>
      <xdr:colOff>0</xdr:colOff>
      <xdr:row>18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5800725" y="3000375"/>
          <a:ext cx="11049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1009650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9525</xdr:rowOff>
    </xdr:from>
    <xdr:to>
      <xdr:col>4</xdr:col>
      <xdr:colOff>9525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47925" y="2095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152400</xdr:rowOff>
    </xdr:from>
    <xdr:to>
      <xdr:col>4</xdr:col>
      <xdr:colOff>600075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47925" y="67627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</xdr:row>
      <xdr:rowOff>9525</xdr:rowOff>
    </xdr:from>
    <xdr:to>
      <xdr:col>4</xdr:col>
      <xdr:colOff>590550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3028950" y="2095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9525</xdr:rowOff>
    </xdr:from>
    <xdr:to>
      <xdr:col>4</xdr:col>
      <xdr:colOff>590550</xdr:colOff>
      <xdr:row>1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447925" y="2095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N4" sqref="N4"/>
    </sheetView>
  </sheetViews>
  <sheetFormatPr defaultColWidth="9.140625" defaultRowHeight="12.75"/>
  <cols>
    <col min="1" max="1" width="6.7109375" style="2" customWidth="1"/>
    <col min="3" max="3" width="7.140625" style="0" bestFit="1" customWidth="1"/>
    <col min="4" max="4" width="7.00390625" style="3" bestFit="1" customWidth="1"/>
    <col min="5" max="5" width="6.140625" style="3" customWidth="1"/>
    <col min="6" max="6" width="7.57421875" style="5" bestFit="1" customWidth="1"/>
    <col min="7" max="7" width="9.00390625" style="4" customWidth="1"/>
    <col min="8" max="8" width="12.140625" style="4" customWidth="1"/>
    <col min="9" max="9" width="7.28125" style="0" bestFit="1" customWidth="1"/>
    <col min="10" max="10" width="7.00390625" style="0" bestFit="1" customWidth="1"/>
    <col min="11" max="11" width="8.421875" style="0" bestFit="1" customWidth="1"/>
    <col min="12" max="12" width="8.7109375" style="7" customWidth="1"/>
    <col min="13" max="13" width="9.28125" style="7" customWidth="1"/>
    <col min="14" max="14" width="8.28125" style="62" customWidth="1"/>
    <col min="15" max="15" width="9.57421875" style="0" bestFit="1" customWidth="1"/>
    <col min="16" max="26" width="1.8515625" style="0" customWidth="1"/>
  </cols>
  <sheetData>
    <row r="1" spans="1:7" ht="12.75">
      <c r="A1" s="1" t="s">
        <v>14</v>
      </c>
      <c r="F1" s="6" t="s">
        <v>10</v>
      </c>
      <c r="G1" s="19"/>
    </row>
    <row r="2" spans="1:26" s="13" customFormat="1" ht="12.75">
      <c r="A2" s="112" t="s">
        <v>4</v>
      </c>
      <c r="B2" s="113"/>
      <c r="C2" s="113"/>
      <c r="D2" s="113"/>
      <c r="E2" s="114"/>
      <c r="F2" s="11"/>
      <c r="G2" s="10" t="s">
        <v>5</v>
      </c>
      <c r="H2" s="10"/>
      <c r="I2" s="12"/>
      <c r="J2" s="12"/>
      <c r="K2" s="20"/>
      <c r="L2" s="34"/>
      <c r="M2" s="12"/>
      <c r="N2" s="6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18" customFormat="1" ht="35.25" customHeight="1">
      <c r="A3" s="15" t="s">
        <v>0</v>
      </c>
      <c r="B3" s="15" t="s">
        <v>9</v>
      </c>
      <c r="C3" s="15" t="s">
        <v>3</v>
      </c>
      <c r="D3" s="15" t="s">
        <v>50</v>
      </c>
      <c r="E3" s="14" t="s">
        <v>48</v>
      </c>
      <c r="F3" s="16" t="s">
        <v>49</v>
      </c>
      <c r="G3" s="17" t="s">
        <v>8</v>
      </c>
      <c r="H3" s="17" t="s">
        <v>7</v>
      </c>
      <c r="I3" s="17" t="s">
        <v>47</v>
      </c>
      <c r="J3" s="17" t="s">
        <v>12</v>
      </c>
      <c r="K3" s="17" t="s">
        <v>11</v>
      </c>
      <c r="L3" s="60" t="s">
        <v>55</v>
      </c>
      <c r="M3" s="22" t="s">
        <v>51</v>
      </c>
      <c r="N3" s="64" t="s">
        <v>56</v>
      </c>
      <c r="O3" s="22" t="s">
        <v>52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13" ht="12.75">
      <c r="A4" s="2" t="s">
        <v>13</v>
      </c>
      <c r="B4" t="s">
        <v>15</v>
      </c>
      <c r="C4" s="61">
        <v>36473</v>
      </c>
      <c r="D4" s="3">
        <v>0.0318</v>
      </c>
      <c r="E4" s="3">
        <v>60</v>
      </c>
      <c r="F4" s="5">
        <f>D4*25.4</f>
        <v>0.80772</v>
      </c>
      <c r="H4" s="4" t="s">
        <v>46</v>
      </c>
      <c r="L4" s="29">
        <v>218.45040521736283</v>
      </c>
      <c r="M4" s="7">
        <v>0.9</v>
      </c>
    </row>
    <row r="5" spans="1:15" ht="12.75">
      <c r="A5" t="s">
        <v>1</v>
      </c>
      <c r="B5" t="s">
        <v>2</v>
      </c>
      <c r="C5" s="61">
        <v>36754</v>
      </c>
      <c r="D5" s="3">
        <v>0.0318</v>
      </c>
      <c r="E5" s="3">
        <v>180</v>
      </c>
      <c r="F5" s="5">
        <f>D5*25.4</f>
        <v>0.80772</v>
      </c>
      <c r="G5" s="8">
        <v>36795</v>
      </c>
      <c r="H5" s="4" t="s">
        <v>46</v>
      </c>
      <c r="J5">
        <f>1.05-0.43</f>
        <v>0.6200000000000001</v>
      </c>
      <c r="K5" s="7">
        <f>E5/J5</f>
        <v>290.3225806451612</v>
      </c>
      <c r="L5" s="29">
        <v>227.4198920541022</v>
      </c>
      <c r="M5" s="7">
        <v>2.1</v>
      </c>
      <c r="N5" s="62">
        <v>69.44118841346634</v>
      </c>
      <c r="O5">
        <v>1.1</v>
      </c>
    </row>
    <row r="6" spans="1:15" ht="12.75">
      <c r="A6" t="s">
        <v>1</v>
      </c>
      <c r="B6" t="s">
        <v>6</v>
      </c>
      <c r="C6" s="61">
        <v>36754</v>
      </c>
      <c r="D6" s="3">
        <v>0.0318</v>
      </c>
      <c r="E6" s="3">
        <v>290</v>
      </c>
      <c r="F6" s="5">
        <f>D6*25.4</f>
        <v>0.80772</v>
      </c>
      <c r="G6" s="8">
        <v>36795</v>
      </c>
      <c r="H6" s="4" t="s">
        <v>46</v>
      </c>
      <c r="J6">
        <f>1.55-0.43</f>
        <v>1.12</v>
      </c>
      <c r="K6" s="7">
        <f>E6/J6</f>
        <v>258.9285714285714</v>
      </c>
      <c r="L6" s="7">
        <v>217.0037137920823</v>
      </c>
      <c r="M6" s="7">
        <v>1.8</v>
      </c>
      <c r="N6" s="62">
        <v>62.49706957211969</v>
      </c>
      <c r="O6">
        <v>0.8</v>
      </c>
    </row>
    <row r="7" ht="12.75"/>
    <row r="8" ht="12.75">
      <c r="Q8" s="21"/>
    </row>
    <row r="9" ht="12.75"/>
    <row r="10" ht="12.75"/>
    <row r="11" ht="12.75">
      <c r="K11" s="9"/>
    </row>
    <row r="12" ht="12.75"/>
    <row r="13" ht="12.75">
      <c r="N13" s="65"/>
    </row>
    <row r="14" ht="12.75"/>
  </sheetData>
  <mergeCells count="1">
    <mergeCell ref="A2:E2"/>
  </mergeCells>
  <printOptions gridLines="1"/>
  <pageMargins left="0.3" right="0.46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ySplit="8" topLeftCell="BM9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2" max="2" width="16.28125" style="0" customWidth="1"/>
    <col min="3" max="3" width="7.00390625" style="0" bestFit="1" customWidth="1"/>
    <col min="4" max="4" width="9.7109375" style="0" customWidth="1"/>
    <col min="5" max="5" width="9.7109375" style="35" bestFit="1" customWidth="1"/>
    <col min="7" max="7" width="9.7109375" style="38" bestFit="1" customWidth="1"/>
    <col min="8" max="8" width="10.8515625" style="0" bestFit="1" customWidth="1"/>
  </cols>
  <sheetData>
    <row r="1" spans="1:7" ht="24.75" customHeight="1">
      <c r="A1" s="23" t="s">
        <v>16</v>
      </c>
      <c r="C1" s="23"/>
      <c r="D1" s="23"/>
      <c r="E1" s="25" t="s">
        <v>21</v>
      </c>
      <c r="F1" s="43"/>
      <c r="G1" s="44"/>
    </row>
    <row r="2" spans="2:7" ht="14.25" customHeight="1" thickBot="1">
      <c r="B2" s="23"/>
      <c r="C2" s="23"/>
      <c r="D2" s="23"/>
      <c r="E2" s="27" t="s">
        <v>24</v>
      </c>
      <c r="F2" s="49" t="s">
        <v>19</v>
      </c>
      <c r="G2" s="28" t="s">
        <v>41</v>
      </c>
    </row>
    <row r="3" spans="1:7" ht="14.25" customHeight="1">
      <c r="A3" s="115" t="s">
        <v>45</v>
      </c>
      <c r="B3" s="115"/>
      <c r="C3" s="115"/>
      <c r="D3" s="116"/>
      <c r="E3" s="48" t="s">
        <v>26</v>
      </c>
      <c r="F3" s="42">
        <v>10</v>
      </c>
      <c r="G3" s="45">
        <f>F3*6.894</f>
        <v>68.94</v>
      </c>
    </row>
    <row r="4" spans="1:7" ht="14.25" customHeight="1">
      <c r="A4" s="115" t="s">
        <v>44</v>
      </c>
      <c r="B4" s="115"/>
      <c r="C4" s="115"/>
      <c r="D4" s="116"/>
      <c r="E4" s="30" t="s">
        <v>28</v>
      </c>
      <c r="F4" s="4">
        <v>36</v>
      </c>
      <c r="G4" s="45">
        <f>F4*6.894</f>
        <v>248.184</v>
      </c>
    </row>
    <row r="5" spans="2:7" ht="15.75" customHeight="1">
      <c r="B5" s="23"/>
      <c r="C5" s="23"/>
      <c r="D5" s="23"/>
      <c r="E5" s="30" t="s">
        <v>30</v>
      </c>
      <c r="F5" s="4">
        <v>50</v>
      </c>
      <c r="G5" s="45">
        <f>F5*6.894</f>
        <v>344.7</v>
      </c>
    </row>
    <row r="6" spans="1:8" ht="13.5" thickBot="1">
      <c r="A6" s="46"/>
      <c r="B6" s="46"/>
      <c r="C6" s="46"/>
      <c r="D6" s="46"/>
      <c r="E6" s="32" t="s">
        <v>32</v>
      </c>
      <c r="F6" s="46">
        <v>53</v>
      </c>
      <c r="G6" s="47">
        <f>F6*6.894</f>
        <v>365.382</v>
      </c>
      <c r="H6" s="46"/>
    </row>
    <row r="7" spans="3:8" s="24" customFormat="1" ht="12.75">
      <c r="C7" s="21"/>
      <c r="D7" s="21"/>
      <c r="E7" s="41" t="s">
        <v>18</v>
      </c>
      <c r="F7" s="21" t="s">
        <v>43</v>
      </c>
      <c r="G7" s="38" t="s">
        <v>41</v>
      </c>
      <c r="H7" s="21" t="s">
        <v>20</v>
      </c>
    </row>
    <row r="8" spans="1:8" s="26" customFormat="1" ht="14.25" customHeight="1" thickBot="1">
      <c r="A8" s="49" t="s">
        <v>17</v>
      </c>
      <c r="B8" s="49"/>
      <c r="C8" s="50" t="s">
        <v>37</v>
      </c>
      <c r="D8" s="50" t="s">
        <v>42</v>
      </c>
      <c r="E8" s="51" t="s">
        <v>22</v>
      </c>
      <c r="F8" s="50" t="s">
        <v>22</v>
      </c>
      <c r="G8" s="52" t="s">
        <v>40</v>
      </c>
      <c r="H8" s="53" t="s">
        <v>23</v>
      </c>
    </row>
    <row r="9" spans="1:8" s="4" customFormat="1" ht="12.75">
      <c r="A9" s="4" t="s">
        <v>25</v>
      </c>
      <c r="C9" s="4">
        <v>0.0315</v>
      </c>
      <c r="D9">
        <f>PI()*(C9/2)^2</f>
        <v>0.0007793113276311181</v>
      </c>
      <c r="E9" s="36">
        <v>20.5</v>
      </c>
      <c r="F9" s="29">
        <f>(E9/D9)/1000</f>
        <v>26.305276560414043</v>
      </c>
      <c r="G9" s="39">
        <f>F9*6.894</f>
        <v>181.3485766074944</v>
      </c>
      <c r="H9">
        <v>120</v>
      </c>
    </row>
    <row r="10" spans="1:7" s="4" customFormat="1" ht="12.75">
      <c r="A10" s="4" t="s">
        <v>27</v>
      </c>
      <c r="C10" s="4">
        <v>0.0315</v>
      </c>
      <c r="D10">
        <f aca="true" t="shared" si="0" ref="D10:D23">PI()*(C10/2)^2</f>
        <v>0.0007793113276311181</v>
      </c>
      <c r="E10" s="36">
        <v>19</v>
      </c>
      <c r="F10" s="29">
        <f aca="true" t="shared" si="1" ref="F10:F17">(E10/D10)/1000</f>
        <v>24.380500226725214</v>
      </c>
      <c r="G10" s="39">
        <f aca="true" t="shared" si="2" ref="G10:G23">F10*6.894</f>
        <v>168.07916856304362</v>
      </c>
    </row>
    <row r="11" spans="1:7" s="4" customFormat="1" ht="12.75">
      <c r="A11" s="4" t="s">
        <v>29</v>
      </c>
      <c r="C11" s="4">
        <v>0.0315</v>
      </c>
      <c r="D11">
        <f t="shared" si="0"/>
        <v>0.0007793113276311181</v>
      </c>
      <c r="E11" s="36">
        <v>20</v>
      </c>
      <c r="F11" s="29">
        <f t="shared" si="1"/>
        <v>25.663684449184434</v>
      </c>
      <c r="G11" s="39">
        <f t="shared" si="2"/>
        <v>176.9254405926775</v>
      </c>
    </row>
    <row r="12" spans="1:8" s="4" customFormat="1" ht="12.75">
      <c r="A12" s="31" t="s">
        <v>31</v>
      </c>
      <c r="B12" s="31"/>
      <c r="C12" s="31">
        <v>0.0315</v>
      </c>
      <c r="D12" s="31">
        <f t="shared" si="0"/>
        <v>0.0007793113276311181</v>
      </c>
      <c r="E12" s="37">
        <v>19.2</v>
      </c>
      <c r="F12" s="33">
        <f t="shared" si="1"/>
        <v>24.637137071217055</v>
      </c>
      <c r="G12" s="40">
        <f t="shared" si="2"/>
        <v>169.84842296897037</v>
      </c>
      <c r="H12" s="31"/>
    </row>
    <row r="13" spans="1:11" s="4" customFormat="1" ht="12.75">
      <c r="A13" s="4" t="s">
        <v>33</v>
      </c>
      <c r="C13" s="4">
        <f>0.635/25.4</f>
        <v>0.025</v>
      </c>
      <c r="D13">
        <f t="shared" si="0"/>
        <v>0.0004908738521234052</v>
      </c>
      <c r="E13" s="36">
        <v>10.95</v>
      </c>
      <c r="F13" s="29">
        <f t="shared" si="1"/>
        <v>22.307156823760046</v>
      </c>
      <c r="G13" s="39">
        <f t="shared" si="2"/>
        <v>153.78553914300176</v>
      </c>
      <c r="K13" s="39"/>
    </row>
    <row r="14" spans="1:8" s="4" customFormat="1" ht="12.75">
      <c r="A14" s="4" t="s">
        <v>34</v>
      </c>
      <c r="C14" s="4">
        <v>0.0315</v>
      </c>
      <c r="D14">
        <f t="shared" si="0"/>
        <v>0.0007793113276311181</v>
      </c>
      <c r="E14" s="36">
        <v>43</v>
      </c>
      <c r="F14" s="29">
        <f t="shared" si="1"/>
        <v>55.17692156574653</v>
      </c>
      <c r="G14" s="39">
        <f t="shared" si="2"/>
        <v>380.3896972742566</v>
      </c>
      <c r="H14">
        <v>225</v>
      </c>
    </row>
    <row r="15" spans="1:8" s="4" customFormat="1" ht="12.75">
      <c r="A15" s="31" t="s">
        <v>35</v>
      </c>
      <c r="B15" s="31"/>
      <c r="C15" s="31">
        <v>0.0315</v>
      </c>
      <c r="D15" s="31">
        <f t="shared" si="0"/>
        <v>0.0007793113276311181</v>
      </c>
      <c r="E15" s="37">
        <v>43</v>
      </c>
      <c r="F15" s="33">
        <f t="shared" si="1"/>
        <v>55.17692156574653</v>
      </c>
      <c r="G15" s="40">
        <f t="shared" si="2"/>
        <v>380.3896972742566</v>
      </c>
      <c r="H15" s="31"/>
    </row>
    <row r="16" spans="1:7" s="4" customFormat="1" ht="12.75">
      <c r="A16" s="4" t="s">
        <v>36</v>
      </c>
      <c r="C16" s="4">
        <v>0.0315</v>
      </c>
      <c r="D16">
        <f t="shared" si="0"/>
        <v>0.0007793113276311181</v>
      </c>
      <c r="E16" s="36">
        <v>54</v>
      </c>
      <c r="F16" s="29">
        <f t="shared" si="1"/>
        <v>69.29194801279797</v>
      </c>
      <c r="G16" s="39">
        <f t="shared" si="2"/>
        <v>477.6986896002292</v>
      </c>
    </row>
    <row r="17" spans="1:8" s="4" customFormat="1" ht="13.5" thickBot="1">
      <c r="A17" s="46" t="s">
        <v>36</v>
      </c>
      <c r="B17" s="46"/>
      <c r="C17" s="46">
        <v>0.0315</v>
      </c>
      <c r="D17" s="46">
        <f t="shared" si="0"/>
        <v>0.0007793113276311181</v>
      </c>
      <c r="E17" s="54">
        <v>53.5</v>
      </c>
      <c r="F17" s="55">
        <f t="shared" si="1"/>
        <v>68.65035590156836</v>
      </c>
      <c r="G17" s="52">
        <f t="shared" si="2"/>
        <v>473.2755535854123</v>
      </c>
      <c r="H17" s="46"/>
    </row>
    <row r="18" spans="1:8" s="4" customFormat="1" ht="13.5" thickBot="1">
      <c r="A18" s="56" t="s">
        <v>38</v>
      </c>
      <c r="B18" s="56" t="s">
        <v>39</v>
      </c>
      <c r="C18" s="56"/>
      <c r="D18" s="56"/>
      <c r="E18" s="57"/>
      <c r="F18" s="58"/>
      <c r="G18" s="59"/>
      <c r="H18" s="56"/>
    </row>
    <row r="19" spans="1:7" s="4" customFormat="1" ht="12.75">
      <c r="A19" s="2" t="s">
        <v>13</v>
      </c>
      <c r="B19" t="s">
        <v>15</v>
      </c>
      <c r="C19" s="4">
        <v>0.0318</v>
      </c>
      <c r="D19">
        <f t="shared" si="0"/>
        <v>0.0007942260387540357</v>
      </c>
      <c r="E19" s="36">
        <f>AVERAGE(26.7,24.1,24.7)</f>
        <v>25.166666666666668</v>
      </c>
      <c r="F19" s="29">
        <f>(E19/D19)/1000</f>
        <v>31.687032958712333</v>
      </c>
      <c r="G19" s="39">
        <f t="shared" si="2"/>
        <v>218.45040521736283</v>
      </c>
    </row>
    <row r="20" spans="1:7" ht="12.75">
      <c r="A20" t="s">
        <v>1</v>
      </c>
      <c r="B20" t="s">
        <v>2</v>
      </c>
      <c r="C20" s="4">
        <v>0.0312</v>
      </c>
      <c r="D20">
        <f t="shared" si="0"/>
        <v>0.0007645379881776119</v>
      </c>
      <c r="E20" s="36">
        <v>26.2</v>
      </c>
      <c r="F20" s="29">
        <f>(E20/D20)/1000</f>
        <v>34.2690623685705</v>
      </c>
      <c r="G20" s="39">
        <f t="shared" si="2"/>
        <v>236.25091596892506</v>
      </c>
    </row>
    <row r="21" spans="1:8" ht="12.75">
      <c r="A21" t="s">
        <v>1</v>
      </c>
      <c r="B21" t="s">
        <v>53</v>
      </c>
      <c r="C21" s="4">
        <v>0.0312</v>
      </c>
      <c r="D21">
        <f>PI()*(C21/2)^2</f>
        <v>0.0007645379881776119</v>
      </c>
      <c r="E21" s="35">
        <v>8</v>
      </c>
      <c r="F21" s="29">
        <f>(E21/D21)/1000</f>
        <v>10.46383583773145</v>
      </c>
      <c r="G21" s="39">
        <f>F21*6.894</f>
        <v>72.13768426532062</v>
      </c>
      <c r="H21">
        <v>0</v>
      </c>
    </row>
    <row r="22" spans="1:7" ht="12.75">
      <c r="A22" t="s">
        <v>1</v>
      </c>
      <c r="B22" t="s">
        <v>6</v>
      </c>
      <c r="C22" s="4">
        <v>0.0312</v>
      </c>
      <c r="D22">
        <f t="shared" si="0"/>
        <v>0.0007645379881776119</v>
      </c>
      <c r="E22" s="35">
        <v>25</v>
      </c>
      <c r="F22" s="29">
        <f>(E22/D22)/1000</f>
        <v>32.699486992910785</v>
      </c>
      <c r="G22" s="39">
        <f t="shared" si="2"/>
        <v>225.43026332912694</v>
      </c>
    </row>
    <row r="23" spans="1:8" ht="12.75">
      <c r="A23" t="s">
        <v>1</v>
      </c>
      <c r="B23" t="s">
        <v>54</v>
      </c>
      <c r="C23" s="4">
        <v>0.0312</v>
      </c>
      <c r="D23">
        <f t="shared" si="0"/>
        <v>0.0007645379881776119</v>
      </c>
      <c r="E23" s="35">
        <v>7.2</v>
      </c>
      <c r="F23" s="29">
        <f>(E23/D23)/1000</f>
        <v>9.417452253958306</v>
      </c>
      <c r="G23" s="39">
        <f t="shared" si="2"/>
        <v>64.92391583878856</v>
      </c>
      <c r="H23">
        <v>0</v>
      </c>
    </row>
  </sheetData>
  <mergeCells count="2">
    <mergeCell ref="A3:D3"/>
    <mergeCell ref="A4:D4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A1">
      <selection activeCell="O5" sqref="O5"/>
    </sheetView>
  </sheetViews>
  <sheetFormatPr defaultColWidth="9.140625" defaultRowHeight="12.75"/>
  <cols>
    <col min="1" max="1" width="20.7109375" style="69" customWidth="1"/>
    <col min="2" max="11" width="8.28125" style="69" customWidth="1"/>
    <col min="12" max="16384" width="9.140625" style="69" customWidth="1"/>
  </cols>
  <sheetData>
    <row r="1" spans="1:12" ht="12.75">
      <c r="A1" s="66" t="s">
        <v>57</v>
      </c>
      <c r="B1" s="67" t="s">
        <v>58</v>
      </c>
      <c r="C1" s="68" t="s">
        <v>59</v>
      </c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66" t="s">
        <v>60</v>
      </c>
      <c r="B2" s="68"/>
      <c r="C2" s="68" t="s">
        <v>61</v>
      </c>
      <c r="D2" s="68"/>
      <c r="E2" s="68"/>
      <c r="F2" s="68"/>
      <c r="G2" s="68"/>
      <c r="H2" s="68"/>
      <c r="I2" s="68"/>
      <c r="J2" s="68"/>
      <c r="K2" s="68"/>
      <c r="L2" s="68"/>
    </row>
    <row r="3" spans="1:12" ht="15" customHeight="1">
      <c r="A3" s="70" t="s">
        <v>62</v>
      </c>
      <c r="B3" s="68"/>
      <c r="C3" s="68"/>
      <c r="D3" s="71" t="s">
        <v>63</v>
      </c>
      <c r="F3" s="70"/>
      <c r="G3" s="68"/>
      <c r="H3" s="68"/>
      <c r="I3" s="68"/>
      <c r="J3" s="68"/>
      <c r="K3" s="68"/>
      <c r="L3" s="68"/>
    </row>
    <row r="4" spans="1:12" ht="12.75">
      <c r="A4" s="68"/>
      <c r="B4" s="72" t="s">
        <v>64</v>
      </c>
      <c r="C4" s="68"/>
      <c r="D4" s="73"/>
      <c r="E4" s="74" t="s">
        <v>65</v>
      </c>
      <c r="F4" s="73">
        <f>(B5/2)*(B6/COS(B7*(PI()/180)))</f>
        <v>7.591885633169347</v>
      </c>
      <c r="G4" s="75" t="s">
        <v>66</v>
      </c>
      <c r="H4" s="68"/>
      <c r="I4" s="68"/>
      <c r="J4" s="76" t="s">
        <v>67</v>
      </c>
      <c r="K4" s="68"/>
      <c r="L4" s="68"/>
    </row>
    <row r="5" spans="1:11" ht="12.75">
      <c r="A5" s="67" t="s">
        <v>68</v>
      </c>
      <c r="B5" s="77">
        <v>18</v>
      </c>
      <c r="C5" s="68"/>
      <c r="D5" s="68"/>
      <c r="E5" s="67" t="s">
        <v>69</v>
      </c>
      <c r="F5" s="70">
        <f>F4+(0.722*B6)</f>
        <v>8.178871633169347</v>
      </c>
      <c r="G5" s="74" t="s">
        <v>70</v>
      </c>
      <c r="H5" s="68"/>
      <c r="I5" s="68"/>
      <c r="J5" s="76" t="s">
        <v>71</v>
      </c>
      <c r="K5" s="78">
        <f>F4-B6</f>
        <v>6.778885633169347</v>
      </c>
    </row>
    <row r="6" spans="1:11" ht="12.75">
      <c r="A6" s="67" t="s">
        <v>72</v>
      </c>
      <c r="B6" s="77">
        <v>0.813</v>
      </c>
      <c r="C6" s="68"/>
      <c r="D6" s="68"/>
      <c r="E6" s="67" t="s">
        <v>73</v>
      </c>
      <c r="F6" s="68">
        <f>2*B6</f>
        <v>1.626</v>
      </c>
      <c r="G6" s="68"/>
      <c r="H6" s="68"/>
      <c r="I6" s="68"/>
      <c r="J6" s="68"/>
      <c r="K6" s="68"/>
    </row>
    <row r="7" spans="1:9" ht="12.75">
      <c r="A7" s="67" t="s">
        <v>74</v>
      </c>
      <c r="B7" s="77">
        <v>15.465288068791294</v>
      </c>
      <c r="C7" s="68"/>
      <c r="D7" s="68"/>
      <c r="E7" s="79"/>
      <c r="F7" s="80">
        <v>0</v>
      </c>
      <c r="I7" s="68"/>
    </row>
    <row r="8" spans="1:9" ht="12.75">
      <c r="A8" s="68"/>
      <c r="B8" s="68"/>
      <c r="C8" s="68"/>
      <c r="D8" s="68"/>
      <c r="E8" s="67" t="s">
        <v>75</v>
      </c>
      <c r="F8" s="68">
        <f>B5*(B6/SIN(B7*(PI()/180)))</f>
        <v>54.87999903976127</v>
      </c>
      <c r="G8" s="68"/>
      <c r="H8" s="68"/>
      <c r="I8" s="68"/>
    </row>
    <row r="9" spans="1:12" ht="14.25" customHeight="1">
      <c r="A9" s="68"/>
      <c r="B9" s="68"/>
      <c r="C9" s="68"/>
      <c r="D9" s="68"/>
      <c r="E9" s="67" t="s">
        <v>76</v>
      </c>
      <c r="F9" s="71">
        <f>(((PI()*(B6/2)^2)/COS(B7*PI()/180))*B5)/(F5*2*B6)</f>
        <v>0.7290312527749168</v>
      </c>
      <c r="H9" s="70"/>
      <c r="I9" s="68"/>
      <c r="L9" s="68"/>
    </row>
    <row r="10" spans="1:12" ht="12" customHeight="1">
      <c r="A10" s="68"/>
      <c r="B10" s="68"/>
      <c r="C10" s="68"/>
      <c r="D10" s="73"/>
      <c r="E10" s="75" t="s">
        <v>77</v>
      </c>
      <c r="F10" s="73">
        <f>PI()/4</f>
        <v>0.7853981633974483</v>
      </c>
      <c r="G10" s="68"/>
      <c r="H10" s="68"/>
      <c r="I10" s="68"/>
      <c r="J10" s="68"/>
      <c r="K10" s="68"/>
      <c r="L10" s="68"/>
    </row>
    <row r="11" spans="1:12" ht="15.75" customHeight="1">
      <c r="A11" s="70" t="s">
        <v>78</v>
      </c>
      <c r="B11" s="68"/>
      <c r="C11" s="68"/>
      <c r="D11" s="71" t="s">
        <v>79</v>
      </c>
      <c r="F11" s="68"/>
      <c r="G11" s="68"/>
      <c r="H11" s="68"/>
      <c r="I11" s="68"/>
      <c r="J11" s="68"/>
      <c r="K11" s="68"/>
      <c r="L11" s="68"/>
    </row>
    <row r="12" spans="1:12" ht="13.5" thickBot="1">
      <c r="A12" s="68"/>
      <c r="B12" s="81" t="s">
        <v>80</v>
      </c>
      <c r="C12" s="68"/>
      <c r="I12" s="68"/>
      <c r="L12" s="68"/>
    </row>
    <row r="13" spans="1:12" ht="12.75">
      <c r="A13" s="67" t="s">
        <v>81</v>
      </c>
      <c r="B13" s="77">
        <v>8.178871633169347</v>
      </c>
      <c r="C13" s="68"/>
      <c r="D13" s="68"/>
      <c r="E13" s="68"/>
      <c r="F13" s="82" t="s">
        <v>82</v>
      </c>
      <c r="G13" s="82" t="s">
        <v>83</v>
      </c>
      <c r="H13" s="82" t="s">
        <v>84</v>
      </c>
      <c r="I13" s="68"/>
      <c r="J13" s="83" t="s">
        <v>126</v>
      </c>
      <c r="K13" s="84"/>
      <c r="L13" s="68"/>
    </row>
    <row r="14" spans="1:12" ht="12.75">
      <c r="A14" s="67" t="s">
        <v>85</v>
      </c>
      <c r="B14" s="77">
        <v>1.4012204784565925</v>
      </c>
      <c r="C14" s="68"/>
      <c r="D14" s="68"/>
      <c r="E14" s="68"/>
      <c r="F14" s="68"/>
      <c r="G14" s="68"/>
      <c r="H14" s="68"/>
      <c r="I14" s="68"/>
      <c r="J14" s="85" t="s">
        <v>86</v>
      </c>
      <c r="K14" s="86"/>
      <c r="L14" s="68"/>
    </row>
    <row r="15" spans="1:12" ht="13.5" thickBot="1">
      <c r="A15" s="67" t="s">
        <v>87</v>
      </c>
      <c r="B15" s="77">
        <v>0</v>
      </c>
      <c r="C15" s="68"/>
      <c r="D15" s="68"/>
      <c r="E15" s="67" t="s">
        <v>88</v>
      </c>
      <c r="F15" s="68">
        <f>G15-(2*((B13/2)*TAN((B15/2)*(PI()/180))))</f>
        <v>1.4012204784565925</v>
      </c>
      <c r="G15" s="68">
        <f>B14</f>
        <v>1.4012204784565925</v>
      </c>
      <c r="H15" s="68">
        <f>G15+(2*((B13/2)*TAN((B15/2)*(PI()/180))))</f>
        <v>1.4012204784565925</v>
      </c>
      <c r="I15" s="68"/>
      <c r="J15" s="87">
        <f>(B5*PI()*(B6)^2)/(2*B13*(F15+H15)*COS(B7*(PI()/180)))</f>
        <v>0.8459802259796452</v>
      </c>
      <c r="K15" s="88"/>
      <c r="L15" s="68"/>
    </row>
    <row r="16" spans="1:12" ht="12.75">
      <c r="A16" s="67" t="s">
        <v>89</v>
      </c>
      <c r="B16" s="77">
        <v>54.87999903976127</v>
      </c>
      <c r="C16" s="68"/>
      <c r="D16" s="68"/>
      <c r="E16" s="67" t="s">
        <v>90</v>
      </c>
      <c r="F16" s="68">
        <f>G16*(G15/F15)</f>
        <v>0.8498493050155309</v>
      </c>
      <c r="G16" s="68">
        <f>((PI()*((B6/COS(F18*(PI()/180)))/2)*(B6/2))*B5)/(B13*B14)</f>
        <v>0.8498493050155309</v>
      </c>
      <c r="H16" s="68">
        <f>G16*(G15/H15)</f>
        <v>0.8498493050155309</v>
      </c>
      <c r="I16" s="68"/>
      <c r="L16" s="68"/>
    </row>
    <row r="17" spans="1:12" ht="12.75">
      <c r="A17" s="68"/>
      <c r="B17" s="68"/>
      <c r="C17" s="68"/>
      <c r="D17" s="68"/>
      <c r="E17" s="67"/>
      <c r="F17" s="68"/>
      <c r="G17" s="68"/>
      <c r="H17" s="68"/>
      <c r="I17" s="68"/>
      <c r="J17" s="68"/>
      <c r="K17" s="68"/>
      <c r="L17" s="68"/>
    </row>
    <row r="18" spans="1:12" ht="27" customHeight="1">
      <c r="A18" s="68"/>
      <c r="B18" s="68"/>
      <c r="C18" s="68"/>
      <c r="D18" s="68"/>
      <c r="E18" s="67" t="s">
        <v>74</v>
      </c>
      <c r="F18" s="68">
        <f>ATAN(((B13-B6)+(B14/2))/(B16/2))*180/PI()</f>
        <v>16.38164870412564</v>
      </c>
      <c r="G18" s="68"/>
      <c r="H18" s="68"/>
      <c r="I18" s="68"/>
      <c r="J18" s="67" t="s">
        <v>91</v>
      </c>
      <c r="K18" s="70" t="s">
        <v>92</v>
      </c>
      <c r="L18" s="68"/>
    </row>
    <row r="19" spans="1:12" ht="5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21" customHeight="1">
      <c r="A20" s="89" t="s">
        <v>93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4.25" customHeight="1">
      <c r="A21" s="90" t="s">
        <v>94</v>
      </c>
      <c r="B21" s="91" t="s">
        <v>95</v>
      </c>
      <c r="C21" s="91" t="s">
        <v>96</v>
      </c>
      <c r="D21" s="91" t="s">
        <v>97</v>
      </c>
      <c r="E21" s="91" t="s">
        <v>98</v>
      </c>
      <c r="F21" s="91" t="s">
        <v>99</v>
      </c>
      <c r="G21" s="91" t="s">
        <v>100</v>
      </c>
      <c r="H21" s="91" t="s">
        <v>101</v>
      </c>
      <c r="I21" s="91" t="s">
        <v>102</v>
      </c>
      <c r="J21" s="91" t="s">
        <v>103</v>
      </c>
      <c r="K21" s="91" t="s">
        <v>104</v>
      </c>
      <c r="L21" s="91"/>
    </row>
    <row r="22" spans="1:6" s="79" customFormat="1" ht="12.75">
      <c r="A22" s="92" t="s">
        <v>105</v>
      </c>
      <c r="B22" s="93"/>
      <c r="C22" s="94"/>
      <c r="E22" s="94"/>
      <c r="F22" s="94"/>
    </row>
    <row r="23" spans="1:12" s="91" customFormat="1" ht="12.75">
      <c r="A23" s="67" t="s">
        <v>68</v>
      </c>
      <c r="B23" s="77">
        <v>18</v>
      </c>
      <c r="C23" s="77">
        <v>18</v>
      </c>
      <c r="D23" s="77"/>
      <c r="E23" s="77"/>
      <c r="F23" s="77"/>
      <c r="G23" s="77"/>
      <c r="H23" s="69"/>
      <c r="I23" s="77"/>
      <c r="J23" s="77"/>
      <c r="K23" s="77"/>
      <c r="L23" s="77"/>
    </row>
    <row r="24" spans="1:12" ht="12.75">
      <c r="A24" s="67" t="s">
        <v>72</v>
      </c>
      <c r="B24" s="77">
        <v>0.813</v>
      </c>
      <c r="C24" s="77">
        <v>0.813</v>
      </c>
      <c r="D24" s="77"/>
      <c r="E24" s="77"/>
      <c r="F24" s="77"/>
      <c r="G24" s="77"/>
      <c r="I24" s="77"/>
      <c r="J24" s="77"/>
      <c r="K24" s="77"/>
      <c r="L24" s="77"/>
    </row>
    <row r="25" spans="1:12" ht="12.75">
      <c r="A25" s="67" t="s">
        <v>74</v>
      </c>
      <c r="B25" s="77">
        <v>15.465288068791294</v>
      </c>
      <c r="C25" s="77">
        <v>15.465288068791294</v>
      </c>
      <c r="D25" s="77"/>
      <c r="E25" s="77"/>
      <c r="F25" s="77"/>
      <c r="G25" s="77"/>
      <c r="I25" s="77"/>
      <c r="J25" s="77"/>
      <c r="K25" s="77"/>
      <c r="L25" s="77"/>
    </row>
    <row r="26" spans="1:3" ht="12.75">
      <c r="A26" s="67" t="s">
        <v>106</v>
      </c>
      <c r="B26" s="69">
        <v>8.178871633169347</v>
      </c>
      <c r="C26" s="69">
        <v>8.178871633169347</v>
      </c>
    </row>
    <row r="27" spans="1:3" ht="12.75">
      <c r="A27" s="67" t="s">
        <v>107</v>
      </c>
      <c r="B27" s="69">
        <v>1.626</v>
      </c>
      <c r="C27" s="69">
        <v>1.626</v>
      </c>
    </row>
    <row r="28" spans="1:3" ht="12.75">
      <c r="A28" s="67" t="s">
        <v>89</v>
      </c>
      <c r="B28" s="68">
        <v>54.87999903976127</v>
      </c>
      <c r="C28" s="69">
        <v>54.87999903976127</v>
      </c>
    </row>
    <row r="29" spans="1:12" ht="12.75">
      <c r="A29" s="67" t="s">
        <v>108</v>
      </c>
      <c r="B29" s="71">
        <v>0.7290312527749168</v>
      </c>
      <c r="C29" s="71">
        <v>0.7290312527749168</v>
      </c>
      <c r="D29" s="68"/>
      <c r="E29" s="68"/>
      <c r="F29" s="68"/>
      <c r="G29" s="68"/>
      <c r="I29" s="68"/>
      <c r="J29" s="68"/>
      <c r="K29" s="68"/>
      <c r="L29" s="68"/>
    </row>
    <row r="30" spans="1:11" ht="12.75">
      <c r="A30" s="67"/>
      <c r="B30" s="94" t="s">
        <v>95</v>
      </c>
      <c r="C30" s="94" t="s">
        <v>96</v>
      </c>
      <c r="D30" s="94" t="s">
        <v>97</v>
      </c>
      <c r="E30" s="94" t="s">
        <v>98</v>
      </c>
      <c r="F30" s="94" t="s">
        <v>99</v>
      </c>
      <c r="G30" s="94" t="s">
        <v>100</v>
      </c>
      <c r="H30" s="94" t="s">
        <v>101</v>
      </c>
      <c r="I30" s="94" t="s">
        <v>102</v>
      </c>
      <c r="J30" s="94" t="s">
        <v>103</v>
      </c>
      <c r="K30" s="94" t="s">
        <v>104</v>
      </c>
    </row>
    <row r="31" spans="1:2" ht="12.75">
      <c r="A31" s="92" t="s">
        <v>109</v>
      </c>
      <c r="B31" s="77"/>
    </row>
    <row r="32" spans="1:12" ht="12.75">
      <c r="A32" s="67" t="s">
        <v>106</v>
      </c>
      <c r="B32" s="77">
        <v>8.178871633169347</v>
      </c>
      <c r="C32" s="77">
        <v>8.178871633169347</v>
      </c>
      <c r="D32" s="77"/>
      <c r="E32" s="77"/>
      <c r="F32" s="77"/>
      <c r="G32" s="77"/>
      <c r="I32" s="77"/>
      <c r="J32" s="77"/>
      <c r="K32" s="77"/>
      <c r="L32" s="77"/>
    </row>
    <row r="33" spans="1:12" ht="12.75">
      <c r="A33" s="67" t="s">
        <v>85</v>
      </c>
      <c r="B33" s="77">
        <v>1.4900773460373757</v>
      </c>
      <c r="C33" s="77">
        <v>1.4012204784565925</v>
      </c>
      <c r="D33" s="77"/>
      <c r="E33" s="77"/>
      <c r="F33" s="77"/>
      <c r="G33" s="77"/>
      <c r="I33" s="77"/>
      <c r="J33" s="77"/>
      <c r="K33" s="77"/>
      <c r="L33" s="77"/>
    </row>
    <row r="34" spans="1:12" ht="12.75">
      <c r="A34" s="67" t="s">
        <v>87</v>
      </c>
      <c r="B34" s="77">
        <v>0</v>
      </c>
      <c r="C34" s="77">
        <v>0</v>
      </c>
      <c r="D34" s="77"/>
      <c r="E34" s="77"/>
      <c r="F34" s="77"/>
      <c r="G34" s="77"/>
      <c r="I34" s="77"/>
      <c r="J34" s="77"/>
      <c r="K34" s="77"/>
      <c r="L34" s="77"/>
    </row>
    <row r="35" spans="1:12" ht="12.75">
      <c r="A35" s="67" t="s">
        <v>89</v>
      </c>
      <c r="B35" s="77">
        <v>54.87999903976127</v>
      </c>
      <c r="C35" s="77">
        <v>54.87999903976127</v>
      </c>
      <c r="D35" s="77"/>
      <c r="E35" s="77"/>
      <c r="F35" s="77"/>
      <c r="G35" s="77"/>
      <c r="I35" s="77"/>
      <c r="J35" s="77"/>
      <c r="K35" s="77"/>
      <c r="L35" s="77"/>
    </row>
    <row r="36" spans="1:3" s="96" customFormat="1" ht="12.75">
      <c r="A36" s="95" t="s">
        <v>74</v>
      </c>
      <c r="B36" s="96">
        <v>16.467000440744243</v>
      </c>
      <c r="C36" s="96">
        <v>16.38164870412564</v>
      </c>
    </row>
    <row r="37" s="98" customFormat="1" ht="12.75">
      <c r="A37" s="97" t="s">
        <v>110</v>
      </c>
    </row>
    <row r="38" spans="1:3" ht="12.75">
      <c r="A38" s="99" t="s">
        <v>111</v>
      </c>
      <c r="B38" s="69">
        <v>1.4900773460373757</v>
      </c>
      <c r="C38" s="69">
        <v>1.4012204784565925</v>
      </c>
    </row>
    <row r="39" spans="1:3" ht="12.75">
      <c r="A39" s="99" t="s">
        <v>112</v>
      </c>
      <c r="B39" s="69">
        <v>1.4900773460373757</v>
      </c>
      <c r="C39" s="69">
        <v>1.4012204784565925</v>
      </c>
    </row>
    <row r="40" spans="1:3" s="96" customFormat="1" ht="12.75">
      <c r="A40" s="95" t="s">
        <v>113</v>
      </c>
      <c r="B40" s="96">
        <v>1.4900773460373757</v>
      </c>
      <c r="C40" s="96">
        <v>1.4012204784565925</v>
      </c>
    </row>
    <row r="41" s="98" customFormat="1" ht="12.75">
      <c r="A41" s="100" t="s">
        <v>114</v>
      </c>
    </row>
    <row r="42" spans="1:3" ht="12.75">
      <c r="A42" s="99" t="s">
        <v>111</v>
      </c>
      <c r="B42" s="69">
        <v>0.7995217726917128</v>
      </c>
      <c r="C42" s="69">
        <v>0.8498493050155309</v>
      </c>
    </row>
    <row r="43" spans="1:3" ht="12.75">
      <c r="A43" s="99" t="s">
        <v>112</v>
      </c>
      <c r="B43" s="69">
        <v>0.7995217726917128</v>
      </c>
      <c r="C43" s="69">
        <v>0.8498493050155309</v>
      </c>
    </row>
    <row r="44" spans="1:3" ht="12.75">
      <c r="A44" s="99" t="s">
        <v>113</v>
      </c>
      <c r="B44" s="69">
        <v>0.7995217726917128</v>
      </c>
      <c r="C44" s="69">
        <v>0.8498493050155309</v>
      </c>
    </row>
    <row r="46" spans="1:9" ht="12.75">
      <c r="A46" s="91"/>
      <c r="B46" s="91"/>
      <c r="G46" s="101"/>
      <c r="H46" s="102"/>
      <c r="I46" s="103"/>
    </row>
    <row r="47" spans="1:9" ht="12.75">
      <c r="A47" s="91"/>
      <c r="B47" s="91"/>
      <c r="C47" s="91"/>
      <c r="G47" s="104"/>
      <c r="H47" s="101"/>
      <c r="I47" s="105"/>
    </row>
    <row r="48" spans="1:9" ht="12.75">
      <c r="A48" s="94"/>
      <c r="B48" s="94"/>
      <c r="G48" s="102"/>
      <c r="H48" s="102"/>
      <c r="I48" s="103"/>
    </row>
    <row r="49" spans="1:9" ht="12.75">
      <c r="A49" s="94"/>
      <c r="B49" s="94"/>
      <c r="D49" s="91"/>
      <c r="E49" s="91"/>
      <c r="G49" s="102"/>
      <c r="H49" s="102"/>
      <c r="I49" s="103"/>
    </row>
    <row r="50" spans="1:9" ht="12.75">
      <c r="A50" s="94"/>
      <c r="B50" s="94"/>
      <c r="D50" s="91"/>
      <c r="E50" s="91"/>
      <c r="G50" s="102"/>
      <c r="H50" s="102"/>
      <c r="I50" s="103"/>
    </row>
    <row r="51" spans="1:9" ht="12.75">
      <c r="A51" s="94"/>
      <c r="B51" s="94"/>
      <c r="D51" s="91"/>
      <c r="E51" s="91"/>
      <c r="G51" s="102"/>
      <c r="H51" s="102"/>
      <c r="I51" s="103"/>
    </row>
    <row r="52" spans="1:9" ht="12.75">
      <c r="A52" s="94"/>
      <c r="B52" s="94"/>
      <c r="D52" s="91"/>
      <c r="E52" s="91"/>
      <c r="G52" s="102"/>
      <c r="H52" s="102"/>
      <c r="I52" s="103"/>
    </row>
  </sheetData>
  <printOptions gridLines="1"/>
  <pageMargins left="0.79" right="0.25" top="1.04" bottom="0.75" header="0.5" footer="0.5"/>
  <pageSetup fitToHeight="1" fitToWidth="1" horizontalDpi="300" verticalDpi="300" orientation="portrait" scale="83" r:id="rId3"/>
  <headerFooter alignWithMargins="0">
    <oddHeader>&amp;C&amp;F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125" zoomScaleNormal="125" workbookViewId="0" topLeftCell="A1">
      <selection activeCell="E24" sqref="E24"/>
    </sheetView>
  </sheetViews>
  <sheetFormatPr defaultColWidth="9.140625" defaultRowHeight="12.75"/>
  <cols>
    <col min="1" max="16384" width="9.140625" style="107" customWidth="1"/>
  </cols>
  <sheetData>
    <row r="1" spans="1:9" ht="15.75">
      <c r="A1" s="106" t="s">
        <v>127</v>
      </c>
      <c r="E1" s="108" t="s">
        <v>128</v>
      </c>
      <c r="F1" s="107">
        <v>18</v>
      </c>
      <c r="H1" s="108" t="s">
        <v>129</v>
      </c>
      <c r="I1" s="107">
        <f>F7</f>
        <v>18</v>
      </c>
    </row>
    <row r="2" spans="5:7" ht="12.75">
      <c r="E2" s="107" t="s">
        <v>130</v>
      </c>
      <c r="G2" s="108"/>
    </row>
    <row r="3" spans="5:8" ht="12.75">
      <c r="E3" s="109" t="s">
        <v>131</v>
      </c>
      <c r="G3" s="111" t="s">
        <v>138</v>
      </c>
      <c r="H3" s="107">
        <f>E4-(0.04*E4)</f>
        <v>24</v>
      </c>
    </row>
    <row r="4" spans="3:6" ht="12.75">
      <c r="C4" s="107" t="s">
        <v>132</v>
      </c>
      <c r="D4" s="107" t="s">
        <v>130</v>
      </c>
      <c r="E4" s="110">
        <v>25</v>
      </c>
      <c r="F4" s="109" t="s">
        <v>133</v>
      </c>
    </row>
    <row r="5" spans="3:6" ht="12.75">
      <c r="C5" s="107">
        <v>1</v>
      </c>
      <c r="D5" s="107">
        <v>180</v>
      </c>
      <c r="E5" s="107">
        <f>D5/$E$4</f>
        <v>7.2</v>
      </c>
      <c r="F5" s="107">
        <f>INT(E5)</f>
        <v>7</v>
      </c>
    </row>
    <row r="6" spans="3:6" ht="12.75">
      <c r="C6" s="107">
        <v>2</v>
      </c>
      <c r="D6" s="107">
        <v>290</v>
      </c>
      <c r="E6" s="107">
        <f>D6/$E$4</f>
        <v>11.6</v>
      </c>
      <c r="F6" s="107">
        <f>INT(E6)</f>
        <v>11</v>
      </c>
    </row>
    <row r="7" spans="3:6" ht="12.75">
      <c r="C7" s="108" t="s">
        <v>134</v>
      </c>
      <c r="D7" s="107">
        <f>SUM(D5:D6)</f>
        <v>470</v>
      </c>
      <c r="F7" s="107">
        <f>SUM(F5:F6)</f>
        <v>18</v>
      </c>
    </row>
    <row r="8" spans="3:4" ht="12.75">
      <c r="C8" s="108" t="s">
        <v>135</v>
      </c>
      <c r="D8" s="107">
        <f>D7/F1</f>
        <v>26.11111111111111</v>
      </c>
    </row>
    <row r="9" spans="4:5" ht="12.75">
      <c r="D9" s="108" t="s">
        <v>136</v>
      </c>
      <c r="E9" s="107">
        <f>E4*(SUM(E5:E6)-F7)</f>
        <v>20.000000000000018</v>
      </c>
    </row>
    <row r="10" spans="4:5" ht="12.75">
      <c r="D10" s="108" t="s">
        <v>137</v>
      </c>
      <c r="E10" s="107">
        <f>E9/F1</f>
        <v>1.111111111111112</v>
      </c>
    </row>
  </sheetData>
  <printOptions gridLines="1"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HHigley</dc:creator>
  <cp:keywords/>
  <dc:description/>
  <cp:lastModifiedBy>HHigley</cp:lastModifiedBy>
  <cp:lastPrinted>2000-09-26T23:22:54Z</cp:lastPrinted>
  <dcterms:created xsi:type="dcterms:W3CDTF">2000-09-26T22:20:02Z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