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390" windowHeight="4965" tabRatio="776" firstSheet="11" activeTab="16"/>
  </bookViews>
  <sheets>
    <sheet name="List of Contents" sheetId="1" r:id="rId1"/>
    <sheet name="Overview of Federal Funds Spent" sheetId="2" r:id="rId2"/>
    <sheet name="Table A - Combined 2ndQ99" sheetId="3" r:id="rId3"/>
    <sheet name="Table A1 - FY99" sheetId="4" r:id="rId4"/>
    <sheet name="Table A2 - FY98" sheetId="5" r:id="rId5"/>
    <sheet name="Table A3 - FY97" sheetId="6" r:id="rId6"/>
    <sheet name="Table B" sheetId="7" r:id="rId7"/>
    <sheet name="Table C" sheetId="8" r:id="rId8"/>
    <sheet name="Table D" sheetId="9" r:id="rId9"/>
    <sheet name="Table E" sheetId="10" r:id="rId10"/>
    <sheet name="Table F - Total Fed&amp;State FY99" sheetId="11" r:id="rId11"/>
    <sheet name="Chart 1" sheetId="12" r:id="rId12"/>
    <sheet name="Chart 2" sheetId="13" r:id="rId13"/>
    <sheet name="Chart 3" sheetId="14" r:id="rId14"/>
    <sheet name="Chart 4" sheetId="15" r:id="rId15"/>
    <sheet name="chart data" sheetId="16" r:id="rId16"/>
    <sheet name="MOE" sheetId="17" r:id="rId17"/>
  </sheets>
  <definedNames>
    <definedName name="_xlnm.Print_Area" localSheetId="0">'List of Contents'!$A$1:$K$36</definedName>
    <definedName name="_xlnm.Print_Area" localSheetId="16">'MOE'!$B$1:$F$65</definedName>
    <definedName name="_xlnm.Print_Area" localSheetId="2">'Table A - Combined 2ndQ99'!$A$1:$Q$70</definedName>
    <definedName name="_xlnm.Print_Area" localSheetId="3">'Table A1 - FY99'!$A$1:$Q$76</definedName>
    <definedName name="_xlnm.Print_Area" localSheetId="4">'Table A2 - FY98'!$W$1:$AM$74</definedName>
    <definedName name="_xlnm.Print_Area" localSheetId="5">'Table A3 - FY97'!$AQ$1:$BG$74</definedName>
    <definedName name="_xlnm.Print_Area" localSheetId="6">'Table B'!$A$2:$I$72</definedName>
    <definedName name="_xlnm.Print_Area" localSheetId="7">'Table C'!$A$2:$I$74</definedName>
    <definedName name="_xlnm.Print_Area" localSheetId="8">'Table D'!$A$2:$H$70</definedName>
    <definedName name="_xlnm.Print_Area" localSheetId="9">'Table E'!$A$2:$H$66</definedName>
  </definedNames>
  <calcPr fullCalcOnLoad="1"/>
</workbook>
</file>

<file path=xl/sharedStrings.xml><?xml version="1.0" encoding="utf-8"?>
<sst xmlns="http://schemas.openxmlformats.org/spreadsheetml/2006/main" count="1469" uniqueCount="389">
  <si>
    <t>Temporary Assistance to Needy Families (TANF) Program</t>
  </si>
  <si>
    <t>Data reported by States</t>
  </si>
  <si>
    <t>in Column A on Form</t>
  </si>
  <si>
    <t>ACF-196 Line Items: 1/</t>
  </si>
  <si>
    <t>8(a)</t>
  </si>
  <si>
    <t>ADMIN COST</t>
  </si>
  <si>
    <t xml:space="preserve">TOTAL </t>
  </si>
  <si>
    <t xml:space="preserve">TRANSFERRED </t>
  </si>
  <si>
    <t>AVAILABLE FOR</t>
  </si>
  <si>
    <t>CASH AND WORK</t>
  </si>
  <si>
    <t>WORK</t>
  </si>
  <si>
    <t>CHILD</t>
  </si>
  <si>
    <t>ADMINISTRATION</t>
  </si>
  <si>
    <t>SYSTEMS</t>
  </si>
  <si>
    <t>TRANSITIONAL</t>
  </si>
  <si>
    <t>OTHER</t>
  </si>
  <si>
    <t>TOTAL</t>
  </si>
  <si>
    <t>UNLIQUIDATED</t>
  </si>
  <si>
    <t>UNOBLIGATED</t>
  </si>
  <si>
    <t>AS % OF TOTAL</t>
  </si>
  <si>
    <t>AWARDED \1</t>
  </si>
  <si>
    <t xml:space="preserve">TO CCDF </t>
  </si>
  <si>
    <t>TO SSBG</t>
  </si>
  <si>
    <t>TANF</t>
  </si>
  <si>
    <t>BASED ASSISTANCE</t>
  </si>
  <si>
    <t>ACTIVITIES</t>
  </si>
  <si>
    <t>CARE</t>
  </si>
  <si>
    <t>SERVICES</t>
  </si>
  <si>
    <t>EXPENDITURES</t>
  </si>
  <si>
    <t>OBLIGATIONS</t>
  </si>
  <si>
    <t>BALANCE</t>
  </si>
  <si>
    <t>GRANT AWARD</t>
  </si>
  <si>
    <t>Alabama</t>
  </si>
  <si>
    <t>Alaska</t>
  </si>
  <si>
    <t>Arizona</t>
  </si>
  <si>
    <t>Arkansas</t>
  </si>
  <si>
    <t xml:space="preserve">California </t>
  </si>
  <si>
    <t xml:space="preserve">Colorado </t>
  </si>
  <si>
    <t>Connecticut</t>
  </si>
  <si>
    <t>Delaware</t>
  </si>
  <si>
    <t>District of Columbia</t>
  </si>
  <si>
    <t xml:space="preserve">Florida </t>
  </si>
  <si>
    <t>Georgia</t>
  </si>
  <si>
    <t>Hawaii</t>
  </si>
  <si>
    <t xml:space="preserve">Idaho </t>
  </si>
  <si>
    <t>Illinois</t>
  </si>
  <si>
    <t xml:space="preserve">Indiana </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</si>
  <si>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</si>
  <si>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</si>
  <si>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</si>
  <si>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</si>
  <si>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</si>
  <si>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</si>
  <si>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</si>
  <si>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</si>
  <si>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</si>
  <si>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</si>
  <si>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</si>
  <si>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</si>
  <si>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</si>
  <si>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</si>
  <si>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</si>
  <si>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</si>
  <si>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</si>
  <si>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</si>
  <si>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</si>
  <si>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 xml:space="preserve">North Dakota </t>
  </si>
  <si>
    <t>Ohio</t>
  </si>
  <si>
    <t>Oklahoma</t>
  </si>
  <si>
    <t xml:space="preserve">Oregon  </t>
  </si>
  <si>
    <t>Pennsylvania</t>
  </si>
  <si>
    <t>Rhode Island</t>
  </si>
  <si>
    <t>South Carolina</t>
  </si>
  <si>
    <t>South Dakota</t>
  </si>
  <si>
    <t xml:space="preserve">Tennessee </t>
  </si>
  <si>
    <t>Texas</t>
  </si>
  <si>
    <t>Utah</t>
  </si>
  <si>
    <t>Vermont</t>
  </si>
  <si>
    <t>Virginia</t>
  </si>
  <si>
    <t xml:space="preserve">Washington </t>
  </si>
  <si>
    <t>West Virginia</t>
  </si>
  <si>
    <t xml:space="preserve">Wisconsin </t>
  </si>
  <si>
    <t xml:space="preserve">Wyoming </t>
  </si>
  <si>
    <t>Total</t>
  </si>
  <si>
    <t>Percentages 2/</t>
  </si>
  <si>
    <t>GENERAL NOTES:</t>
  </si>
  <si>
    <t>Table A shows how States used Federal funds.  Tables B and C show how States used their own funds in the TANF program.</t>
  </si>
  <si>
    <t>FOOTNOTES:</t>
  </si>
  <si>
    <t xml:space="preserve">2/   TANF Transfer percentages are based on the total amount awarded in Column 1.  Expenditures percentages are based on the Total Expenditures reported on Column 11.  Unliquidated and Unobligated Balances percentages are based on the Amount  </t>
  </si>
  <si>
    <t xml:space="preserve">      Available for TANF reported on Column 4.</t>
  </si>
  <si>
    <t xml:space="preserve">in Column B on </t>
  </si>
  <si>
    <t>ACF-196 Line Items:</t>
  </si>
  <si>
    <t>STATE</t>
  </si>
  <si>
    <t xml:space="preserve">CARE </t>
  </si>
  <si>
    <t>California</t>
  </si>
  <si>
    <t>Colorado</t>
  </si>
  <si>
    <t>Florida</t>
  </si>
  <si>
    <t>Idaho</t>
  </si>
  <si>
    <t>Indiana</t>
  </si>
  <si>
    <t>North Dakota</t>
  </si>
  <si>
    <t>Oregon</t>
  </si>
  <si>
    <t>Tennessee</t>
  </si>
  <si>
    <t>Washington</t>
  </si>
  <si>
    <t>Wisconsin</t>
  </si>
  <si>
    <t>Wyoming</t>
  </si>
  <si>
    <t>State Total</t>
  </si>
  <si>
    <t>Percentages 1/</t>
  </si>
  <si>
    <t xml:space="preserve">  This table shows how States used State funds in the TANF program. </t>
  </si>
  <si>
    <t>Footnotes:</t>
  </si>
  <si>
    <t>1/  State MOE percentages are based on the Total State TANF MOE Expenditures reported on Column 11.</t>
  </si>
  <si>
    <t>in Column C on Form</t>
  </si>
  <si>
    <t xml:space="preserve">This table shows information exactly as reported by States in column C on the quarterly TANF report (Form no. ACF-196).  States were required to submit </t>
  </si>
  <si>
    <t>entirely with State funds is one of the options available to States.  Of the 51 States who have submitted reports to date, fifteen have reported the expenditure of funds</t>
  </si>
  <si>
    <t xml:space="preserve">in a separate State program.  States may use such expenditures to meet the MOE level of State expenditures required by statute. </t>
  </si>
  <si>
    <t>1/  State MOE percentages are based on the Total State TANF MOE Expenditures in separate State programs reported on Column 11.</t>
  </si>
  <si>
    <t>TEMPORARY ASSISTANCE FOR NEEDY FAMILIES PROGRAM</t>
  </si>
  <si>
    <t xml:space="preserve">Percent </t>
  </si>
  <si>
    <t>Transferred</t>
  </si>
  <si>
    <t>AVAILABLE</t>
  </si>
  <si>
    <t xml:space="preserve">This table shows Federal TANF  transfers to the CCDF and/or the SSBG programs as reported by the States on the      </t>
  </si>
  <si>
    <t xml:space="preserve">TOTAL STATE MOE </t>
  </si>
  <si>
    <t>TOTAL STATE TANF</t>
  </si>
  <si>
    <t>STATE MOE</t>
  </si>
  <si>
    <t xml:space="preserve">EXPENDITURES IN THE </t>
  </si>
  <si>
    <t xml:space="preserve">EXPENDITURES IN SEPARATE </t>
  </si>
  <si>
    <t>AT 80 PERCENT</t>
  </si>
  <si>
    <t>TANF PROGRAM</t>
  </si>
  <si>
    <t>STATE PROGRAMS</t>
  </si>
  <si>
    <t xml:space="preserve">TRANSFERRED TO CCDF </t>
  </si>
  <si>
    <t>TRANSFERRED TO SSBG</t>
  </si>
  <si>
    <t>AVAIALABLE FOR TANF</t>
  </si>
  <si>
    <t>CASH AND WORK BASED ASSISTANCE</t>
  </si>
  <si>
    <t>WORK ACTIVITIES</t>
  </si>
  <si>
    <t>OTHER EXPENDITURES</t>
  </si>
  <si>
    <t>CHILD CARE</t>
  </si>
  <si>
    <t xml:space="preserve">CHILD CARE </t>
  </si>
  <si>
    <t>TRANSITIONAL SERVICES</t>
  </si>
  <si>
    <t>TOTAL STATE EXPENDITURES</t>
  </si>
  <si>
    <t>MOE &amp; Sep State Total</t>
  </si>
  <si>
    <t>MOE Only</t>
  </si>
  <si>
    <t>Sep State Only</t>
  </si>
  <si>
    <t>STATE MAINTENANCE OF EFFORT LEVELS REQUIRED UNDER P.L. 104-193</t>
  </si>
  <si>
    <t>FY 1994 State</t>
  </si>
  <si>
    <t>MAINTENANCE OF EFFORT (MOE):</t>
  </si>
  <si>
    <t>State</t>
  </si>
  <si>
    <t>Expenditures 1/</t>
  </si>
  <si>
    <t>75% MOE Level 2/</t>
  </si>
  <si>
    <t>80% MOE Level 3/</t>
  </si>
  <si>
    <t>1/ The State share of expenditures for AFDC benefits, administration, EA, IV-A child care and JOBS in FY 1994.</t>
  </si>
  <si>
    <t xml:space="preserve">    State expenditures may be revised to account for expenditures made by States on behalf of Tribes.</t>
  </si>
  <si>
    <t>2/ States must maintain a level of effort at 75% of FY 1994 expenditures if they meet participation rate requirements.</t>
  </si>
  <si>
    <t>3/ States must maintain a level of effort at 80% of FY 1994 expenditures if they do not meet participation rate</t>
  </si>
  <si>
    <t xml:space="preserve">    requirements</t>
  </si>
  <si>
    <t>SFAG Allocation</t>
  </si>
  <si>
    <t>Cumulitative</t>
  </si>
  <si>
    <t>Annual SFAG minus</t>
  </si>
  <si>
    <t>Cum 3rd Qt.</t>
  </si>
  <si>
    <t>Difference</t>
  </si>
  <si>
    <t>Tribes</t>
  </si>
  <si>
    <t>FY 1998</t>
  </si>
  <si>
    <t xml:space="preserve">State </t>
  </si>
  <si>
    <t>State Adjusted Allocation</t>
  </si>
  <si>
    <t>for Allocation Table</t>
  </si>
  <si>
    <t>Thru 3rd Qt.</t>
  </si>
  <si>
    <t>Cum. 3rd Qt. Grants</t>
  </si>
  <si>
    <t>plus 4th Qt. Grants</t>
  </si>
  <si>
    <t>Allocation</t>
  </si>
  <si>
    <t>for Tribes</t>
  </si>
  <si>
    <t>with Tribal Adjustments</t>
  </si>
  <si>
    <t>White Mopuntain (AZ)</t>
  </si>
  <si>
    <t>(4th Qt. Grants)</t>
  </si>
  <si>
    <t>Pasqua Yaqui (AZ)</t>
  </si>
  <si>
    <t>ALABAMA</t>
  </si>
  <si>
    <t>ALASKA</t>
  </si>
  <si>
    <t>ARIZONA</t>
  </si>
  <si>
    <t>Souther CA Tribal (CA)</t>
  </si>
  <si>
    <t>ARKANSAS</t>
  </si>
  <si>
    <t>CALIFORNIA</t>
  </si>
  <si>
    <t>COLORADO</t>
  </si>
  <si>
    <t>Osage (OK)</t>
  </si>
  <si>
    <t>CONNECTICUT</t>
  </si>
  <si>
    <t>DELAWARE</t>
  </si>
  <si>
    <t>DISTRICT OF COL.</t>
  </si>
  <si>
    <t>Siletz (OR)</t>
  </si>
  <si>
    <t>FLORIDA</t>
  </si>
  <si>
    <t>Klamath (OR)</t>
  </si>
  <si>
    <t>GEORGIA</t>
  </si>
  <si>
    <t>GUAM</t>
  </si>
  <si>
    <t>HAWAII</t>
  </si>
  <si>
    <t>Sisseton Sioux (SD)</t>
  </si>
  <si>
    <t>IDAHO</t>
  </si>
  <si>
    <t>ILLINOIS</t>
  </si>
  <si>
    <t>INDIANA</t>
  </si>
  <si>
    <t>Red Cliff (WI)</t>
  </si>
  <si>
    <t>IOWA</t>
  </si>
  <si>
    <t>Stockbridge (WI)</t>
  </si>
  <si>
    <t>KANSAS</t>
  </si>
  <si>
    <t>Sokaogon (WI)</t>
  </si>
  <si>
    <t>KENTUCKY</t>
  </si>
  <si>
    <t>Potawatomi (WI)</t>
  </si>
  <si>
    <t>LOUISIANA</t>
  </si>
  <si>
    <t>MAINE</t>
  </si>
  <si>
    <t>MARYLAND</t>
  </si>
  <si>
    <t>Arapaho (WY)</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</si>
  <si>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</si>
  <si>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</si>
  <si>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</si>
  <si>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</si>
  <si>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</si>
  <si>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</si>
  <si>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</si>
  <si>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</si>
  <si>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</si>
  <si>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</si>
  <si>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</si>
  <si>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</si>
  <si>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</si>
  <si>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</si>
  <si>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</si>
  <si>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</si>
  <si>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</si>
  <si>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</si>
  <si>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</si>
  <si>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</si>
  <si>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</si>
  <si>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</si>
  <si>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</si>
  <si>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</si>
  <si>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</si>
  <si>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</si>
  <si>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</si>
  <si>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</si>
  <si>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</si>
  <si>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</si>
  <si>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</si>
  <si>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</si>
  <si>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Updated TANF MOE Table  for FY 1998</t>
  </si>
  <si>
    <t>Tribal Grant / SFAG</t>
  </si>
  <si>
    <t xml:space="preserve">AND TOTAL STATE </t>
  </si>
  <si>
    <t>AT 75 PERCENT</t>
  </si>
  <si>
    <t>The MOE levels at 75 and 80 percent have been adjusted for States with Tribes operating TANF.</t>
  </si>
  <si>
    <t>DIFFERENCE OF MOE AT 80%</t>
  </si>
  <si>
    <t>DIFFERENCE OF MOE AT 75%</t>
  </si>
  <si>
    <t>MOE Admin. Rate</t>
  </si>
  <si>
    <t xml:space="preserve">This table shows information exactly as reported by States in column B on the quarterly TANF report (Form no. ACF-196).  States were required to submit the first quarter </t>
  </si>
  <si>
    <t xml:space="preserve">TANF financial data on this form by 2/14/99.  </t>
  </si>
  <si>
    <t xml:space="preserve">TANF financial data on this form on 2/14/99. This table shows how States used their own funds in separate State programs.  Funding a separate State TANF program </t>
  </si>
  <si>
    <t>first quarter FY 1999 TANF financial report (ACF-196).  Transfer restrictions are based on annual grant awards.</t>
  </si>
  <si>
    <t>\1   The amounts reported under this column are the grant awards the States received in the first quarter of FY-99.</t>
  </si>
  <si>
    <t xml:space="preserve"> </t>
  </si>
  <si>
    <t>FEDERAL AWARDS, TRANSFERS AND EXPENDITURES OF FY 99 FUNDS THROUGH 2nd QTR. FY-1999</t>
  </si>
  <si>
    <t xml:space="preserve">This table shows information exactly as reported by States in column A on the quarterly TANF report (Form no. ACF-196).  States were required to submit this  TANF financial data by 5/14/99.   </t>
  </si>
  <si>
    <t xml:space="preserve">      WA, WI AND WY cumulative totals have been adjusted for Tribes operating TANF within the State.</t>
  </si>
  <si>
    <t xml:space="preserve">1/   The amounts reported under this column are the grant awards the States received through the in the second quarter of FY-99.  The grant awards include SFAG and Supplemental Grants for Population Increases.    AK, AZ, CA, ID, MN, MT, OK, OR, SD, </t>
  </si>
  <si>
    <t>FEDERAL AWARDS, TRANSFERS AND EXPENDITURES THROUGH 2ND QTR. FY-1999</t>
  </si>
  <si>
    <t xml:space="preserve">typo -12128723 </t>
  </si>
  <si>
    <t>error -32703</t>
  </si>
  <si>
    <t xml:space="preserve">MOE expend. From </t>
  </si>
  <si>
    <t>Table E  Column D</t>
  </si>
  <si>
    <t>100% MOE level from</t>
  </si>
  <si>
    <t xml:space="preserve"> Col C.</t>
  </si>
  <si>
    <t>TEMPORARY ASSISTANCE TO NEEDY FAMILIES (TANF)</t>
  </si>
  <si>
    <t>Through Second Quarter FY 1999</t>
  </si>
  <si>
    <t>FEDERAL FUNDS</t>
  </si>
  <si>
    <t>TRANSFERRED</t>
  </si>
  <si>
    <t>AVAILABLE  1/</t>
  </si>
  <si>
    <t>TO CCDF</t>
  </si>
  <si>
    <t>FOR TANF</t>
  </si>
  <si>
    <t>BALANCES</t>
  </si>
  <si>
    <t>FY 97 FUNDS</t>
  </si>
  <si>
    <t>FY 98 FUNDS</t>
  </si>
  <si>
    <t>FY 99 FUNDS</t>
  </si>
  <si>
    <t xml:space="preserve">1/   The amounts shown in the Funds Avaialable Column for FY 97 and FY 98 are the sum of the unobligated and unliquidated balances of Federal Funds </t>
  </si>
  <si>
    <t xml:space="preserve">carried over from prior fiscal years.   The amount shown for FY 99 is the amount of Federal grant awards for the first two quarters of FY 99.  </t>
  </si>
  <si>
    <t xml:space="preserve">TEMPORARY ASSISTANCE TO NEEDY FAMILIES (TANF) PROGRAM </t>
  </si>
  <si>
    <t>TOTAL  AVAILABLE</t>
  </si>
  <si>
    <t xml:space="preserve">Idaho  </t>
  </si>
  <si>
    <t>Percentages</t>
  </si>
  <si>
    <t>Fund</t>
  </si>
  <si>
    <t>Check</t>
  </si>
  <si>
    <t>FEDERAL AWARDS, TRANSFERS AND EXPENDITURES THROUGH 4th QT. FY-1998</t>
  </si>
  <si>
    <t>TRANSFERS AND EXPENDITURES OF FY 1998 FEDERAL FUNDS THROUGH  THE 2nd QUARTER OF FY 1999</t>
  </si>
  <si>
    <t xml:space="preserve">UNEXPENDED FUNDS </t>
  </si>
  <si>
    <t>CASH AND</t>
  </si>
  <si>
    <t>Fund check</t>
  </si>
  <si>
    <t>CARRIED OVER  FROM</t>
  </si>
  <si>
    <t>WORK-BASED</t>
  </si>
  <si>
    <t>ADMIN-</t>
  </si>
  <si>
    <t>IN FY99</t>
  </si>
  <si>
    <t xml:space="preserve"> IN FY 99</t>
  </si>
  <si>
    <t>ASSISTANCE</t>
  </si>
  <si>
    <t>ISTRATION</t>
  </si>
  <si>
    <t>Closed</t>
  </si>
  <si>
    <t>no report</t>
  </si>
  <si>
    <t>No Report</t>
  </si>
  <si>
    <t>FINAL</t>
  </si>
  <si>
    <t xml:space="preserve">This table shows information exactly as reported by States in column A on the quarterly TANF report (Form no. ACF-196).  States were required to submit this  TANF financial data by 11/14/98.   </t>
  </si>
  <si>
    <t xml:space="preserve">This table shows information exactly as reported by States in column A on the quarterly TANF report (Form no. ACF-196).  States were required to submit this  TANF financial data by 5/14/98.   </t>
  </si>
  <si>
    <t>1/   The amounts reported under this column are the grant awards the States received through the fourth quarter of FY-98.  The grant awards include SFAG and Supplemental Grants for Population Increases.    AZ, CA, OK, OR, SD, WI and WY cumulative</t>
  </si>
  <si>
    <t xml:space="preserve">1/   The amounts shown in Column 1 are the sum of the unobligated and unliquidated balances of FY 98 Federal Funds.  </t>
  </si>
  <si>
    <t>FEDERAL AWARDS, TRANSFERS AND EXPENDITURES FY-1997</t>
  </si>
  <si>
    <t>FEDERAL AWARDS, TRANSFERS AND EXPENDITURES THROUGH THE FOURTH QUARTER OF FY-1998 WITH FY 1997 FEDERAL FUNDS</t>
  </si>
  <si>
    <t>TRANSFERS AND EXPENDITURES OF FY 1997 FEDERAL FUNDS THROUGH  THE 2nd QUARTER OF FY 1999</t>
  </si>
  <si>
    <t>STATUS</t>
  </si>
  <si>
    <t>Final</t>
  </si>
  <si>
    <t xml:space="preserve">1.  THIS DATA  IS DERIVED FROM CUMULATIVE FY-1997 TANF FINANCIAL REPORTS RECEIVED THROUGH THE 4TH QUARTER OF FY 1998.   ALL DATA IS PRELIMINARY AND SUBJECT TO CHANGE.   </t>
  </si>
  <si>
    <t xml:space="preserve">1.  THIS DATA  IS DERIVED FROM CUMULATIVE FY-1997 TANF FINANCIAL REPORTS RECEIVED FOR  THE 2nd QUARTER OF FY 1999.   ALL DATA IS PRELIMINARY AND SUBJECT TO CHANGE.   </t>
  </si>
  <si>
    <t xml:space="preserve">THE DATA  IS DERIVED FROM CUMULATIVE FY-1997 TANF FINANCIAL REPORTS.  ALL DATA IS PRELIMINARY AND SUBJECT TO CHANGE.  THIS TABLE WILL BE UPDATED AS CLARIFICATIONS, REVISIONS AND NEW REPORTS ARE RECEIVED.  </t>
  </si>
  <si>
    <t xml:space="preserve">     THIS TABLE WILL BE UPDATED AS CLARIFICATION AND REVISIONS ARE RECEIVED.</t>
  </si>
  <si>
    <t>2.  NEGATIVE AMOUNTS REPORTED IN LINES 5 THROUGH 10 OF THIS TABLE ARE DECREASED ADJUSTMENTS OF EXPENDITURES REPORTED  ON THE FINAL FY-1997 REPORT DUE 11/14/97.</t>
  </si>
  <si>
    <t>2.  NEGATIVE AMOUNTS REPORTED IN LINES 5 THROUGH 10 OF THIS TABLE ARE DECREASED ADJUSTMENTS OF EXPENDITURES REPORTED  ON THE QUARTERLY REPORT.</t>
  </si>
  <si>
    <t xml:space="preserve">This table shows information exactly as reported by States in column A on the quarterly TANF report (Form no. ACF-196).  The first time States were required to submit TANF financial data on this form was 11/14/97.   </t>
  </si>
  <si>
    <t>3.  STATES ARE REQUIRED TO SUBMIT EXPENDITURE REPORTS ON FEDERAL TANF FUNDS UNTIL ALL FUNDS RECEIVED FOR A FISCAL YEAR ARE EXPENDED.</t>
  </si>
  <si>
    <t xml:space="preserve">1/   The amounts shown in Column 1 are the sum of the unobligated and unliquidated balances of FY 97 Federal Funds.  </t>
  </si>
  <si>
    <t>\1   Federal fiscal year 1997, which began on 10/1/96, was a transition year for implementing the TANF program.  States were not required to implement TANF until 7/1/97.  Only 16 States operated a TANF program for the entire year.  Therefore the total</t>
  </si>
  <si>
    <t xml:space="preserve">2/   TANF Transfer percentages are based on the total amount available in Column 1.  Expenditures percentages are based on the Total Expenditures reported on Column 11.  Unobligated Balances percentage is based on the Amount  </t>
  </si>
  <si>
    <t>amount of Federal funds awarded to States for fiscal year 1997 was less than the full annual TANF allocations of $16.5 billion per year that States will receive in fiscal years 1998 through 2002.</t>
  </si>
  <si>
    <t xml:space="preserve">      Available for TANF shown in Column 4.</t>
  </si>
  <si>
    <t xml:space="preserve">THE AMOUNTS REPORTED IN COLUMN (1) ARE FROM ACF's RECORDS OF CUMULATIVE FOURTH QUARTER FY-1997 TANF GRANT AWARDS.  </t>
  </si>
  <si>
    <t>now is the time for all good men</t>
  </si>
  <si>
    <t xml:space="preserve">      Population Increases.    AK, AZ, CA, ID, MN, MT, OK, OR, SD,  WA, and WY cumlative totals have been adjusted for Tribes operating TANF within the State.</t>
  </si>
  <si>
    <t>Data for Chart 4 is in</t>
  </si>
  <si>
    <t>Range B49..E99</t>
  </si>
  <si>
    <t>Data for Chart 3 is in</t>
  </si>
  <si>
    <t>the Range B15 . . H16</t>
  </si>
  <si>
    <t>Data comes from Tables B and C</t>
  </si>
  <si>
    <t>Data for Chart 2 is in</t>
  </si>
  <si>
    <t>the Range F5 . . L6</t>
  </si>
  <si>
    <t>Data comes from Table A - FY99</t>
  </si>
  <si>
    <t>8(A)</t>
  </si>
  <si>
    <t>Data for Chart 1 is in</t>
  </si>
  <si>
    <t>the Range C36 . . G37</t>
  </si>
  <si>
    <t>EXPENDITURES OF STATE FUNDS THROUGH THE 2nd QT. FY-1999</t>
  </si>
  <si>
    <t>EXPENDITURE OF STATE FUNDS IN SEPARATE STATE PROGRAMS THROUGH THE 2nd QT. FY 1999</t>
  </si>
  <si>
    <t>NOTES:</t>
  </si>
  <si>
    <t xml:space="preserve">The Column numbers on this table correspond to the line item numbers on the Form ACF-196.   This table combines the amounts shown on the following three tables: </t>
  </si>
  <si>
    <t xml:space="preserve">           FY 1999 EXPENDITURE SUMMARY FOR FEDERAL FUNDS THROUGH THE 2nd QUARTER</t>
  </si>
  <si>
    <t xml:space="preserve">      Table A - COMBINED FEDERAL FUNDS SPENT IN FY 99</t>
  </si>
  <si>
    <t>Table A - Combined Federal Funds Spent in FY 99, Table B - State Maintenance of Effort, and Table C - State Maintenance of Effort in Separate State Programs</t>
  </si>
  <si>
    <t xml:space="preserve">                    TEMPORARY ASSISTANCE TO NEEDY FAMILIES (TANF) PROGRAM </t>
  </si>
  <si>
    <t>IN FY 1999</t>
  </si>
  <si>
    <t>This table shows total State TANF MOE expenditures through the 2nd quarter of FY 1999 and the comparison of State MOE expenditures to meet the 75 and 80 percent annual MOE levels.</t>
  </si>
  <si>
    <t xml:space="preserve">1/  This table shows combined Federal and State expenditures for the first two quarters of FY 99 as reported by the States on the Quarterly TANF Expenditure Report (ACF-196).  </t>
  </si>
  <si>
    <t xml:space="preserve">The expenditures shown include spending of State maintenacne of effort (MOE) funds and Federal funds awarded in FY 99, FY 98 and FY 97. </t>
  </si>
  <si>
    <t xml:space="preserve">ACF-196 Line Items: </t>
  </si>
  <si>
    <t>FEDERAL FUNDS  1/</t>
  </si>
  <si>
    <t xml:space="preserve">      Table A3 - FY 1997 Federal Funds Spent in FY 1999</t>
  </si>
  <si>
    <t>PRIOR YEAR  1/</t>
  </si>
  <si>
    <t>AWARDED 1/</t>
  </si>
  <si>
    <t xml:space="preserve">                       COMBINED SPENDING FROM ALL FEDERAL TANF GRANTS FOR FYs 97, 98 AND 99  (This table is the combined total of Tables A1, A2 and A3)</t>
  </si>
  <si>
    <t xml:space="preserve">        Table A2 - FY 1998 Federal Funds Spent in  FY 1999</t>
  </si>
  <si>
    <t xml:space="preserve">                      Table A1 - FY 1999 Federal Funds Spent in FY 1999</t>
  </si>
  <si>
    <t>TABLE B  -  STATE TANF MAINTENANCE OF EFFORT (MOE) EXPENDITURES IN THE TANF PROGRAM</t>
  </si>
  <si>
    <t>TABLE C  -  STATE TANF MAINTENANCE OF EFFORT (MOE) EXPENDITURES IN SEPARATE STATE PROGRAMS</t>
  </si>
  <si>
    <t>Through the 2nd Quarter FY 1999</t>
  </si>
  <si>
    <t>TABLE D  -  PERCENTAGES OF TRANSFER AMOUNTS TO CHILD CARE AND SOCIAL SERVICES BLOCK GRANT PROGRAMS IN FY 1999</t>
  </si>
  <si>
    <t>TABLE E  -  ANALYSIS OF STATE MOE SPENDING LEVELS THROUGH THE 2ND QUARTER OF FY 1999</t>
  </si>
  <si>
    <t>Table F  -  Combined Total of Federal and State Funds Expended in FY 99</t>
  </si>
  <si>
    <t xml:space="preserve">TANF </t>
  </si>
  <si>
    <t>2nd Quarter Expenditure Data to be Posted on ACF's Web Site</t>
  </si>
  <si>
    <t xml:space="preserve">*  The Bar Chart comparing FY 99 and FY 98 Spending levels and Charts 1,2 and 3 are for internal use only.  </t>
  </si>
  <si>
    <t>They will not be posted on the ACF web site.</t>
  </si>
  <si>
    <t>Overview of Federal Funds Spent in FY 99</t>
  </si>
  <si>
    <t>LIST OF WORKSHEETS IN THIS WORKBOOK</t>
  </si>
  <si>
    <t>TANF Program Expenditures in FY 1999 through the 2nd Quarter:</t>
  </si>
  <si>
    <t>Cumulative Expenditures FY 97 - FY 99:</t>
  </si>
  <si>
    <t>Statutory MOE Requirements:</t>
  </si>
  <si>
    <t>TABLE B  -  State Maintenance of Effort (MOE) Expenditures in the TANF Program</t>
  </si>
  <si>
    <t xml:space="preserve">   TABLE A1  -  FY 1999 Federal Funds Spent in FY 1999</t>
  </si>
  <si>
    <t xml:space="preserve">   TABLE A2  -  FY 1998 Federal Funds Spent in FY 1999</t>
  </si>
  <si>
    <t xml:space="preserve">   TABLE A3  -  FY 1997 Federal Funds Spent in FY 1999</t>
  </si>
  <si>
    <t>TABLE C  - State Maintenance of Effort (MOE) Expenditures in Separate State Programs</t>
  </si>
  <si>
    <t>TABLE D  -  Percentages of Transfer Amounts to CCDF and SSBG</t>
  </si>
  <si>
    <t>TABLE E  -  Analysis of State MOE Spending Levels Through the Second Quarter</t>
  </si>
  <si>
    <t>TABLE F  -  Combined Total of Federal and States Funds Expended in FY 99</t>
  </si>
  <si>
    <t>Chart 1  -  How States Used FY 99 TANF Federal Funds *</t>
  </si>
  <si>
    <t>Chart 2  -  Expenditures of FY 99 TANF Federal Funds by Spending Categories *</t>
  </si>
  <si>
    <t>Chart 3  -  Expenditures of FY 99 State TANF MOE by Spending Categories *</t>
  </si>
  <si>
    <t>Chart 4  -  Level of State MOE Expenditures through 2nd Quarter FY 99</t>
  </si>
  <si>
    <t>TABLE G  -  Total Federal Funds Expended in TANF for All Years</t>
  </si>
  <si>
    <t>State MOE Levels Required Under P.L. 104-193</t>
  </si>
  <si>
    <t>Chart Data -  Data used to generate Charts 1 through 4 (Not for External Release)</t>
  </si>
  <si>
    <t xml:space="preserve">TABLE A  -  FY 1999 Expenditure Summary for Federal Funds through the Second Quarter </t>
  </si>
  <si>
    <t>(Table A is the combined total of Tables A1, A2 and A3 below)</t>
  </si>
  <si>
    <t xml:space="preserve">1/   The amounts reported under this column are the grant awards the States received for the first two quarters of FY-99 plus any carryover unobligated and unliquidated balances from prior years.  The grant awards include SFAG and Supplemental Grants for </t>
  </si>
  <si>
    <t xml:space="preserve">This table shows Federal funds expended in FY 99 only.  Please refer to Table G to see the total amount of Federal funds expended in </t>
  </si>
  <si>
    <t>FY 97, 98 and 99 combined.</t>
  </si>
  <si>
    <t>PERCENTAGES OF FUNDS AVAILABLE</t>
  </si>
  <si>
    <t>PERCENTAGES OF ALL FUNDS AWARDED FY 97 THROUGH FY 99</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</si>
</sst>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General_)"/>
    <numFmt numFmtId="167" formatCode="_(&quot;$&quot;* #,##0.000_);_(&quot;$&quot;* \(#,##0.000\);_(&quot;$&quot;* &quot;-&quot;??_);_(@_)"/>
    <numFmt numFmtId="168" formatCode="_(&quot;$&quot;* #,##0.0_);_(&quot;$&quot;* \(#,##0.0\);_(&quot;$&quot;* &quot;-&quot;??_);_(@_)"/>
    <numFmt numFmtId="169" formatCode="_(&quot;$&quot;* #,##0_);_(&quot;$&quot;* \(#,##0\);_(&quot;$&quot;* &quot;-&quot;??_);_(@_)"/>
    <numFmt numFmtId="170" formatCode="mmm\-dd\-yy"/>
    <numFmt numFmtId="171" formatCode="_(* #,##0.000_);_(* \(#,##0.000\);_(* &quot;-&quot;??_);_(@_)"/>
    <numFmt numFmtId="172" formatCode="_(* #,##0.0000_);_(* \(#,##0.0000\);_(* &quot;-&quot;??_);_(@_)"/>
    <numFmt numFmtId="173" formatCode="_(* #,##0.00000_);_(* \(#,##0.00000\);_(* &quot;-&quot;??_);_(@_)"/>
    <numFmt numFmtId="174" formatCode="0.0%"/>
    <numFmt numFmtId="175" formatCode="_(* #,##0.000000_);_(* \(#,##0.000000\);_(* &quot;-&quot;??_);_(@_)"/>
    <numFmt numFmtId="176" formatCode="0.0"/>
    <numFmt numFmtId="177" formatCode="_(* #,##0.0000000_);_(* \(#,##0.0000000\);_(* &quot;-&quot;??_);_(@_)"/>
    <numFmt numFmtId="178" formatCode="_(* #,##0.00000000_);_(* \(#,##0.00000000\);_(* &quot;-&quot;??_);_(@_)"/>
    <numFmt numFmtId="179" formatCode="_(* #,##0.00000000_);_(* \(#,##0.00000000\);_(* &quot;-&quot;????????_);_(@_)"/>
    <numFmt numFmtId="180" formatCode="_(* #,##0.0000000_);_(* \(#,##0.0000000\);_(* &quot;-&quot;???????_);_(@_)"/>
    <numFmt numFmtId="181" formatCode="&quot;$&quot;#,##0"/>
  </numFmts>
  <fonts count="22">
    <font>
      <sz val="10"/>
      <name val="Arial"/>
      <family val="0"/>
    </font>
    <font>
      <b/>
      <sz val="10"/>
      <name val="Arial"/>
      <family val="0"/>
    </font>
    <font>
      <i/>
      <sz val="10"/>
      <name val="Arial"/>
      <family val="0"/>
    </font>
    <font>
      <b/>
      <i/>
      <sz val="10"/>
      <name val="Arial"/>
      <family val="0"/>
    </font>
    <font>
      <b/>
      <sz val="12"/>
      <name val="Arial"/>
      <family val="2"/>
    </font>
    <font>
      <sz val="11"/>
      <name val="Arial"/>
      <family val="2"/>
    </font>
    <font>
      <b/>
      <sz val="11"/>
      <name val="Arial"/>
      <family val="0"/>
    </font>
    <font>
      <sz val="12"/>
      <name val="Arial"/>
      <family val="2"/>
    </font>
    <font>
      <sz val="9"/>
      <name val="Arial"/>
      <family val="0"/>
    </font>
    <font>
      <b/>
      <sz val="9"/>
      <name val="Univers (W1)"/>
      <family val="2"/>
    </font>
    <font>
      <sz val="9"/>
      <name val="Univers (W1)"/>
      <family val="2"/>
    </font>
    <font>
      <sz val="8"/>
      <name val="Univers (W1)"/>
      <family val="2"/>
    </font>
    <font>
      <i/>
      <u val="single"/>
      <sz val="9"/>
      <name val="Univers (W1)"/>
      <family val="2"/>
    </font>
    <font>
      <sz val="8"/>
      <name val="Arial"/>
      <family val="0"/>
    </font>
    <font>
      <b/>
      <sz val="9"/>
      <name val="Arial"/>
      <family val="2"/>
    </font>
    <font>
      <sz val="13.75"/>
      <name val="Arial"/>
      <family val="2"/>
    </font>
    <font>
      <b/>
      <sz val="15.75"/>
      <name val="Arial"/>
      <family val="2"/>
    </font>
    <font>
      <sz val="36.75"/>
      <name val="Arial"/>
      <family val="0"/>
    </font>
    <font>
      <b/>
      <sz val="14"/>
      <name val="Arial"/>
      <family val="2"/>
    </font>
    <font>
      <sz val="14"/>
      <name val="Arial"/>
      <family val="2"/>
    </font>
    <font>
      <u val="single"/>
      <sz val="10"/>
      <name val="Arial"/>
      <family val="2"/>
    </font>
    <font>
      <u val="single"/>
      <sz val="10"/>
      <color indexed="12"/>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0" fillId="0" borderId="0">
      <alignment/>
      <protection/>
    </xf>
    <xf numFmtId="9" fontId="0" fillId="0" borderId="0" applyFont="0" applyFill="0" applyBorder="0" applyAlignment="0" applyProtection="0"/>
  </cellStyleXfs>
  <cellXfs count="187">
    <xf numFmtId="0" fontId="0" fillId="0" borderId="0" xfId="0" applyAlignment="1">
      <alignment/>
    </xf>
    <xf numFmtId="0" fontId="1" fillId="0" borderId="0" xfId="0" applyFont="1" applyAlignment="1">
      <alignment/>
    </xf>
    <xf numFmtId="0" fontId="4" fillId="0" borderId="0" xfId="0" applyFont="1" applyAlignment="1">
      <alignment horizontal="centerContinuous"/>
    </xf>
    <xf numFmtId="0" fontId="1"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4" fillId="0" borderId="0" xfId="0" applyFont="1" applyAlignment="1">
      <alignment horizontal="center"/>
    </xf>
    <xf numFmtId="0" fontId="1" fillId="0" borderId="0" xfId="0" applyFont="1" applyAlignment="1">
      <alignment horizontal="center"/>
    </xf>
    <xf numFmtId="165" fontId="1" fillId="0" borderId="1" xfId="15" applyNumberFormat="1" applyFont="1" applyBorder="1" applyAlignment="1">
      <alignment horizontal="center"/>
    </xf>
    <xf numFmtId="0" fontId="1" fillId="0" borderId="1" xfId="0" applyFont="1" applyBorder="1" applyAlignment="1">
      <alignment horizontal="center"/>
    </xf>
    <xf numFmtId="0" fontId="1" fillId="0" borderId="0" xfId="0" applyFont="1" applyAlignment="1">
      <alignment/>
    </xf>
    <xf numFmtId="165" fontId="0" fillId="0" borderId="0" xfId="15" applyNumberFormat="1" applyFont="1" applyAlignment="1">
      <alignment/>
    </xf>
    <xf numFmtId="10" fontId="0" fillId="0" borderId="0" xfId="0" applyNumberFormat="1" applyAlignment="1">
      <alignment/>
    </xf>
    <xf numFmtId="0" fontId="1" fillId="0" borderId="0" xfId="0" applyFont="1" applyFill="1" applyAlignment="1">
      <alignment/>
    </xf>
    <xf numFmtId="165" fontId="0" fillId="0" borderId="0" xfId="15" applyNumberFormat="1" applyFont="1" applyFill="1" applyAlignment="1">
      <alignment/>
    </xf>
    <xf numFmtId="165" fontId="1" fillId="0" borderId="0" xfId="15" applyNumberFormat="1" applyFont="1" applyFill="1" applyAlignment="1">
      <alignment/>
    </xf>
    <xf numFmtId="0" fontId="1" fillId="0" borderId="0" xfId="0" applyFont="1" applyFill="1" applyAlignment="1">
      <alignment/>
    </xf>
    <xf numFmtId="165" fontId="0" fillId="0" borderId="0" xfId="15" applyNumberFormat="1" applyFont="1" applyFill="1" applyAlignment="1">
      <alignment/>
    </xf>
    <xf numFmtId="165" fontId="0" fillId="0" borderId="0" xfId="15" applyNumberFormat="1" applyAlignment="1">
      <alignment/>
    </xf>
    <xf numFmtId="0" fontId="1" fillId="0" borderId="0" xfId="0" applyFont="1" applyFill="1" applyBorder="1" applyAlignment="1">
      <alignment/>
    </xf>
    <xf numFmtId="165" fontId="0" fillId="0" borderId="0" xfId="15" applyNumberFormat="1" applyFont="1" applyFill="1" applyBorder="1" applyAlignment="1">
      <alignment/>
    </xf>
    <xf numFmtId="165" fontId="1" fillId="0" borderId="0" xfId="15" applyNumberFormat="1" applyFont="1" applyFill="1" applyBorder="1" applyAlignment="1">
      <alignment/>
    </xf>
    <xf numFmtId="0" fontId="1" fillId="0" borderId="2" xfId="0" applyFont="1" applyFill="1" applyBorder="1" applyAlignment="1">
      <alignment/>
    </xf>
    <xf numFmtId="5" fontId="1" fillId="0" borderId="0" xfId="0" applyNumberFormat="1" applyFont="1" applyFill="1" applyBorder="1" applyAlignment="1">
      <alignment/>
    </xf>
    <xf numFmtId="14" fontId="0" fillId="0" borderId="0" xfId="15" applyNumberFormat="1" applyAlignment="1">
      <alignment/>
    </xf>
    <xf numFmtId="0" fontId="5" fillId="0" borderId="0" xfId="0" applyFont="1" applyAlignment="1">
      <alignment/>
    </xf>
    <xf numFmtId="0" fontId="1" fillId="0" borderId="0" xfId="0" applyFont="1" applyAlignment="1">
      <alignment/>
    </xf>
    <xf numFmtId="0" fontId="6" fillId="0" borderId="0" xfId="0" applyFont="1" applyAlignment="1">
      <alignment/>
    </xf>
    <xf numFmtId="0" fontId="4" fillId="0" borderId="0" xfId="0" applyFont="1" applyAlignment="1">
      <alignment horizontal="centerContinuous"/>
    </xf>
    <xf numFmtId="0" fontId="1" fillId="0" borderId="0" xfId="0" applyFont="1" applyAlignment="1">
      <alignment horizontal="center"/>
    </xf>
    <xf numFmtId="165" fontId="0" fillId="0" borderId="0" xfId="15" applyNumberFormat="1" applyFont="1" applyAlignment="1">
      <alignment/>
    </xf>
    <xf numFmtId="0" fontId="1" fillId="0" borderId="3" xfId="0" applyFont="1" applyBorder="1" applyAlignment="1">
      <alignment/>
    </xf>
    <xf numFmtId="0" fontId="1" fillId="0" borderId="2" xfId="0" applyFont="1" applyBorder="1" applyAlignment="1">
      <alignment/>
    </xf>
    <xf numFmtId="165" fontId="0" fillId="0" borderId="0" xfId="0" applyNumberFormat="1" applyAlignment="1">
      <alignment/>
    </xf>
    <xf numFmtId="9" fontId="0" fillId="0" borderId="0" xfId="21" applyFont="1" applyAlignment="1">
      <alignment/>
    </xf>
    <xf numFmtId="9" fontId="0" fillId="0" borderId="0" xfId="21" applyFont="1" applyAlignment="1">
      <alignment horizontal="center"/>
    </xf>
    <xf numFmtId="9" fontId="1" fillId="0" borderId="0" xfId="21" applyFont="1" applyAlignment="1">
      <alignment/>
    </xf>
    <xf numFmtId="165" fontId="0" fillId="0" borderId="0" xfId="15" applyNumberFormat="1" applyFont="1" applyBorder="1" applyAlignment="1">
      <alignment/>
    </xf>
    <xf numFmtId="0" fontId="1" fillId="0" borderId="0" xfId="0" applyFont="1" applyBorder="1" applyAlignment="1">
      <alignment horizontal="center"/>
    </xf>
    <xf numFmtId="0" fontId="0" fillId="0" borderId="0" xfId="0" applyAlignment="1">
      <alignment/>
    </xf>
    <xf numFmtId="165" fontId="0" fillId="0" borderId="0" xfId="15" applyNumberFormat="1" applyAlignment="1">
      <alignment/>
    </xf>
    <xf numFmtId="165" fontId="1" fillId="0" borderId="0" xfId="15" applyNumberFormat="1" applyFont="1" applyAlignment="1">
      <alignment/>
    </xf>
    <xf numFmtId="9" fontId="0" fillId="0" borderId="0" xfId="21" applyAlignment="1">
      <alignment/>
    </xf>
    <xf numFmtId="0" fontId="1" fillId="0" borderId="0" xfId="0" applyFont="1" applyBorder="1" applyAlignment="1">
      <alignment/>
    </xf>
    <xf numFmtId="0" fontId="4" fillId="0" borderId="0" xfId="0" applyFont="1" applyAlignment="1">
      <alignment/>
    </xf>
    <xf numFmtId="9" fontId="0" fillId="0" borderId="0" xfId="15" applyNumberFormat="1" applyAlignment="1">
      <alignment/>
    </xf>
    <xf numFmtId="9" fontId="0" fillId="0" borderId="0" xfId="0" applyNumberFormat="1" applyAlignment="1">
      <alignment/>
    </xf>
    <xf numFmtId="5" fontId="0" fillId="0" borderId="0" xfId="0" applyNumberFormat="1" applyAlignment="1">
      <alignment/>
    </xf>
    <xf numFmtId="5" fontId="1" fillId="0" borderId="0" xfId="0" applyNumberFormat="1" applyFont="1" applyAlignment="1">
      <alignment horizontal="center"/>
    </xf>
    <xf numFmtId="165" fontId="1" fillId="0" borderId="0" xfId="0" applyNumberFormat="1" applyFont="1" applyAlignment="1">
      <alignment/>
    </xf>
    <xf numFmtId="0" fontId="8" fillId="0" borderId="0" xfId="0" applyFont="1" applyAlignment="1">
      <alignment/>
    </xf>
    <xf numFmtId="0" fontId="9" fillId="0" borderId="0" xfId="0" applyFont="1" applyAlignment="1">
      <alignment horizontal="centerContinuous"/>
    </xf>
    <xf numFmtId="0" fontId="9" fillId="0" borderId="0" xfId="0" applyFont="1" applyAlignment="1">
      <alignment horizontal="centerContinuous"/>
    </xf>
    <xf numFmtId="165" fontId="9" fillId="0" borderId="0" xfId="15" applyNumberFormat="1" applyFont="1" applyAlignment="1">
      <alignment horizontal="centerContinuous"/>
    </xf>
    <xf numFmtId="0" fontId="10" fillId="0" borderId="0" xfId="0" applyFont="1" applyAlignment="1">
      <alignment/>
    </xf>
    <xf numFmtId="0" fontId="11" fillId="0" borderId="0" xfId="0" applyFont="1" applyAlignment="1">
      <alignment/>
    </xf>
    <xf numFmtId="165" fontId="10" fillId="0" borderId="0" xfId="15" applyNumberFormat="1" applyFont="1" applyAlignment="1">
      <alignment/>
    </xf>
    <xf numFmtId="0" fontId="10" fillId="0" borderId="4" xfId="0" applyFont="1" applyBorder="1" applyAlignment="1">
      <alignment/>
    </xf>
    <xf numFmtId="0" fontId="10" fillId="0" borderId="4" xfId="0" applyFont="1" applyBorder="1" applyAlignment="1">
      <alignment horizontal="center"/>
    </xf>
    <xf numFmtId="0" fontId="12" fillId="0" borderId="4" xfId="0" applyFont="1" applyBorder="1" applyAlignment="1">
      <alignment horizontal="centerContinuous"/>
    </xf>
    <xf numFmtId="0" fontId="8" fillId="0" borderId="4" xfId="0" applyFont="1" applyBorder="1" applyAlignment="1">
      <alignment horizontal="centerContinuous"/>
    </xf>
    <xf numFmtId="0" fontId="10" fillId="0" borderId="1" xfId="0" applyFont="1" applyBorder="1" applyAlignment="1" applyProtection="1">
      <alignment horizontal="left"/>
      <protection/>
    </xf>
    <xf numFmtId="0" fontId="10" fillId="0" borderId="1" xfId="0" applyFont="1" applyBorder="1" applyAlignment="1">
      <alignment horizontal="center"/>
    </xf>
    <xf numFmtId="165" fontId="10" fillId="0" borderId="1" xfId="15" applyNumberFormat="1" applyFont="1" applyBorder="1" applyAlignment="1">
      <alignment horizontal="center"/>
    </xf>
    <xf numFmtId="0" fontId="10" fillId="0" borderId="0" xfId="0" applyFont="1" applyAlignment="1" applyProtection="1">
      <alignment horizontal="left"/>
      <protection/>
    </xf>
    <xf numFmtId="5" fontId="10" fillId="0" borderId="0" xfId="17" applyNumberFormat="1" applyFont="1" applyAlignment="1">
      <alignment/>
    </xf>
    <xf numFmtId="165" fontId="10" fillId="0" borderId="1" xfId="15" applyNumberFormat="1" applyFont="1" applyBorder="1" applyAlignment="1">
      <alignment/>
    </xf>
    <xf numFmtId="0" fontId="9" fillId="0" borderId="2" xfId="0" applyFont="1" applyBorder="1" applyAlignment="1" applyProtection="1">
      <alignment horizontal="left"/>
      <protection/>
    </xf>
    <xf numFmtId="5" fontId="9" fillId="0" borderId="2" xfId="17" applyNumberFormat="1" applyFont="1" applyBorder="1" applyAlignment="1">
      <alignment/>
    </xf>
    <xf numFmtId="14" fontId="10" fillId="0" borderId="0" xfId="0" applyNumberFormat="1" applyFont="1" applyAlignment="1">
      <alignment/>
    </xf>
    <xf numFmtId="0" fontId="13" fillId="0" borderId="0" xfId="0" applyFont="1" applyAlignment="1">
      <alignment/>
    </xf>
    <xf numFmtId="165" fontId="0" fillId="0" borderId="0" xfId="15" applyNumberFormat="1" applyFont="1" applyAlignment="1">
      <alignment/>
    </xf>
    <xf numFmtId="0" fontId="9" fillId="0" borderId="0" xfId="0" applyFont="1" applyAlignment="1" applyProtection="1">
      <alignment horizontal="left"/>
      <protection/>
    </xf>
    <xf numFmtId="173" fontId="0" fillId="0" borderId="0" xfId="15" applyNumberFormat="1" applyFont="1" applyAlignment="1">
      <alignment/>
    </xf>
    <xf numFmtId="178" fontId="0" fillId="0" borderId="0" xfId="15" applyNumberFormat="1" applyFont="1" applyAlignment="1">
      <alignment/>
    </xf>
    <xf numFmtId="0" fontId="14" fillId="0" borderId="0" xfId="0" applyFont="1" applyAlignment="1" applyProtection="1">
      <alignment horizontal="left"/>
      <protection/>
    </xf>
    <xf numFmtId="177" fontId="0" fillId="0" borderId="0" xfId="15" applyNumberFormat="1" applyAlignment="1">
      <alignment/>
    </xf>
    <xf numFmtId="178" fontId="0" fillId="0" borderId="0" xfId="15" applyNumberFormat="1" applyAlignment="1">
      <alignment/>
    </xf>
    <xf numFmtId="0" fontId="9" fillId="0" borderId="1" xfId="0" applyFont="1" applyBorder="1" applyAlignment="1" applyProtection="1">
      <alignment horizontal="left"/>
      <protection/>
    </xf>
    <xf numFmtId="165" fontId="0" fillId="0" borderId="0" xfId="21" applyNumberFormat="1" applyAlignment="1">
      <alignment/>
    </xf>
    <xf numFmtId="9" fontId="1" fillId="0" borderId="0" xfId="15" applyNumberFormat="1" applyFont="1" applyAlignment="1">
      <alignment/>
    </xf>
    <xf numFmtId="9" fontId="1" fillId="0" borderId="0" xfId="0" applyNumberFormat="1" applyFont="1" applyAlignment="1">
      <alignment/>
    </xf>
    <xf numFmtId="9" fontId="1" fillId="0" borderId="0" xfId="21" applyFont="1" applyAlignment="1">
      <alignment/>
    </xf>
    <xf numFmtId="37" fontId="0" fillId="0" borderId="0" xfId="0" applyNumberFormat="1" applyAlignment="1">
      <alignment/>
    </xf>
    <xf numFmtId="0" fontId="18" fillId="0" borderId="0" xfId="19" applyFont="1" applyAlignment="1">
      <alignment/>
      <protection/>
    </xf>
    <xf numFmtId="0" fontId="7" fillId="0" borderId="0" xfId="19">
      <alignment/>
      <protection/>
    </xf>
    <xf numFmtId="14" fontId="0" fillId="0" borderId="0" xfId="19" applyNumberFormat="1" applyFont="1">
      <alignment/>
      <protection/>
    </xf>
    <xf numFmtId="0" fontId="7" fillId="0" borderId="0" xfId="19" applyAlignment="1">
      <alignment horizontal="center"/>
      <protection/>
    </xf>
    <xf numFmtId="0" fontId="7" fillId="0" borderId="5" xfId="19" applyBorder="1" applyAlignment="1">
      <alignment horizontal="center"/>
      <protection/>
    </xf>
    <xf numFmtId="0" fontId="7" fillId="0" borderId="6" xfId="19" applyBorder="1" applyAlignment="1">
      <alignment horizontal="center"/>
      <protection/>
    </xf>
    <xf numFmtId="0" fontId="7" fillId="0" borderId="7" xfId="19" applyBorder="1" applyAlignment="1">
      <alignment horizontal="center"/>
      <protection/>
    </xf>
    <xf numFmtId="0" fontId="7" fillId="0" borderId="5" xfId="19" applyBorder="1">
      <alignment/>
      <protection/>
    </xf>
    <xf numFmtId="0" fontId="7" fillId="0" borderId="8" xfId="19" applyBorder="1">
      <alignment/>
      <protection/>
    </xf>
    <xf numFmtId="0" fontId="7" fillId="0" borderId="9" xfId="19" applyBorder="1">
      <alignment/>
      <protection/>
    </xf>
    <xf numFmtId="5" fontId="7" fillId="0" borderId="7" xfId="19" applyNumberFormat="1" applyBorder="1">
      <alignment/>
      <protection/>
    </xf>
    <xf numFmtId="41" fontId="7" fillId="0" borderId="7" xfId="19" applyNumberFormat="1" applyBorder="1">
      <alignment/>
      <protection/>
    </xf>
    <xf numFmtId="5" fontId="7" fillId="0" borderId="10" xfId="19" applyNumberFormat="1" applyBorder="1">
      <alignment/>
      <protection/>
    </xf>
    <xf numFmtId="41" fontId="7" fillId="0" borderId="10" xfId="19" applyNumberFormat="1" applyBorder="1">
      <alignment/>
      <protection/>
    </xf>
    <xf numFmtId="41" fontId="7" fillId="0" borderId="6" xfId="19" applyNumberFormat="1" applyBorder="1">
      <alignment/>
      <protection/>
    </xf>
    <xf numFmtId="0" fontId="7" fillId="0" borderId="6" xfId="19" applyBorder="1">
      <alignment/>
      <protection/>
    </xf>
    <xf numFmtId="0" fontId="7" fillId="0" borderId="11" xfId="19" applyBorder="1">
      <alignment/>
      <protection/>
    </xf>
    <xf numFmtId="41" fontId="7" fillId="0" borderId="0" xfId="19" applyNumberFormat="1" applyBorder="1">
      <alignment/>
      <protection/>
    </xf>
    <xf numFmtId="0" fontId="7" fillId="0" borderId="0" xfId="19" applyBorder="1">
      <alignment/>
      <protection/>
    </xf>
    <xf numFmtId="5" fontId="7" fillId="0" borderId="0" xfId="19" applyNumberFormat="1">
      <alignment/>
      <protection/>
    </xf>
    <xf numFmtId="9" fontId="7" fillId="0" borderId="0" xfId="19" applyNumberFormat="1">
      <alignment/>
      <protection/>
    </xf>
    <xf numFmtId="165" fontId="7" fillId="0" borderId="0" xfId="15" applyNumberFormat="1" applyFont="1" applyAlignment="1">
      <alignment/>
    </xf>
    <xf numFmtId="165" fontId="7" fillId="0" borderId="0" xfId="19" applyNumberFormat="1">
      <alignment/>
      <protection/>
    </xf>
    <xf numFmtId="0" fontId="5" fillId="0" borderId="0" xfId="19" applyFont="1">
      <alignment/>
      <protection/>
    </xf>
    <xf numFmtId="0" fontId="4" fillId="0" borderId="0" xfId="19" applyFont="1">
      <alignment/>
      <protection/>
    </xf>
    <xf numFmtId="0" fontId="0" fillId="0" borderId="0" xfId="19" applyFont="1" applyAlignment="1">
      <alignment/>
      <protection/>
    </xf>
    <xf numFmtId="0" fontId="1" fillId="0" borderId="0" xfId="19" applyFont="1" applyAlignment="1">
      <alignment horizontal="centerContinuous"/>
      <protection/>
    </xf>
    <xf numFmtId="0" fontId="0" fillId="0" borderId="0" xfId="19" applyFont="1">
      <alignment/>
      <protection/>
    </xf>
    <xf numFmtId="0" fontId="4" fillId="0" borderId="0" xfId="19" applyFont="1" applyAlignment="1">
      <alignment horizontal="center"/>
      <protection/>
    </xf>
    <xf numFmtId="0" fontId="4" fillId="0" borderId="0" xfId="20" applyFont="1" applyAlignment="1">
      <alignment horizontal="center"/>
      <protection/>
    </xf>
    <xf numFmtId="0" fontId="1" fillId="0" borderId="0" xfId="19" applyFont="1" applyAlignment="1">
      <alignment horizontal="center"/>
      <protection/>
    </xf>
    <xf numFmtId="0" fontId="1" fillId="0" borderId="0" xfId="20" applyFont="1" applyAlignment="1">
      <alignment horizontal="center"/>
      <protection/>
    </xf>
    <xf numFmtId="0" fontId="1" fillId="0" borderId="1" xfId="19" applyFont="1" applyBorder="1" applyAlignment="1">
      <alignment horizontal="center"/>
      <protection/>
    </xf>
    <xf numFmtId="0" fontId="1" fillId="0" borderId="1" xfId="20" applyFont="1" applyBorder="1" applyAlignment="1">
      <alignment horizontal="center"/>
      <protection/>
    </xf>
    <xf numFmtId="0" fontId="1" fillId="0" borderId="0" xfId="19" applyFont="1" applyBorder="1" applyAlignment="1">
      <alignment horizontal="center"/>
      <protection/>
    </xf>
    <xf numFmtId="0" fontId="1" fillId="0" borderId="0" xfId="19" applyFont="1">
      <alignment/>
      <protection/>
    </xf>
    <xf numFmtId="41" fontId="0" fillId="0" borderId="0" xfId="19" applyNumberFormat="1" applyFont="1">
      <alignment/>
      <protection/>
    </xf>
    <xf numFmtId="165" fontId="0" fillId="0" borderId="0" xfId="15" applyNumberFormat="1" applyFont="1" applyBorder="1" applyAlignment="1">
      <alignment horizontal="center"/>
    </xf>
    <xf numFmtId="43" fontId="0" fillId="0" borderId="0" xfId="15" applyFont="1" applyBorder="1" applyAlignment="1">
      <alignment horizontal="center"/>
    </xf>
    <xf numFmtId="0" fontId="1" fillId="0" borderId="0" xfId="20" applyFont="1">
      <alignment/>
      <protection/>
    </xf>
    <xf numFmtId="0" fontId="1" fillId="0" borderId="0" xfId="20" applyFont="1" applyFill="1">
      <alignment/>
      <protection/>
    </xf>
    <xf numFmtId="0" fontId="1" fillId="0" borderId="0" xfId="20" applyFont="1" applyFill="1">
      <alignment/>
      <protection/>
    </xf>
    <xf numFmtId="0" fontId="1" fillId="0" borderId="0" xfId="20" applyFont="1" applyFill="1" applyBorder="1">
      <alignment/>
      <protection/>
    </xf>
    <xf numFmtId="181" fontId="0" fillId="0" borderId="0" xfId="19" applyNumberFormat="1" applyFont="1">
      <alignment/>
      <protection/>
    </xf>
    <xf numFmtId="5" fontId="1" fillId="0" borderId="0" xfId="19" applyNumberFormat="1" applyFont="1">
      <alignment/>
      <protection/>
    </xf>
    <xf numFmtId="0" fontId="1" fillId="0" borderId="0" xfId="19" applyFont="1">
      <alignment/>
      <protection/>
    </xf>
    <xf numFmtId="0" fontId="4" fillId="0" borderId="0" xfId="19" applyFont="1" applyAlignment="1">
      <alignment horizontal="centerContinuous"/>
      <protection/>
    </xf>
    <xf numFmtId="10" fontId="7" fillId="0" borderId="0" xfId="19" applyNumberFormat="1">
      <alignment/>
      <protection/>
    </xf>
    <xf numFmtId="0" fontId="1" fillId="0" borderId="0" xfId="19" applyFont="1" applyFill="1">
      <alignment/>
      <protection/>
    </xf>
    <xf numFmtId="0" fontId="1" fillId="0" borderId="0" xfId="19" applyFont="1" applyFill="1">
      <alignment/>
      <protection/>
    </xf>
    <xf numFmtId="0" fontId="1" fillId="0" borderId="0" xfId="19" applyFont="1" applyFill="1" applyBorder="1">
      <alignment/>
      <protection/>
    </xf>
    <xf numFmtId="0" fontId="1" fillId="0" borderId="2" xfId="19" applyFont="1" applyFill="1" applyBorder="1">
      <alignment/>
      <protection/>
    </xf>
    <xf numFmtId="5" fontId="1" fillId="0" borderId="0" xfId="19" applyNumberFormat="1" applyFont="1" applyFill="1" applyBorder="1">
      <alignment/>
      <protection/>
    </xf>
    <xf numFmtId="165" fontId="1" fillId="0" borderId="0" xfId="19" applyNumberFormat="1" applyFont="1" applyFill="1" applyBorder="1">
      <alignment/>
      <protection/>
    </xf>
    <xf numFmtId="0" fontId="6" fillId="0" borderId="0" xfId="19" applyFont="1">
      <alignment/>
      <protection/>
    </xf>
    <xf numFmtId="0" fontId="4" fillId="0" borderId="0" xfId="19" applyFont="1" applyAlignment="1">
      <alignment horizontal="left"/>
      <protection/>
    </xf>
    <xf numFmtId="0" fontId="1" fillId="0" borderId="0" xfId="20" applyFont="1" applyAlignment="1">
      <alignment horizontal="centerContinuous"/>
      <protection/>
    </xf>
    <xf numFmtId="0" fontId="4" fillId="0" borderId="0" xfId="20" applyFont="1" applyFill="1" applyAlignment="1">
      <alignment horizontal="center"/>
      <protection/>
    </xf>
    <xf numFmtId="0" fontId="0" fillId="0" borderId="0" xfId="20" applyFont="1">
      <alignment/>
      <protection/>
    </xf>
    <xf numFmtId="0" fontId="1" fillId="0" borderId="0" xfId="20" applyFont="1" applyFill="1" applyAlignment="1">
      <alignment horizontal="center"/>
      <protection/>
    </xf>
    <xf numFmtId="0" fontId="0" fillId="0" borderId="0" xfId="20">
      <alignment/>
      <protection/>
    </xf>
    <xf numFmtId="165" fontId="1" fillId="0" borderId="0" xfId="15" applyNumberFormat="1" applyFont="1" applyBorder="1" applyAlignment="1">
      <alignment horizontal="center"/>
    </xf>
    <xf numFmtId="0" fontId="1" fillId="0" borderId="1" xfId="20" applyFont="1" applyFill="1" applyBorder="1" applyAlignment="1">
      <alignment horizontal="center"/>
      <protection/>
    </xf>
    <xf numFmtId="165" fontId="1" fillId="0" borderId="0" xfId="19" applyNumberFormat="1" applyFont="1">
      <alignment/>
      <protection/>
    </xf>
    <xf numFmtId="9" fontId="6" fillId="0" borderId="0" xfId="21" applyFont="1" applyAlignment="1">
      <alignment/>
    </xf>
    <xf numFmtId="174" fontId="6" fillId="0" borderId="0" xfId="21" applyNumberFormat="1" applyFont="1" applyAlignment="1">
      <alignment/>
    </xf>
    <xf numFmtId="165" fontId="6" fillId="0" borderId="0" xfId="15" applyNumberFormat="1" applyFont="1" applyAlignment="1">
      <alignment/>
    </xf>
    <xf numFmtId="9" fontId="6" fillId="0" borderId="0" xfId="15" applyNumberFormat="1" applyFont="1" applyAlignment="1">
      <alignment/>
    </xf>
    <xf numFmtId="0" fontId="1" fillId="0" borderId="0" xfId="19" applyFont="1" applyAlignment="1">
      <alignment/>
      <protection/>
    </xf>
    <xf numFmtId="0" fontId="1" fillId="0" borderId="0" xfId="20" applyFont="1">
      <alignment/>
      <protection/>
    </xf>
    <xf numFmtId="0" fontId="4" fillId="0" borderId="0" xfId="20" applyFont="1" applyAlignment="1">
      <alignment horizontal="centerContinuous"/>
      <protection/>
    </xf>
    <xf numFmtId="15" fontId="1" fillId="0" borderId="0" xfId="20" applyNumberFormat="1" applyFont="1" applyAlignment="1">
      <alignment horizontal="centerContinuous"/>
      <protection/>
    </xf>
    <xf numFmtId="0" fontId="0" fillId="0" borderId="0" xfId="20" applyFont="1" applyAlignment="1">
      <alignment/>
      <protection/>
    </xf>
    <xf numFmtId="0" fontId="0" fillId="0" borderId="0" xfId="20" applyFont="1">
      <alignment/>
      <protection/>
    </xf>
    <xf numFmtId="10" fontId="0" fillId="0" borderId="0" xfId="20" applyNumberFormat="1">
      <alignment/>
      <protection/>
    </xf>
    <xf numFmtId="165" fontId="0" fillId="0" borderId="0" xfId="20" applyNumberFormat="1">
      <alignment/>
      <protection/>
    </xf>
    <xf numFmtId="165" fontId="0" fillId="0" borderId="0" xfId="20" applyNumberFormat="1" applyFont="1">
      <alignment/>
      <protection/>
    </xf>
    <xf numFmtId="0" fontId="1" fillId="0" borderId="2" xfId="20" applyFont="1" applyFill="1" applyBorder="1">
      <alignment/>
      <protection/>
    </xf>
    <xf numFmtId="5" fontId="1" fillId="0" borderId="0" xfId="20" applyNumberFormat="1" applyFont="1" applyFill="1" applyBorder="1">
      <alignment/>
      <protection/>
    </xf>
    <xf numFmtId="9" fontId="6" fillId="0" borderId="0" xfId="21" applyNumberFormat="1" applyFont="1" applyAlignment="1">
      <alignment/>
    </xf>
    <xf numFmtId="0" fontId="5" fillId="0" borderId="0" xfId="20" applyFont="1">
      <alignment/>
      <protection/>
    </xf>
    <xf numFmtId="0" fontId="1" fillId="0" borderId="0" xfId="20" applyFont="1" applyAlignment="1">
      <alignment/>
      <protection/>
    </xf>
    <xf numFmtId="0" fontId="6" fillId="0" borderId="0" xfId="20" applyFont="1">
      <alignment/>
      <protection/>
    </xf>
    <xf numFmtId="5" fontId="0" fillId="0" borderId="0" xfId="20" applyNumberFormat="1">
      <alignment/>
      <protection/>
    </xf>
    <xf numFmtId="0" fontId="1" fillId="0" borderId="0" xfId="0" applyFont="1" applyAlignment="1">
      <alignment horizontal="left"/>
    </xf>
    <xf numFmtId="0" fontId="7" fillId="0" borderId="0" xfId="19" applyFont="1">
      <alignment/>
      <protection/>
    </xf>
    <xf numFmtId="165" fontId="7" fillId="0" borderId="0" xfId="19" applyNumberFormat="1" applyFont="1">
      <alignment/>
      <protection/>
    </xf>
    <xf numFmtId="0" fontId="5" fillId="0" borderId="0" xfId="19" applyFont="1" applyAlignment="1">
      <alignment/>
      <protection/>
    </xf>
    <xf numFmtId="41" fontId="0" fillId="0" borderId="0" xfId="0" applyNumberFormat="1" applyAlignment="1">
      <alignment/>
    </xf>
    <xf numFmtId="181" fontId="0" fillId="0" borderId="0" xfId="0" applyNumberFormat="1" applyAlignment="1">
      <alignment/>
    </xf>
    <xf numFmtId="0" fontId="4" fillId="0" borderId="0" xfId="0" applyFont="1" applyAlignment="1">
      <alignment/>
    </xf>
    <xf numFmtId="41" fontId="0" fillId="0" borderId="1" xfId="0" applyNumberFormat="1" applyBorder="1" applyAlignment="1">
      <alignment/>
    </xf>
    <xf numFmtId="174" fontId="0" fillId="0" borderId="0" xfId="0" applyNumberFormat="1" applyAlignment="1">
      <alignment/>
    </xf>
    <xf numFmtId="0" fontId="1" fillId="0" borderId="0" xfId="20" applyFont="1" applyBorder="1" applyAlignment="1">
      <alignment horizontal="center"/>
      <protection/>
    </xf>
    <xf numFmtId="0" fontId="1" fillId="0" borderId="0" xfId="20" applyFont="1" applyFill="1" applyBorder="1" applyAlignment="1">
      <alignment horizontal="center"/>
      <protection/>
    </xf>
    <xf numFmtId="0" fontId="4" fillId="0" borderId="0" xfId="19" applyFont="1" applyAlignment="1">
      <alignment/>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49" fontId="7" fillId="0" borderId="0" xfId="19" applyNumberFormat="1" applyFont="1" applyAlignment="1">
      <alignment vertical="top" wrapText="1"/>
      <protection/>
    </xf>
    <xf numFmtId="0" fontId="0" fillId="0" borderId="0" xfId="0" applyAlignment="1">
      <alignment horizontal="center"/>
    </xf>
    <xf numFmtId="0" fontId="1" fillId="0" borderId="0" xfId="0" applyFont="1" applyAlignment="1">
      <alignment horizontal="center"/>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Normal_2qt99fed" xfId="19"/>
    <cellStyle name="Normal_97IN4Q98"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chartsheet" Target="chartsheets/sheet1.xml" /><Relationship Id="rId13" Type="http://schemas.openxmlformats.org/officeDocument/2006/relationships/chartsheet" Target="chartsheets/sheet2.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HOW STATES
 USED FY 99
 TANF FEDERAL FUNDS
</a:t>
            </a:r>
            <a:r>
              <a:rPr lang="en-US" cap="none" sz="1000" b="1" i="0" u="none" baseline="0">
                <a:latin typeface="Arial"/>
                <a:ea typeface="Arial"/>
                <a:cs typeface="Arial"/>
              </a:rPr>
              <a:t>THROUGH 2nd QUARTER</a:t>
            </a:r>
            <a:r>
              <a:rPr lang="en-US" cap="none" sz="1200" b="1" i="0" u="none" baseline="0">
                <a:latin typeface="Arial"/>
                <a:ea typeface="Arial"/>
                <a:cs typeface="Arial"/>
              </a:rPr>
              <a:t>
</a:t>
            </a:r>
          </a:p>
        </c:rich>
      </c:tx>
      <c:layout>
        <c:manualLayout>
          <c:xMode val="factor"/>
          <c:yMode val="factor"/>
          <c:x val="-0.3535"/>
          <c:y val="-0.016"/>
        </c:manualLayout>
      </c:layout>
      <c:spPr>
        <a:noFill/>
        <a:ln>
          <a:noFill/>
        </a:ln>
      </c:spPr>
    </c:title>
    <c:plotArea>
      <c:layout>
        <c:manualLayout>
          <c:xMode val="edge"/>
          <c:yMode val="edge"/>
          <c:x val="0.05275"/>
          <c:y val="0.15025"/>
          <c:w val="0.58575"/>
          <c:h val="0.7765"/>
        </c:manualLayout>
      </c:layout>
      <c:pieChart>
        <c:varyColors val="1"/>
        <c:ser>
          <c:idx val="0"/>
          <c:order val="0"/>
          <c:spPr>
            <a:ln w="12700">
              <a:solidFill>
                <a:srgbClr val="FFFFFF"/>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dkHorz">
                <a:fgClr>
                  <a:srgbClr val="FFFFFF"/>
                </a:fgClr>
                <a:bgClr>
                  <a:srgbClr val="000000"/>
                </a:bgClr>
              </a:pattFill>
              <a:ln w="12700">
                <a:solidFill>
                  <a:srgbClr val="FFFFFF"/>
                </a:solidFill>
              </a:ln>
            </c:spPr>
          </c:dPt>
          <c:dPt>
            <c:idx val="1"/>
            <c:spPr>
              <a:solidFill>
                <a:srgbClr val="000000"/>
              </a:solidFill>
              <a:ln w="12700">
                <a:solidFill>
                  <a:srgbClr val="000000"/>
                </a:solidFill>
              </a:ln>
            </c:spPr>
          </c:dPt>
          <c:dPt>
            <c:idx val="2"/>
            <c:spPr>
              <a:pattFill prst="dkUpDiag">
                <a:fgClr>
                  <a:srgbClr val="FFFFFF"/>
                </a:fgClr>
                <a:bgClr>
                  <a:srgbClr val="000000"/>
                </a:bgClr>
              </a:pattFill>
              <a:ln w="12700">
                <a:solidFill>
                  <a:srgbClr val="FFFFFF"/>
                </a:solidFill>
              </a:ln>
            </c:spPr>
          </c:dPt>
          <c:dPt>
            <c:idx val="3"/>
            <c:spPr>
              <a:pattFill prst="smGrid">
                <a:fgClr>
                  <a:srgbClr val="FFFFFF"/>
                </a:fgClr>
                <a:bgClr>
                  <a:srgbClr val="000000"/>
                </a:bgClr>
              </a:pattFill>
              <a:ln w="12700">
                <a:solidFill>
                  <a:srgbClr val="FFFFFF"/>
                </a:solidFill>
              </a:ln>
            </c:spPr>
          </c:dPt>
          <c:dPt>
            <c:idx val="4"/>
            <c:spPr>
              <a:pattFill prst="smCheck">
                <a:fgClr>
                  <a:srgbClr val="FFFFFF"/>
                </a:fgClr>
                <a:bgClr>
                  <a:srgbClr val="FFFFFF"/>
                </a:bgClr>
              </a:pattFill>
              <a:ln w="12700">
                <a:solidFill>
                  <a:srgbClr val="000000"/>
                </a:solidFill>
              </a:ln>
            </c:spPr>
          </c:dPt>
          <c:dLbls>
            <c:dLbl>
              <c:idx val="0"/>
              <c:numFmt formatCode="General" sourceLinked="1"/>
              <c:spPr>
                <a:noFill/>
                <a:ln>
                  <a:noFill/>
                </a:ln>
              </c:spPr>
              <c:showLegendKey val="0"/>
              <c:showVal val="1"/>
              <c:showBubbleSize val="0"/>
              <c:showCatName val="0"/>
              <c:showSerName val="0"/>
              <c:showPercent val="0"/>
            </c:dLbl>
            <c:dLbl>
              <c:idx val="1"/>
              <c:numFmt formatCode="General" sourceLinked="1"/>
              <c:spPr>
                <a:noFill/>
                <a:ln>
                  <a:noFill/>
                </a:ln>
              </c:spPr>
              <c:showLegendKey val="0"/>
              <c:showVal val="1"/>
              <c:showBubbleSize val="0"/>
              <c:showCatName val="0"/>
              <c:showSerName val="0"/>
              <c:showPercent val="0"/>
            </c:dLbl>
            <c:dLbl>
              <c:idx val="2"/>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numFmt formatCode="General" sourceLinked="1"/>
            <c:spPr>
              <a:noFill/>
              <a:ln>
                <a:noFill/>
              </a:ln>
            </c:spPr>
            <c:dLblPos val="outEnd"/>
            <c:showLegendKey val="0"/>
            <c:showVal val="1"/>
            <c:showBubbleSize val="0"/>
            <c:showCatName val="0"/>
            <c:showSerName val="0"/>
            <c:showLeaderLines val="0"/>
            <c:showPercent val="0"/>
          </c:dLbls>
          <c:cat>
            <c:strRef>
              <c:f>'chart data'!$C$36:$G$36</c:f>
              <c:strCache>
                <c:ptCount val="5"/>
                <c:pt idx="0">
                  <c:v>TRANSFERRED TO CCDF $510,073,900</c:v>
                </c:pt>
                <c:pt idx="1">
                  <c:v>TRANSFERRED TO SSBG $292,256,800</c:v>
                </c:pt>
                <c:pt idx="2">
                  <c:v>TOTAL EXPENDITURES $4,081,062,200</c:v>
                </c:pt>
                <c:pt idx="3">
                  <c:v>UNLIQUIDATED OBLIGATIONS $803,994,800</c:v>
                </c:pt>
                <c:pt idx="4">
                  <c:v>UNOBLIGATED BALANCE $2,493,074,400</c:v>
                </c:pt>
              </c:strCache>
            </c:strRef>
          </c:cat>
          <c:val>
            <c:numRef>
              <c:f>'chart data'!$C$37:$G$37</c:f>
              <c:numCache>
                <c:ptCount val="5"/>
                <c:pt idx="0">
                  <c:v>0.06235294999680422</c:v>
                </c:pt>
                <c:pt idx="1">
                  <c:v>0.03572634373027652</c:v>
                </c:pt>
                <c:pt idx="2">
                  <c:v>0.5531319587282516</c:v>
                </c:pt>
                <c:pt idx="3">
                  <c:v>0.10897045942813918</c:v>
                </c:pt>
                <c:pt idx="4">
                  <c:v>0.33790201184665003</c:v>
                </c:pt>
              </c:numCache>
            </c:numRef>
          </c:val>
        </c:ser>
      </c:pieChart>
      <c:spPr>
        <a:noFill/>
        <a:ln>
          <a:noFill/>
        </a:ln>
      </c:spPr>
    </c:plotArea>
    <c:legend>
      <c:legendPos val="r"/>
      <c:legendEntry>
        <c:idx val="0"/>
        <c:txPr>
          <a:bodyPr vert="horz" rot="0"/>
          <a:lstStyle/>
          <a:p>
            <a:pPr>
              <a:defRPr lang="en-US" cap="none" sz="900" b="0" i="0" u="none" baseline="0">
                <a:latin typeface="Arial"/>
                <a:ea typeface="Arial"/>
                <a:cs typeface="Arial"/>
              </a:defRPr>
            </a:pPr>
          </a:p>
        </c:txPr>
      </c:legendEntry>
      <c:layout>
        <c:manualLayout>
          <c:xMode val="edge"/>
          <c:yMode val="edge"/>
          <c:x val="0.674"/>
          <c:y val="0.448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EXPENDITURES OF FY 99 FEDERAL TANF FUNDS BY SPENDING CATEGORIES </a:t>
            </a:r>
            <a:r>
              <a:rPr lang="en-US" cap="none" sz="1100" b="1" i="0" u="none" baseline="0">
                <a:latin typeface="Arial"/>
                <a:ea typeface="Arial"/>
                <a:cs typeface="Arial"/>
              </a:rPr>
              <a:t>THROUGH 2nd  QTR</a:t>
            </a:r>
          </a:p>
        </c:rich>
      </c:tx>
      <c:layout/>
      <c:spPr>
        <a:noFill/>
        <a:ln>
          <a:noFill/>
        </a:ln>
      </c:spPr>
    </c:title>
    <c:plotArea>
      <c:layout>
        <c:manualLayout>
          <c:xMode val="edge"/>
          <c:yMode val="edge"/>
          <c:x val="0.0525"/>
          <c:y val="0.16575"/>
          <c:w val="0.59225"/>
          <c:h val="0.7615"/>
        </c:manualLayout>
      </c:layout>
      <c:pieChart>
        <c:varyColors val="1"/>
        <c:ser>
          <c:idx val="0"/>
          <c:order val="0"/>
          <c:spPr>
            <a:pattFill prst="pct70">
              <a:fgClr>
                <a:srgbClr val="FFFFFF"/>
              </a:fgClr>
              <a:bgClr>
                <a:srgbClr val="808080"/>
              </a:bgClr>
            </a:pattFill>
          </c:spPr>
          <c:explosion val="0"/>
          <c:extLst>
            <c:ext xmlns:c14="http://schemas.microsoft.com/office/drawing/2007/8/2/chart" uri="{6F2FDCE9-48DA-4B69-8628-5D25D57E5C99}">
              <c14:invertSolidFillFmt>
                <c14:spPr>
                  <a:solidFill>
                    <a:srgbClr val="808080"/>
                  </a:solidFill>
                </c14:spPr>
              </c14:invertSolidFillFmt>
            </c:ext>
          </c:extLst>
          <c:dPt>
            <c:idx val="1"/>
            <c:spPr>
              <a:pattFill prst="dkVert">
                <a:fgClr>
                  <a:srgbClr val="FFFFFF"/>
                </a:fgClr>
                <a:bgClr>
                  <a:srgbClr val="808080"/>
                </a:bgClr>
              </a:pattFill>
            </c:spPr>
          </c:dPt>
          <c:dPt>
            <c:idx val="2"/>
            <c:spPr>
              <a:pattFill prst="pct70">
                <a:fgClr>
                  <a:srgbClr val="FFFFFF"/>
                </a:fgClr>
                <a:bgClr>
                  <a:srgbClr val="FFFFFF"/>
                </a:bgClr>
              </a:pattFill>
            </c:spPr>
          </c:dPt>
          <c:dPt>
            <c:idx val="3"/>
            <c:spPr>
              <a:solidFill>
                <a:srgbClr val="808080"/>
              </a:solidFill>
              <a:ln w="12700">
                <a:solidFill>
                  <a:srgbClr val="000000"/>
                </a:solidFill>
              </a:ln>
            </c:spPr>
          </c:dPt>
          <c:dPt>
            <c:idx val="4"/>
            <c:spPr>
              <a:pattFill prst="ltHorz">
                <a:fgClr>
                  <a:srgbClr val="FFFFFF"/>
                </a:fgClr>
                <a:bgClr>
                  <a:srgbClr val="808080"/>
                </a:bgClr>
              </a:pattFill>
            </c:spPr>
          </c:dPt>
          <c:dPt>
            <c:idx val="6"/>
            <c:spPr>
              <a:pattFill prst="dkUpDiag">
                <a:fgClr>
                  <a:srgbClr val="FFFFFF"/>
                </a:fgClr>
                <a:bgClr>
                  <a:srgbClr val="808080"/>
                </a:bgClr>
              </a:pattFill>
            </c:spPr>
          </c:dPt>
          <c:dLbls>
            <c:dLbl>
              <c:idx val="0"/>
              <c:tx>
                <c:rich>
                  <a:bodyPr vert="horz" rot="0" anchor="ctr"/>
                  <a:lstStyle/>
                  <a:p>
                    <a:pPr algn="ctr">
                      <a:defRPr/>
                    </a:pPr>
                    <a:r>
                      <a:rPr lang="en-US" cap="none" sz="1200" b="0" i="0" u="none" baseline="0">
                        <a:latin typeface="Arial"/>
                        <a:ea typeface="Arial"/>
                        <a:cs typeface="Arial"/>
                      </a:rPr>
                      <a:t>62%</a:t>
                    </a:r>
                  </a:p>
                </c:rich>
              </c:tx>
              <c:numFmt formatCode="0%" sourceLinked="0"/>
              <c:spPr>
                <a:noFill/>
                <a:ln>
                  <a:noFill/>
                </a:ln>
              </c:spPr>
              <c:dLblPos val="outEnd"/>
              <c:showLegendKey val="0"/>
              <c:showVal val="1"/>
              <c:showBubbleSize val="0"/>
              <c:showCatName val="0"/>
              <c:showSerName val="0"/>
              <c:showPercent val="0"/>
            </c:dLbl>
            <c:dLbl>
              <c:idx val="1"/>
              <c:numFmt formatCode="0%" sourceLinked="0"/>
              <c:dLblPos val="outEnd"/>
              <c:showLegendKey val="0"/>
              <c:showVal val="1"/>
              <c:showBubbleSize val="0"/>
              <c:showCatName val="0"/>
              <c:showSerName val="0"/>
              <c:showPercent val="0"/>
            </c:dLbl>
            <c:dLbl>
              <c:idx val="2"/>
              <c:numFmt formatCode="0%" sourceLinked="0"/>
              <c:spPr>
                <a:noFill/>
                <a:ln>
                  <a:noFill/>
                </a:ln>
              </c:spPr>
              <c:showLegendKey val="0"/>
              <c:showVal val="1"/>
              <c:showBubbleSize val="0"/>
              <c:showCatName val="0"/>
              <c:showSerName val="0"/>
              <c:showPercent val="0"/>
            </c:dLbl>
            <c:dLbl>
              <c:idx val="3"/>
              <c:numFmt formatCode="0%" sourceLinked="0"/>
              <c:spPr>
                <a:noFill/>
                <a:ln>
                  <a:noFill/>
                </a:ln>
              </c:spPr>
              <c:showLegendKey val="0"/>
              <c:showVal val="1"/>
              <c:showBubbleSize val="0"/>
              <c:showCatName val="0"/>
              <c:showSerName val="0"/>
              <c:showPercent val="0"/>
            </c:dLbl>
            <c:dLbl>
              <c:idx val="4"/>
              <c:numFmt formatCode="0%" sourceLinked="0"/>
              <c:spPr>
                <a:noFill/>
                <a:ln>
                  <a:noFill/>
                </a:ln>
              </c:spPr>
              <c:showLegendKey val="0"/>
              <c:showVal val="1"/>
              <c:showBubbleSize val="0"/>
              <c:showCatName val="0"/>
              <c:showSerName val="0"/>
              <c:showPercent val="0"/>
            </c:dLbl>
            <c:dLbl>
              <c:idx val="6"/>
              <c:numFmt formatCode="0%" sourceLinked="0"/>
              <c:spPr>
                <a:noFill/>
                <a:ln>
                  <a:noFill/>
                </a:ln>
              </c:spPr>
              <c:showLegendKey val="0"/>
              <c:showVal val="1"/>
              <c:showBubbleSize val="0"/>
              <c:showCatName val="0"/>
              <c:showSerName val="0"/>
              <c:showPercent val="0"/>
            </c:dLbl>
            <c:numFmt formatCode="0%" sourceLinked="0"/>
            <c:spPr>
              <a:noFill/>
              <a:ln>
                <a:noFill/>
              </a:ln>
            </c:spPr>
            <c:dLblPos val="outEnd"/>
            <c:showLegendKey val="0"/>
            <c:showVal val="1"/>
            <c:showBubbleSize val="0"/>
            <c:showCatName val="0"/>
            <c:showSerName val="0"/>
            <c:showLeaderLines val="0"/>
            <c:showPercent val="0"/>
          </c:dLbls>
          <c:cat>
            <c:strRef>
              <c:f>'chart data'!$F$5:$L$5</c:f>
              <c:strCache>
                <c:ptCount val="7"/>
                <c:pt idx="0">
                  <c:v>CASH AND WORK BASED ASSISTANCE</c:v>
                </c:pt>
                <c:pt idx="1">
                  <c:v>WORK ACTIVITIES</c:v>
                </c:pt>
                <c:pt idx="2">
                  <c:v>CHILD CARE</c:v>
                </c:pt>
                <c:pt idx="3">
                  <c:v>ADMINISTRATION</c:v>
                </c:pt>
                <c:pt idx="4">
                  <c:v>SYSTEMS</c:v>
                </c:pt>
                <c:pt idx="5">
                  <c:v>TRANSITIONAL SERVICES</c:v>
                </c:pt>
                <c:pt idx="6">
                  <c:v>OTHER EXPENDITURES</c:v>
                </c:pt>
              </c:strCache>
            </c:strRef>
          </c:cat>
          <c:val>
            <c:numRef>
              <c:f>'chart data'!$F$6:$L$6</c:f>
              <c:numCache>
                <c:ptCount val="7"/>
                <c:pt idx="0">
                  <c:v>0.6213452492454106</c:v>
                </c:pt>
                <c:pt idx="1">
                  <c:v>0.06736045734579299</c:v>
                </c:pt>
                <c:pt idx="2">
                  <c:v>0.05126388190484798</c:v>
                </c:pt>
                <c:pt idx="3">
                  <c:v>0.0997433845548034</c:v>
                </c:pt>
                <c:pt idx="4">
                  <c:v>0.022473879818758737</c:v>
                </c:pt>
                <c:pt idx="5">
                  <c:v>0.0002796982591267159</c:v>
                </c:pt>
                <c:pt idx="6">
                  <c:v>0.13753344887125962</c:v>
                </c:pt>
              </c:numCache>
            </c:numRef>
          </c:val>
        </c:ser>
      </c:pieChart>
      <c:spPr>
        <a:noFill/>
        <a:ln>
          <a:noFill/>
        </a:ln>
      </c:spPr>
    </c:plotArea>
    <c:legend>
      <c:legendPos val="r"/>
      <c:layout>
        <c:manualLayout>
          <c:xMode val="edge"/>
          <c:yMode val="edge"/>
          <c:x val="0.622"/>
          <c:y val="0.134"/>
          <c:w val="0.372"/>
          <c:h val="0.5112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EXPENDITURES OF FY 99 STATE TANF MOE BY SPENDING CATEGORIES
</a:t>
            </a:r>
            <a:r>
              <a:rPr lang="en-US" cap="none" sz="1000" b="1" i="0" u="none" baseline="0">
                <a:latin typeface="Arial"/>
                <a:ea typeface="Arial"/>
                <a:cs typeface="Arial"/>
              </a:rPr>
              <a:t>THROUGH 2nd QTR</a:t>
            </a:r>
            <a:r>
              <a:rPr lang="en-US" cap="none" sz="1200" b="1" i="0" u="none" baseline="0">
                <a:latin typeface="Arial"/>
                <a:ea typeface="Arial"/>
                <a:cs typeface="Arial"/>
              </a:rPr>
              <a:t>
</a:t>
            </a:r>
          </a:p>
        </c:rich>
      </c:tx>
      <c:layout/>
      <c:spPr>
        <a:noFill/>
        <a:ln>
          <a:noFill/>
        </a:ln>
      </c:spPr>
    </c:title>
    <c:plotArea>
      <c:layout>
        <c:manualLayout>
          <c:xMode val="edge"/>
          <c:yMode val="edge"/>
          <c:x val="0.055"/>
          <c:y val="0.13975"/>
          <c:w val="0.58875"/>
          <c:h val="0.788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Horz">
                <a:fgClr>
                  <a:srgbClr val="FFFFFF"/>
                </a:fgClr>
                <a:bgClr>
                  <a:srgbClr val="000000"/>
                </a:bgClr>
              </a:pattFill>
            </c:spPr>
          </c:dPt>
          <c:dPt>
            <c:idx val="1"/>
            <c:spPr>
              <a:solidFill>
                <a:srgbClr val="FFFFFF"/>
              </a:solidFill>
            </c:spPr>
          </c:dPt>
          <c:dPt>
            <c:idx val="2"/>
            <c:spPr>
              <a:solidFill>
                <a:srgbClr val="000000"/>
              </a:solidFill>
            </c:spPr>
          </c:dPt>
          <c:dPt>
            <c:idx val="3"/>
            <c:spPr>
              <a:pattFill prst="smGrid">
                <a:fgClr>
                  <a:srgbClr val="FFFFFF"/>
                </a:fgClr>
                <a:bgClr>
                  <a:srgbClr val="000000"/>
                </a:bgClr>
              </a:pattFill>
            </c:spPr>
          </c:dPt>
          <c:dPt>
            <c:idx val="4"/>
            <c:spPr>
              <a:pattFill prst="trellis">
                <a:fgClr>
                  <a:srgbClr val="FFFFFF"/>
                </a:fgClr>
                <a:bgClr>
                  <a:srgbClr val="000000"/>
                </a:bgClr>
              </a:pattFill>
            </c:spPr>
          </c:dPt>
          <c:dLbls>
            <c:dLbl>
              <c:idx val="0"/>
              <c:numFmt formatCode="0%" sourceLinked="0"/>
              <c:spPr>
                <a:noFill/>
                <a:ln>
                  <a:noFill/>
                </a:ln>
              </c:spPr>
              <c:showLegendKey val="0"/>
              <c:showVal val="0"/>
              <c:showBubbleSize val="0"/>
              <c:showCatName val="0"/>
              <c:showSerName val="0"/>
              <c:showPercent val="1"/>
            </c:dLbl>
            <c:dLbl>
              <c:idx val="1"/>
              <c:numFmt formatCode="0%" sourceLinked="0"/>
              <c:spPr>
                <a:noFill/>
                <a:ln>
                  <a:noFill/>
                </a:ln>
              </c:spPr>
              <c:showLegendKey val="0"/>
              <c:showVal val="0"/>
              <c:showBubbleSize val="0"/>
              <c:showCatName val="0"/>
              <c:showSerName val="0"/>
              <c:showPercent val="1"/>
            </c:dLbl>
            <c:dLbl>
              <c:idx val="2"/>
              <c:numFmt formatCode="0%" sourceLinked="0"/>
              <c:spPr>
                <a:noFill/>
                <a:ln>
                  <a:noFill/>
                </a:ln>
              </c:spPr>
              <c:showLegendKey val="0"/>
              <c:showVal val="0"/>
              <c:showBubbleSize val="0"/>
              <c:showCatName val="0"/>
              <c:showSerName val="0"/>
              <c:showPercent val="1"/>
            </c:dLbl>
            <c:dLbl>
              <c:idx val="3"/>
              <c:numFmt formatCode="0%" sourceLinked="0"/>
              <c:spPr>
                <a:noFill/>
                <a:ln>
                  <a:noFill/>
                </a:ln>
              </c:spPr>
              <c:showLegendKey val="0"/>
              <c:showVal val="0"/>
              <c:showBubbleSize val="0"/>
              <c:showCatName val="0"/>
              <c:showSerName val="0"/>
              <c:showPercent val="1"/>
            </c:dLbl>
            <c:dLbl>
              <c:idx val="4"/>
              <c:numFmt formatCode="0%" sourceLinked="0"/>
              <c:spPr>
                <a:noFill/>
                <a:ln>
                  <a:noFill/>
                </a:ln>
              </c:spPr>
              <c:showLegendKey val="0"/>
              <c:showVal val="0"/>
              <c:showBubbleSize val="0"/>
              <c:showCatName val="0"/>
              <c:showSerName val="0"/>
              <c:showPercent val="1"/>
            </c:dLbl>
            <c:dLbl>
              <c:idx val="5"/>
              <c:layout>
                <c:manualLayout>
                  <c:x val="0"/>
                  <c:y val="0"/>
                </c:manualLayout>
              </c:layout>
              <c:numFmt formatCode="0%" sourceLinked="0"/>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multiLvlStrRef>
              <c:f>'chart data'!$B$15:$H$16</c:f>
              <c:multiLvlStrCache>
                <c:ptCount val="7"/>
                <c:lvl>
                  <c:pt idx="0">
                    <c:v>$2,705,220,461 </c:v>
                  </c:pt>
                  <c:pt idx="1">
                    <c:v>$208,538,788 </c:v>
                  </c:pt>
                  <c:pt idx="2">
                    <c:v>$578,317,048 </c:v>
                  </c:pt>
                  <c:pt idx="3">
                    <c:v>$365,202,919 </c:v>
                  </c:pt>
                  <c:pt idx="4">
                    <c:v>$52,318,258 </c:v>
                  </c:pt>
                  <c:pt idx="5">
                    <c:v>$7,108,599 </c:v>
                  </c:pt>
                  <c:pt idx="6">
                    <c:v>$500,561,491 </c:v>
                  </c:pt>
                </c:lvl>
                <c:lvl>
                  <c:pt idx="0">
                    <c:v>CASH AND WORK BASED ASSISTANCE</c:v>
                  </c:pt>
                  <c:pt idx="1">
                    <c:v>WORK ACTIVITIES</c:v>
                  </c:pt>
                  <c:pt idx="2">
                    <c:v>CHILD CARE </c:v>
                  </c:pt>
                  <c:pt idx="3">
                    <c:v>ADMINISTRATION</c:v>
                  </c:pt>
                  <c:pt idx="4">
                    <c:v>SYSTEMS</c:v>
                  </c:pt>
                  <c:pt idx="5">
                    <c:v>TRANSITIONAL SERVICES</c:v>
                  </c:pt>
                  <c:pt idx="6">
                    <c:v>OTHER EXPENDITURES</c:v>
                  </c:pt>
                </c:lvl>
              </c:multiLvlStrCache>
            </c:multiLvlStrRef>
          </c:cat>
          <c:val>
            <c:numRef>
              <c:f>'chart data'!$B$16:$H$16</c:f>
              <c:numCache>
                <c:ptCount val="7"/>
                <c:pt idx="0">
                  <c:v>2705220461</c:v>
                </c:pt>
                <c:pt idx="1">
                  <c:v>208538788</c:v>
                </c:pt>
                <c:pt idx="2">
                  <c:v>578317048</c:v>
                </c:pt>
                <c:pt idx="3">
                  <c:v>365202919</c:v>
                </c:pt>
                <c:pt idx="4">
                  <c:v>52318258</c:v>
                </c:pt>
                <c:pt idx="5">
                  <c:v>7108599</c:v>
                </c:pt>
                <c:pt idx="6">
                  <c:v>500561491</c:v>
                </c:pt>
              </c:numCache>
            </c:numRef>
          </c:val>
        </c:ser>
      </c:pieChart>
      <c:spPr>
        <a:noFill/>
        <a:ln>
          <a:no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latin typeface="Arial"/>
                <a:ea typeface="Arial"/>
                <a:cs typeface="Arial"/>
              </a:rPr>
              <a:t>Level of State MOE Expenditures through 2nd Qtr. FY 99</a:t>
            </a:r>
          </a:p>
        </c:rich>
      </c:tx>
      <c:layout/>
      <c:spPr>
        <a:noFill/>
        <a:ln>
          <a:noFill/>
        </a:ln>
      </c:spPr>
    </c:title>
    <c:plotArea>
      <c:layout/>
      <c:barChart>
        <c:barDir val="bar"/>
        <c:grouping val="stack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40"/>
              <c:txPr>
                <a:bodyPr vert="horz" rot="0" anchor="ctr"/>
                <a:lstStyle/>
                <a:p>
                  <a:pPr algn="r">
                    <a:defRPr lang="en-US" cap="none" sz="900" b="0" i="0" u="none" baseline="0">
                      <a:latin typeface="Arial"/>
                      <a:ea typeface="Arial"/>
                      <a:cs typeface="Arial"/>
                    </a:defRPr>
                  </a:pPr>
                </a:p>
              </c:txPr>
              <c:numFmt formatCode="General" sourceLinked="1"/>
              <c:dLblPos val="ctr"/>
              <c:showLegendKey val="0"/>
              <c:showVal val="0"/>
              <c:showBubbleSize val="0"/>
              <c:showCatName val="1"/>
              <c:showSerName val="0"/>
              <c:showPercent val="0"/>
            </c:dLbl>
            <c:dLbl>
              <c:idx val="42"/>
              <c:txPr>
                <a:bodyPr vert="horz" rot="0" anchor="ctr"/>
                <a:lstStyle/>
                <a:p>
                  <a:pPr>
                    <a:defRPr lang="en-US" cap="none" sz="900" b="0" i="0" u="none" baseline="0">
                      <a:latin typeface="Arial"/>
                      <a:ea typeface="Arial"/>
                      <a:cs typeface="Arial"/>
                    </a:defRPr>
                  </a:pPr>
                </a:p>
              </c:txPr>
              <c:numFmt formatCode="General" sourceLinked="1"/>
              <c:dLblPos val="inEnd"/>
              <c:showLegendKey val="0"/>
              <c:showVal val="0"/>
              <c:showBubbleSize val="0"/>
              <c:showCatName val="1"/>
              <c:showSerName val="0"/>
              <c:showPercent val="0"/>
            </c:dLbl>
            <c:dLbl>
              <c:idx val="45"/>
              <c:txPr>
                <a:bodyPr vert="horz" rot="0" anchor="ctr"/>
                <a:lstStyle/>
                <a:p>
                  <a:pPr>
                    <a:defRPr lang="en-US" cap="none" sz="900" b="0" i="0" u="none" baseline="0">
                      <a:latin typeface="Arial"/>
                      <a:ea typeface="Arial"/>
                      <a:cs typeface="Arial"/>
                    </a:defRPr>
                  </a:pPr>
                </a:p>
              </c:txPr>
              <c:numFmt formatCode="General" sourceLinked="1"/>
              <c:dLblPos val="ctr"/>
              <c:showLegendKey val="0"/>
              <c:showVal val="0"/>
              <c:showBubbleSize val="0"/>
              <c:showCatName val="1"/>
              <c:showSerName val="0"/>
              <c:showPercent val="0"/>
            </c:dLbl>
            <c:dLbl>
              <c:idx val="46"/>
              <c:txPr>
                <a:bodyPr vert="horz" rot="0" anchor="ctr"/>
                <a:lstStyle/>
                <a:p>
                  <a:pPr algn="ctr">
                    <a:defRPr lang="en-US" cap="none" sz="900" b="0" i="0" u="none" baseline="0">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900" b="0" i="0" u="none" baseline="0">
                    <a:latin typeface="Arial"/>
                    <a:ea typeface="Arial"/>
                    <a:cs typeface="Arial"/>
                  </a:defRPr>
                </a:pPr>
              </a:p>
            </c:txPr>
            <c:showLegendKey val="0"/>
            <c:showVal val="0"/>
            <c:showBubbleSize val="0"/>
            <c:showCatName val="1"/>
            <c:showSerName val="0"/>
            <c:showPercent val="0"/>
          </c:dLbls>
          <c:cat>
            <c:strRef>
              <c:f>'chart data'!$B$49:$B$99</c:f>
              <c:strCache>
                <c:ptCount val="51"/>
                <c:pt idx="0">
                  <c:v>Alabama</c:v>
                </c:pt>
                <c:pt idx="1">
                  <c:v>Alaska</c:v>
                </c:pt>
                <c:pt idx="2">
                  <c:v>Arizona</c:v>
                </c:pt>
                <c:pt idx="3">
                  <c:v>Arkansas</c:v>
                </c:pt>
                <c:pt idx="4">
                  <c:v>California </c:v>
                </c:pt>
                <c:pt idx="5">
                  <c:v>Colorado </c:v>
                </c:pt>
                <c:pt idx="6">
                  <c:v>Connecticut</c:v>
                </c:pt>
                <c:pt idx="7">
                  <c:v>Delaware</c:v>
                </c:pt>
                <c:pt idx="8">
                  <c:v>District of Columbia</c:v>
                </c:pt>
                <c:pt idx="9">
                  <c:v>Florida </c:v>
                </c:pt>
                <c:pt idx="10">
                  <c:v>Georgia</c:v>
                </c:pt>
                <c:pt idx="11">
                  <c:v>Hawaii</c:v>
                </c:pt>
                <c:pt idx="12">
                  <c:v>Idaho </c:v>
                </c:pt>
                <c:pt idx="13">
                  <c:v>Illinois</c:v>
                </c:pt>
                <c:pt idx="14">
                  <c:v>Indiana </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 </c:v>
                </c:pt>
                <c:pt idx="35">
                  <c:v>Ohio</c:v>
                </c:pt>
                <c:pt idx="36">
                  <c:v>Oklahoma</c:v>
                </c:pt>
                <c:pt idx="37">
                  <c:v>Oregon  </c:v>
                </c:pt>
                <c:pt idx="38">
                  <c:v>Pennsylvania</c:v>
                </c:pt>
                <c:pt idx="39">
                  <c:v>Rhode Island</c:v>
                </c:pt>
                <c:pt idx="40">
                  <c:v>South Carolina</c:v>
                </c:pt>
                <c:pt idx="41">
                  <c:v>South Dakota</c:v>
                </c:pt>
                <c:pt idx="42">
                  <c:v>Tennessee </c:v>
                </c:pt>
                <c:pt idx="43">
                  <c:v>Texas</c:v>
                </c:pt>
                <c:pt idx="44">
                  <c:v>Utah</c:v>
                </c:pt>
                <c:pt idx="45">
                  <c:v>Vermont</c:v>
                </c:pt>
                <c:pt idx="46">
                  <c:v>Virginia</c:v>
                </c:pt>
                <c:pt idx="47">
                  <c:v>Washington </c:v>
                </c:pt>
                <c:pt idx="48">
                  <c:v>West Virginia</c:v>
                </c:pt>
                <c:pt idx="49">
                  <c:v>Wisconsin </c:v>
                </c:pt>
                <c:pt idx="50">
                  <c:v>Wyoming </c:v>
                </c:pt>
              </c:strCache>
            </c:strRef>
          </c:cat>
          <c:val>
            <c:numRef>
              <c:f>'chart data'!$C$49:$C$99</c:f>
              <c:numCache>
                <c:ptCount val="51"/>
                <c:pt idx="0">
                  <c:v>0.31117276875146876</c:v>
                </c:pt>
                <c:pt idx="1">
                  <c:v>0.33049707082214724</c:v>
                </c:pt>
                <c:pt idx="2">
                  <c:v>0.3427529185143188</c:v>
                </c:pt>
                <c:pt idx="3">
                  <c:v>0.2668025276271394</c:v>
                </c:pt>
                <c:pt idx="4">
                  <c:v>0.2291070415428864</c:v>
                </c:pt>
                <c:pt idx="5">
                  <c:v>0.3842825355503807</c:v>
                </c:pt>
                <c:pt idx="6">
                  <c:v>0.35056979901518315</c:v>
                </c:pt>
                <c:pt idx="7">
                  <c:v>0.30684717410982437</c:v>
                </c:pt>
                <c:pt idx="8">
                  <c:v>0.3195070485826471</c:v>
                </c:pt>
                <c:pt idx="9">
                  <c:v>0.38990099429686537</c:v>
                </c:pt>
                <c:pt idx="10">
                  <c:v>0.1304906830061491</c:v>
                </c:pt>
                <c:pt idx="11">
                  <c:v>0.3718263164012478</c:v>
                </c:pt>
                <c:pt idx="12">
                  <c:v>0.32137725283382934</c:v>
                </c:pt>
                <c:pt idx="13">
                  <c:v>0.32779439204461025</c:v>
                </c:pt>
                <c:pt idx="14">
                  <c:v>0.36951750708957315</c:v>
                </c:pt>
                <c:pt idx="15">
                  <c:v>0.48081240949653703</c:v>
                </c:pt>
                <c:pt idx="16">
                  <c:v>0.5250345284679845</c:v>
                </c:pt>
                <c:pt idx="17">
                  <c:v>0.3843732843852989</c:v>
                </c:pt>
                <c:pt idx="18">
                  <c:v>0.41730990595794487</c:v>
                </c:pt>
                <c:pt idx="19">
                  <c:v>0.47762994283409926</c:v>
                </c:pt>
                <c:pt idx="20">
                  <c:v>0.2858234250606342</c:v>
                </c:pt>
                <c:pt idx="21">
                  <c:v>0.3503597769292587</c:v>
                </c:pt>
                <c:pt idx="22">
                  <c:v>0.26143311547736353</c:v>
                </c:pt>
                <c:pt idx="23">
                  <c:v>0.3996492669686404</c:v>
                </c:pt>
                <c:pt idx="24">
                  <c:v>0.19498767233460323</c:v>
                </c:pt>
                <c:pt idx="25">
                  <c:v>0.3999999987512568</c:v>
                </c:pt>
                <c:pt idx="26">
                  <c:v>0.3605693416639831</c:v>
                </c:pt>
                <c:pt idx="27">
                  <c:v>0.3983940044930151</c:v>
                </c:pt>
                <c:pt idx="28">
                  <c:v>0.362071206861161</c:v>
                </c:pt>
                <c:pt idx="29">
                  <c:v>0.3750011326481894</c:v>
                </c:pt>
                <c:pt idx="30">
                  <c:v>0.3750000018740005</c:v>
                </c:pt>
                <c:pt idx="31">
                  <c:v>0.3682024810562203</c:v>
                </c:pt>
                <c:pt idx="32">
                  <c:v>0.3418257815813074</c:v>
                </c:pt>
                <c:pt idx="33">
                  <c:v>0.3600405402242115</c:v>
                </c:pt>
                <c:pt idx="34">
                  <c:v>0.49771711625692244</c:v>
                </c:pt>
                <c:pt idx="35">
                  <c:v>0.4074403478108305</c:v>
                </c:pt>
                <c:pt idx="36">
                  <c:v>0.40027256026329194</c:v>
                </c:pt>
                <c:pt idx="37">
                  <c:v>0.3365880752124221</c:v>
                </c:pt>
                <c:pt idx="38">
                  <c:v>0.34820622269160073</c:v>
                </c:pt>
                <c:pt idx="39">
                  <c:v>0.5099333211528465</c:v>
                </c:pt>
                <c:pt idx="40">
                  <c:v>0.39959106364785674</c:v>
                </c:pt>
                <c:pt idx="41">
                  <c:v>0.4227762231683535</c:v>
                </c:pt>
                <c:pt idx="42">
                  <c:v>0.2380429686237342</c:v>
                </c:pt>
                <c:pt idx="43">
                  <c:v>0.4</c:v>
                </c:pt>
                <c:pt idx="44">
                  <c:v>0.37499998517232663</c:v>
                </c:pt>
                <c:pt idx="45">
                  <c:v>0.4016204408003597</c:v>
                </c:pt>
                <c:pt idx="46">
                  <c:v>0.3079487033050677</c:v>
                </c:pt>
                <c:pt idx="47">
                  <c:v>0.37016393195420516</c:v>
                </c:pt>
                <c:pt idx="48">
                  <c:v>0.5152798711079667</c:v>
                </c:pt>
                <c:pt idx="49">
                  <c:v>0.3103455426549214</c:v>
                </c:pt>
                <c:pt idx="50">
                  <c:v>0.42323341906353884</c:v>
                </c:pt>
              </c:numCache>
            </c:numRef>
          </c:val>
        </c:ser>
        <c:overlap val="100"/>
        <c:axId val="56952205"/>
        <c:axId val="42807798"/>
      </c:barChart>
      <c:catAx>
        <c:axId val="56952205"/>
        <c:scaling>
          <c:orientation val="minMax"/>
        </c:scaling>
        <c:axPos val="l"/>
        <c:title>
          <c:tx>
            <c:rich>
              <a:bodyPr vert="horz" rot="-5400000" anchor="ctr"/>
              <a:lstStyle/>
              <a:p>
                <a:pPr algn="ctr">
                  <a:defRPr/>
                </a:pPr>
                <a:r>
                  <a:rPr lang="en-US" cap="none" sz="1575" b="1" i="0" u="none" baseline="0">
                    <a:latin typeface="Arial"/>
                    <a:ea typeface="Arial"/>
                    <a:cs typeface="Arial"/>
                  </a:rPr>
                  <a:t>States</a:t>
                </a:r>
              </a:p>
            </c:rich>
          </c:tx>
          <c:layout/>
          <c:overlay val="0"/>
          <c:spPr>
            <a:noFill/>
            <a:ln>
              <a:noFill/>
            </a:ln>
          </c:spPr>
        </c:title>
        <c:delete val="1"/>
        <c:majorTickMark val="out"/>
        <c:minorTickMark val="none"/>
        <c:tickLblPos val="nextTo"/>
        <c:crossAx val="42807798"/>
        <c:crosses val="autoZero"/>
        <c:auto val="1"/>
        <c:lblOffset val="100"/>
        <c:noMultiLvlLbl val="0"/>
      </c:catAx>
      <c:valAx>
        <c:axId val="42807798"/>
        <c:scaling>
          <c:orientation val="minMax"/>
        </c:scaling>
        <c:axPos val="b"/>
        <c:majorGridlines/>
        <c:delete val="0"/>
        <c:numFmt formatCode="General" sourceLinked="1"/>
        <c:majorTickMark val="out"/>
        <c:minorTickMark val="none"/>
        <c:tickLblPos val="nextTo"/>
        <c:txPr>
          <a:bodyPr/>
          <a:lstStyle/>
          <a:p>
            <a:pPr>
              <a:defRPr lang="en-US" cap="none" sz="1375" b="0" i="0" u="none" baseline="0">
                <a:latin typeface="Arial"/>
                <a:ea typeface="Arial"/>
                <a:cs typeface="Arial"/>
              </a:defRPr>
            </a:pPr>
          </a:p>
        </c:txPr>
        <c:crossAx val="5695220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6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headerFooter>
    <oddHeader>&amp;C&amp;A</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2"/>
  </sheetViews>
  <pageMargins left="0.75" right="0.75" top="1" bottom="1" header="0.5" footer="0.5"/>
  <pageSetup horizontalDpi="300" verticalDpi="300" orientation="landscape"/>
  <headerFooter>
    <oddHeader>&amp;A</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5" footer="0.5"/>
  <pageSetup horizontalDpi="300" verticalDpi="300" orientation="landscape"/>
  <headerFooter>
    <oddHeader>&amp;A</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133350</xdr:rowOff>
    </xdr:from>
    <xdr:to>
      <xdr:col>19</xdr:col>
      <xdr:colOff>19050</xdr:colOff>
      <xdr:row>51</xdr:row>
      <xdr:rowOff>104775</xdr:rowOff>
    </xdr:to>
    <xdr:graphicFrame>
      <xdr:nvGraphicFramePr>
        <xdr:cNvPr id="1" name="Chart 1"/>
        <xdr:cNvGraphicFramePr/>
      </xdr:nvGraphicFramePr>
      <xdr:xfrm>
        <a:off x="628650" y="295275"/>
        <a:ext cx="10972800" cy="8067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workbookViewId="0" topLeftCell="B1">
      <selection activeCell="A6" sqref="A6"/>
    </sheetView>
  </sheetViews>
  <sheetFormatPr defaultColWidth="9.140625" defaultRowHeight="12.75"/>
  <sheetData>
    <row r="1" ht="18">
      <c r="A1" s="180" t="s">
        <v>358</v>
      </c>
    </row>
    <row r="2" ht="12.75">
      <c r="A2" t="s">
        <v>359</v>
      </c>
    </row>
    <row r="4" spans="1:11" ht="12.75">
      <c r="A4" s="184" t="s">
        <v>363</v>
      </c>
      <c r="B4" s="184"/>
      <c r="C4" s="184"/>
      <c r="D4" s="184"/>
      <c r="E4" s="184"/>
      <c r="F4" s="184"/>
      <c r="G4" s="184"/>
      <c r="H4" s="184"/>
      <c r="I4" s="184"/>
      <c r="J4" s="184"/>
      <c r="K4" s="184"/>
    </row>
    <row r="6" ht="12.75">
      <c r="A6" s="182" t="s">
        <v>364</v>
      </c>
    </row>
    <row r="7" ht="12.75">
      <c r="A7" s="181"/>
    </row>
    <row r="8" ht="12.75">
      <c r="B8" t="s">
        <v>362</v>
      </c>
    </row>
    <row r="9" ht="12.75">
      <c r="B9" t="s">
        <v>382</v>
      </c>
    </row>
    <row r="10" ht="12.75">
      <c r="B10" t="s">
        <v>383</v>
      </c>
    </row>
    <row r="11" ht="12.75">
      <c r="B11" t="s">
        <v>368</v>
      </c>
    </row>
    <row r="12" ht="12.75">
      <c r="B12" t="s">
        <v>369</v>
      </c>
    </row>
    <row r="13" ht="12.75">
      <c r="B13" t="s">
        <v>370</v>
      </c>
    </row>
    <row r="14" ht="12.75">
      <c r="B14" t="s">
        <v>367</v>
      </c>
    </row>
    <row r="15" ht="12.75">
      <c r="B15" t="s">
        <v>371</v>
      </c>
    </row>
    <row r="16" ht="12.75">
      <c r="B16" t="s">
        <v>372</v>
      </c>
    </row>
    <row r="17" ht="12.75">
      <c r="B17" t="s">
        <v>373</v>
      </c>
    </row>
    <row r="18" ht="12.75">
      <c r="B18" t="s">
        <v>374</v>
      </c>
    </row>
    <row r="19" ht="12.75">
      <c r="B19" t="s">
        <v>375</v>
      </c>
    </row>
    <row r="20" ht="12.75">
      <c r="B20" t="s">
        <v>376</v>
      </c>
    </row>
    <row r="21" ht="12.75">
      <c r="B21" t="s">
        <v>377</v>
      </c>
    </row>
    <row r="22" ht="12.75">
      <c r="B22" t="s">
        <v>378</v>
      </c>
    </row>
    <row r="23" ht="12.75">
      <c r="B23" t="s">
        <v>381</v>
      </c>
    </row>
    <row r="25" ht="12.75">
      <c r="A25" s="182" t="s">
        <v>365</v>
      </c>
    </row>
    <row r="27" ht="12.75">
      <c r="B27" t="s">
        <v>379</v>
      </c>
    </row>
    <row r="29" ht="12.75">
      <c r="A29" s="182" t="s">
        <v>366</v>
      </c>
    </row>
    <row r="31" ht="12.75">
      <c r="B31" t="s">
        <v>380</v>
      </c>
    </row>
    <row r="34" ht="12.75">
      <c r="B34" t="s">
        <v>360</v>
      </c>
    </row>
    <row r="35" ht="12.75">
      <c r="B35" t="s">
        <v>361</v>
      </c>
    </row>
  </sheetData>
  <mergeCells count="1">
    <mergeCell ref="A4:K4"/>
  </mergeCells>
  <printOptions/>
  <pageMargins left="0.75" right="0.75" top="1" bottom="1" header="0.5" footer="0.5"/>
  <pageSetup fitToHeight="1" fitToWidth="1"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2:H66"/>
  <sheetViews>
    <sheetView zoomScale="75" zoomScaleNormal="75" workbookViewId="0" topLeftCell="A1">
      <selection activeCell="A1" sqref="A1"/>
    </sheetView>
  </sheetViews>
  <sheetFormatPr defaultColWidth="9.140625" defaultRowHeight="12.75"/>
  <cols>
    <col min="1" max="1" width="18.8515625" style="0" customWidth="1"/>
    <col min="2" max="2" width="25.7109375" style="0" bestFit="1" customWidth="1"/>
    <col min="3" max="3" width="32.8515625" style="0" customWidth="1"/>
    <col min="4" max="4" width="22.28125" style="0" bestFit="1" customWidth="1"/>
    <col min="5" max="5" width="18.00390625" style="0" bestFit="1" customWidth="1"/>
    <col min="6" max="6" width="31.57421875" style="0" bestFit="1" customWidth="1"/>
    <col min="7" max="7" width="18.00390625" style="0" bestFit="1" customWidth="1"/>
    <col min="8" max="8" width="31.57421875" style="0" bestFit="1" customWidth="1"/>
  </cols>
  <sheetData>
    <row r="2" spans="1:8" ht="15.75">
      <c r="A2" s="186" t="s">
        <v>356</v>
      </c>
      <c r="B2" s="186"/>
      <c r="C2" s="186"/>
      <c r="D2" s="186"/>
      <c r="E2" s="186"/>
      <c r="F2" s="186"/>
      <c r="G2" s="186"/>
      <c r="H2" s="186"/>
    </row>
    <row r="3" spans="1:8" ht="12.75">
      <c r="A3" s="185" t="s">
        <v>115</v>
      </c>
      <c r="B3" s="185"/>
      <c r="C3" s="185"/>
      <c r="D3" s="185"/>
      <c r="E3" s="185"/>
      <c r="F3" s="185"/>
      <c r="G3" s="185"/>
      <c r="H3" s="185"/>
    </row>
    <row r="6" spans="2:8" ht="12.75">
      <c r="B6" s="29" t="s">
        <v>120</v>
      </c>
      <c r="C6" s="29" t="s">
        <v>120</v>
      </c>
      <c r="D6" s="29" t="s">
        <v>121</v>
      </c>
      <c r="E6" s="29" t="s">
        <v>122</v>
      </c>
      <c r="F6" s="29" t="s">
        <v>241</v>
      </c>
      <c r="G6" s="29" t="s">
        <v>122</v>
      </c>
      <c r="H6" s="29" t="s">
        <v>242</v>
      </c>
    </row>
    <row r="7" spans="2:8" ht="12.75">
      <c r="B7" s="29" t="s">
        <v>123</v>
      </c>
      <c r="C7" s="29" t="s">
        <v>124</v>
      </c>
      <c r="D7" s="29" t="s">
        <v>28</v>
      </c>
      <c r="E7" s="29" t="s">
        <v>125</v>
      </c>
      <c r="F7" s="29" t="s">
        <v>238</v>
      </c>
      <c r="G7" s="29" t="s">
        <v>239</v>
      </c>
      <c r="H7" s="29" t="s">
        <v>238</v>
      </c>
    </row>
    <row r="8" spans="2:8" ht="12.75">
      <c r="B8" s="29" t="s">
        <v>126</v>
      </c>
      <c r="C8" s="29" t="s">
        <v>127</v>
      </c>
      <c r="F8" s="29" t="s">
        <v>340</v>
      </c>
      <c r="G8" s="29"/>
      <c r="H8" s="29" t="s">
        <v>340</v>
      </c>
    </row>
    <row r="9" spans="2:6" ht="12.75">
      <c r="B9" s="29"/>
      <c r="F9" s="29"/>
    </row>
    <row r="10" spans="1:8" ht="12.75">
      <c r="A10" s="10" t="s">
        <v>32</v>
      </c>
      <c r="B10" s="18">
        <f>'Table B'!I10</f>
        <v>16269821</v>
      </c>
      <c r="C10" s="40">
        <f>'Table C'!I10</f>
        <v>0</v>
      </c>
      <c r="D10" s="33">
        <f>B10+C10</f>
        <v>16269821</v>
      </c>
      <c r="E10" s="40">
        <v>41828392.800000004</v>
      </c>
      <c r="F10" s="79">
        <f>D10-E10</f>
        <v>-25558571.800000004</v>
      </c>
      <c r="G10" s="40">
        <v>39214118.25</v>
      </c>
      <c r="H10" s="33">
        <f>D10-G10</f>
        <v>-22944297.25</v>
      </c>
    </row>
    <row r="11" spans="1:8" ht="12.75">
      <c r="A11" s="13" t="s">
        <v>33</v>
      </c>
      <c r="B11" s="18">
        <f>'Table B'!I11</f>
        <v>21567094</v>
      </c>
      <c r="C11" s="40">
        <f>'Table C'!I11</f>
        <v>0</v>
      </c>
      <c r="D11" s="33">
        <f aca="true" t="shared" si="0" ref="D11:D26">B11+C11</f>
        <v>21567094</v>
      </c>
      <c r="E11" s="40">
        <v>52205228.800000004</v>
      </c>
      <c r="F11" s="79">
        <f aca="true" t="shared" si="1" ref="F11:F60">D11-E11</f>
        <v>-30638134.800000004</v>
      </c>
      <c r="G11" s="40">
        <v>48942402</v>
      </c>
      <c r="H11" s="33">
        <f aca="true" t="shared" si="2" ref="H11:H61">D11-G11</f>
        <v>-27375308</v>
      </c>
    </row>
    <row r="12" spans="1:8" ht="12.75">
      <c r="A12" s="10" t="s">
        <v>34</v>
      </c>
      <c r="B12" s="18">
        <f>'Table B'!I12</f>
        <v>38063346</v>
      </c>
      <c r="C12" s="40">
        <f>'Table C'!I12</f>
        <v>5016468</v>
      </c>
      <c r="D12" s="33">
        <f t="shared" si="0"/>
        <v>43079814</v>
      </c>
      <c r="E12" s="40">
        <v>100550132</v>
      </c>
      <c r="F12" s="79">
        <f t="shared" si="1"/>
        <v>-57470318</v>
      </c>
      <c r="G12" s="40">
        <v>94265748.75</v>
      </c>
      <c r="H12" s="33">
        <f t="shared" si="2"/>
        <v>-51185934.75</v>
      </c>
    </row>
    <row r="13" spans="1:8" ht="12.75">
      <c r="A13" s="10" t="s">
        <v>35</v>
      </c>
      <c r="B13" s="18">
        <f>'Table B'!I13</f>
        <v>7413180</v>
      </c>
      <c r="C13" s="40">
        <f>'Table C'!I13</f>
        <v>0</v>
      </c>
      <c r="D13" s="33">
        <f t="shared" si="0"/>
        <v>7413180</v>
      </c>
      <c r="E13" s="40">
        <v>22228215.200000003</v>
      </c>
      <c r="F13" s="79">
        <f t="shared" si="1"/>
        <v>-14815035.200000003</v>
      </c>
      <c r="G13" s="40">
        <v>20838951.75</v>
      </c>
      <c r="H13" s="33">
        <f t="shared" si="2"/>
        <v>-13425771.75</v>
      </c>
    </row>
    <row r="14" spans="1:8" ht="12.75">
      <c r="A14" s="10" t="s">
        <v>36</v>
      </c>
      <c r="B14" s="18">
        <f>'Table B'!I14</f>
        <v>752709647</v>
      </c>
      <c r="C14" s="40">
        <f>'Table C'!I14</f>
        <v>80034683</v>
      </c>
      <c r="D14" s="33">
        <f t="shared" si="0"/>
        <v>832744330</v>
      </c>
      <c r="E14" s="40">
        <v>2907791308</v>
      </c>
      <c r="F14" s="79">
        <f t="shared" si="1"/>
        <v>-2075046978</v>
      </c>
      <c r="G14" s="40">
        <v>2726054351.25</v>
      </c>
      <c r="H14" s="33">
        <f t="shared" si="2"/>
        <v>-1893310021.25</v>
      </c>
    </row>
    <row r="15" spans="1:8" ht="12.75">
      <c r="A15" s="10" t="s">
        <v>37</v>
      </c>
      <c r="B15" s="18">
        <f>'Table B'!I15</f>
        <v>42461117</v>
      </c>
      <c r="C15" s="40">
        <f>'Table C'!I15</f>
        <v>0</v>
      </c>
      <c r="D15" s="33">
        <f t="shared" si="0"/>
        <v>42461117</v>
      </c>
      <c r="E15" s="40">
        <v>88395621.60000001</v>
      </c>
      <c r="F15" s="79">
        <f t="shared" si="1"/>
        <v>-45934504.60000001</v>
      </c>
      <c r="G15" s="40">
        <v>82870895.25</v>
      </c>
      <c r="H15" s="33">
        <f t="shared" si="2"/>
        <v>-40409778.25</v>
      </c>
    </row>
    <row r="16" spans="1:8" ht="12.75">
      <c r="A16" s="10" t="s">
        <v>38</v>
      </c>
      <c r="B16" s="18">
        <f>'Table B'!I16</f>
        <v>82229177</v>
      </c>
      <c r="C16" s="40">
        <f>'Table C'!I16</f>
        <v>3506667</v>
      </c>
      <c r="D16" s="33">
        <f t="shared" si="0"/>
        <v>85735844</v>
      </c>
      <c r="E16" s="40">
        <v>195649127.20000002</v>
      </c>
      <c r="F16" s="79">
        <f t="shared" si="1"/>
        <v>-109913283.20000002</v>
      </c>
      <c r="G16" s="40">
        <v>183421056.75</v>
      </c>
      <c r="H16" s="33">
        <f t="shared" si="2"/>
        <v>-97685212.75</v>
      </c>
    </row>
    <row r="17" spans="1:8" ht="12.75">
      <c r="A17" s="10" t="s">
        <v>39</v>
      </c>
      <c r="B17" s="18">
        <f>'Table B'!I17</f>
        <v>8907188</v>
      </c>
      <c r="C17" s="40">
        <f>'Table C'!I17</f>
        <v>0</v>
      </c>
      <c r="D17" s="33">
        <f t="shared" si="0"/>
        <v>8907188</v>
      </c>
      <c r="E17" s="40">
        <v>23222473.6</v>
      </c>
      <c r="F17" s="79">
        <f t="shared" si="1"/>
        <v>-14315285.600000001</v>
      </c>
      <c r="G17" s="40">
        <v>21771069</v>
      </c>
      <c r="H17" s="33">
        <f t="shared" si="2"/>
        <v>-12863881</v>
      </c>
    </row>
    <row r="18" spans="1:8" ht="12.75">
      <c r="A18" s="10" t="s">
        <v>40</v>
      </c>
      <c r="B18" s="18">
        <f>'Table B'!I18</f>
        <v>29985458</v>
      </c>
      <c r="C18" s="40">
        <f>'Table C'!I18</f>
        <v>26457</v>
      </c>
      <c r="D18" s="33">
        <f t="shared" si="0"/>
        <v>30011915</v>
      </c>
      <c r="E18" s="40">
        <v>75145547.2</v>
      </c>
      <c r="F18" s="79">
        <f t="shared" si="1"/>
        <v>-45133632.2</v>
      </c>
      <c r="G18" s="40">
        <v>70448950.5</v>
      </c>
      <c r="H18" s="33">
        <f t="shared" si="2"/>
        <v>-40437035.5</v>
      </c>
    </row>
    <row r="19" spans="1:8" ht="12.75">
      <c r="A19" s="10" t="s">
        <v>41</v>
      </c>
      <c r="B19" s="18">
        <f>'Table B'!I19</f>
        <v>191500381</v>
      </c>
      <c r="C19" s="40">
        <f>'Table C'!I19</f>
        <v>0</v>
      </c>
      <c r="D19" s="33">
        <f t="shared" si="0"/>
        <v>191500381</v>
      </c>
      <c r="E19" s="40">
        <v>392921042</v>
      </c>
      <c r="F19" s="79">
        <f t="shared" si="1"/>
        <v>-201420661</v>
      </c>
      <c r="G19" s="40">
        <v>368363477</v>
      </c>
      <c r="H19" s="33">
        <f t="shared" si="2"/>
        <v>-176863096</v>
      </c>
    </row>
    <row r="20" spans="1:8" ht="12.75">
      <c r="A20" s="10" t="s">
        <v>42</v>
      </c>
      <c r="B20" s="18">
        <f>'Table B'!I20</f>
        <v>30163970</v>
      </c>
      <c r="C20" s="40">
        <f>'Table C'!I20</f>
        <v>0</v>
      </c>
      <c r="D20" s="33">
        <f t="shared" si="0"/>
        <v>30163970</v>
      </c>
      <c r="E20" s="40">
        <v>184926428.8</v>
      </c>
      <c r="F20" s="79">
        <f t="shared" si="1"/>
        <v>-154762458.8</v>
      </c>
      <c r="G20" s="40">
        <v>173368527</v>
      </c>
      <c r="H20" s="33">
        <f t="shared" si="2"/>
        <v>-143204557</v>
      </c>
    </row>
    <row r="21" spans="1:8" ht="12.75">
      <c r="A21" s="10" t="s">
        <v>43</v>
      </c>
      <c r="B21" s="18">
        <f>'Table B'!I21</f>
        <v>10885697</v>
      </c>
      <c r="C21" s="40">
        <f>'Table C'!I21</f>
        <v>24388149</v>
      </c>
      <c r="D21" s="33">
        <f t="shared" si="0"/>
        <v>35273846</v>
      </c>
      <c r="E21" s="40">
        <v>75893167</v>
      </c>
      <c r="F21" s="79">
        <f t="shared" si="1"/>
        <v>-40619321</v>
      </c>
      <c r="G21" s="40">
        <v>71149844</v>
      </c>
      <c r="H21" s="33">
        <f t="shared" si="2"/>
        <v>-35875998</v>
      </c>
    </row>
    <row r="22" spans="1:8" ht="12.75">
      <c r="A22" s="10" t="s">
        <v>44</v>
      </c>
      <c r="B22" s="18">
        <f>'Table B'!I22</f>
        <v>5861377</v>
      </c>
      <c r="C22" s="40">
        <f>'Table C'!I22</f>
        <v>0</v>
      </c>
      <c r="D22" s="33">
        <f t="shared" si="0"/>
        <v>5861377</v>
      </c>
      <c r="E22" s="40">
        <v>14590645.600000001</v>
      </c>
      <c r="F22" s="79">
        <f t="shared" si="1"/>
        <v>-8729268.600000001</v>
      </c>
      <c r="G22" s="40">
        <v>13678730.25</v>
      </c>
      <c r="H22" s="33">
        <f t="shared" si="2"/>
        <v>-7817353.25</v>
      </c>
    </row>
    <row r="23" spans="1:8" ht="12.75">
      <c r="A23" s="16" t="s">
        <v>45</v>
      </c>
      <c r="B23" s="18">
        <f>'Table B'!I23</f>
        <v>170242272</v>
      </c>
      <c r="C23" s="40">
        <f>'Table C'!I23</f>
        <v>17731725</v>
      </c>
      <c r="D23" s="33">
        <f t="shared" si="0"/>
        <v>187973997</v>
      </c>
      <c r="E23" s="40">
        <v>458760739.20000005</v>
      </c>
      <c r="F23" s="79">
        <f t="shared" si="1"/>
        <v>-270786742.20000005</v>
      </c>
      <c r="G23" s="40">
        <v>430088193</v>
      </c>
      <c r="H23" s="33">
        <f t="shared" si="2"/>
        <v>-242114196</v>
      </c>
    </row>
    <row r="24" spans="1:8" ht="12.75">
      <c r="A24" s="16" t="s">
        <v>46</v>
      </c>
      <c r="B24" s="18">
        <f>'Table B'!I24</f>
        <v>50406595</v>
      </c>
      <c r="C24" s="40">
        <f>'Table C'!I24</f>
        <v>5526296</v>
      </c>
      <c r="D24" s="33">
        <f t="shared" si="0"/>
        <v>55932891</v>
      </c>
      <c r="E24" s="40">
        <v>121093891.2</v>
      </c>
      <c r="F24" s="79">
        <f t="shared" si="1"/>
        <v>-65161000.2</v>
      </c>
      <c r="G24" s="40">
        <v>113525523</v>
      </c>
      <c r="H24" s="33">
        <f t="shared" si="2"/>
        <v>-57592632</v>
      </c>
    </row>
    <row r="25" spans="1:8" ht="12.75">
      <c r="A25" s="16" t="s">
        <v>47</v>
      </c>
      <c r="B25" s="18">
        <f>'Table B'!I25</f>
        <v>35203971</v>
      </c>
      <c r="C25" s="40">
        <f>'Table C'!I25</f>
        <v>4519642</v>
      </c>
      <c r="D25" s="33">
        <f t="shared" si="0"/>
        <v>39723613</v>
      </c>
      <c r="E25" s="40">
        <v>66094156</v>
      </c>
      <c r="F25" s="79">
        <f t="shared" si="1"/>
        <v>-26370543</v>
      </c>
      <c r="G25" s="40">
        <v>61963271.25</v>
      </c>
      <c r="H25" s="33">
        <f t="shared" si="2"/>
        <v>-22239658.25</v>
      </c>
    </row>
    <row r="26" spans="1:8" ht="12.75">
      <c r="A26" s="16" t="s">
        <v>48</v>
      </c>
      <c r="B26" s="18">
        <f>'Table B'!I26</f>
        <v>43227556</v>
      </c>
      <c r="C26" s="40">
        <f>'Table C'!I26</f>
        <v>0</v>
      </c>
      <c r="D26" s="33">
        <f t="shared" si="0"/>
        <v>43227556</v>
      </c>
      <c r="E26" s="40">
        <v>65866229.6</v>
      </c>
      <c r="F26" s="79">
        <f t="shared" si="1"/>
        <v>-22638673.6</v>
      </c>
      <c r="G26" s="40">
        <v>61749590.25</v>
      </c>
      <c r="H26" s="33">
        <f t="shared" si="2"/>
        <v>-18522034.25</v>
      </c>
    </row>
    <row r="27" spans="1:8" ht="12.75">
      <c r="A27" s="16" t="s">
        <v>49</v>
      </c>
      <c r="B27" s="18">
        <f>'Table B'!I27</f>
        <v>34551795</v>
      </c>
      <c r="C27" s="40">
        <f>'Table C'!I27</f>
        <v>0</v>
      </c>
      <c r="D27" s="33">
        <f aca="true" t="shared" si="3" ref="D27:D42">B27+C27</f>
        <v>34551795</v>
      </c>
      <c r="E27" s="40">
        <v>71913000</v>
      </c>
      <c r="F27" s="79">
        <f t="shared" si="1"/>
        <v>-37361205</v>
      </c>
      <c r="G27" s="40">
        <v>67418437.5</v>
      </c>
      <c r="H27" s="33">
        <f t="shared" si="2"/>
        <v>-32866642.5</v>
      </c>
    </row>
    <row r="28" spans="1:8" ht="12.75">
      <c r="A28" s="16" t="s">
        <v>50</v>
      </c>
      <c r="B28" s="18">
        <f>'Table B'!I28</f>
        <v>30833709</v>
      </c>
      <c r="C28" s="40">
        <f>'Table C'!I28</f>
        <v>0</v>
      </c>
      <c r="D28" s="33">
        <f t="shared" si="3"/>
        <v>30833709</v>
      </c>
      <c r="E28" s="40">
        <v>59109469.6</v>
      </c>
      <c r="F28" s="79">
        <f t="shared" si="1"/>
        <v>-28275760.6</v>
      </c>
      <c r="G28" s="40">
        <v>55415127.75</v>
      </c>
      <c r="H28" s="33">
        <f t="shared" si="2"/>
        <v>-24581418.75</v>
      </c>
    </row>
    <row r="29" spans="1:8" ht="12.75">
      <c r="A29" s="16" t="s">
        <v>51</v>
      </c>
      <c r="B29" s="18">
        <f>'Table B'!I29</f>
        <v>16625931</v>
      </c>
      <c r="C29" s="40">
        <f>'Table C'!I29</f>
        <v>7270814</v>
      </c>
      <c r="D29" s="33">
        <f t="shared" si="3"/>
        <v>23896745</v>
      </c>
      <c r="E29" s="40">
        <v>40025539.2</v>
      </c>
      <c r="F29" s="79">
        <f t="shared" si="1"/>
        <v>-16128794.200000003</v>
      </c>
      <c r="G29" s="40">
        <v>37523943</v>
      </c>
      <c r="H29" s="33">
        <f t="shared" si="2"/>
        <v>-13627198</v>
      </c>
    </row>
    <row r="30" spans="1:8" ht="12.75">
      <c r="A30" s="16" t="s">
        <v>52</v>
      </c>
      <c r="B30" s="18">
        <f>'Table B'!I30</f>
        <v>65543780</v>
      </c>
      <c r="C30" s="40">
        <f>'Table C'!I30</f>
        <v>1897379</v>
      </c>
      <c r="D30" s="33">
        <f t="shared" si="3"/>
        <v>67441159</v>
      </c>
      <c r="E30" s="40">
        <v>188763140</v>
      </c>
      <c r="F30" s="79">
        <f t="shared" si="1"/>
        <v>-121321981</v>
      </c>
      <c r="G30" s="40">
        <v>176965443.75</v>
      </c>
      <c r="H30" s="33">
        <f t="shared" si="2"/>
        <v>-109524284.75</v>
      </c>
    </row>
    <row r="31" spans="1:8" ht="12.75">
      <c r="A31" s="16" t="s">
        <v>53</v>
      </c>
      <c r="B31" s="18">
        <f>'Table B'!I31</f>
        <v>165601820</v>
      </c>
      <c r="C31" s="40">
        <f>'Table C'!I31</f>
        <v>2079212</v>
      </c>
      <c r="D31" s="33">
        <f t="shared" si="3"/>
        <v>167681032</v>
      </c>
      <c r="E31" s="40">
        <v>382877357.6</v>
      </c>
      <c r="F31" s="79">
        <f t="shared" si="1"/>
        <v>-215196325.60000002</v>
      </c>
      <c r="G31" s="40">
        <v>358947522.75</v>
      </c>
      <c r="H31" s="33">
        <f t="shared" si="2"/>
        <v>-191266490.75</v>
      </c>
    </row>
    <row r="32" spans="1:8" ht="12.75">
      <c r="A32" s="16" t="s">
        <v>54</v>
      </c>
      <c r="B32" s="18">
        <f>'Table B'!I32</f>
        <v>163314958</v>
      </c>
      <c r="C32" s="40">
        <f>'Table C'!I32</f>
        <v>0</v>
      </c>
      <c r="D32" s="33">
        <f t="shared" si="3"/>
        <v>163314958</v>
      </c>
      <c r="E32" s="40">
        <v>499752933.6</v>
      </c>
      <c r="F32" s="79">
        <f t="shared" si="1"/>
        <v>-336437975.6</v>
      </c>
      <c r="G32" s="40">
        <v>468518375.25</v>
      </c>
      <c r="H32" s="33">
        <f t="shared" si="2"/>
        <v>-305203417.25</v>
      </c>
    </row>
    <row r="33" spans="1:8" ht="12.75">
      <c r="A33" s="16" t="s">
        <v>55</v>
      </c>
      <c r="B33" s="18">
        <f>'Table B'!I33</f>
        <v>95780082</v>
      </c>
      <c r="C33" s="40">
        <f>'Table C'!I33</f>
        <v>0</v>
      </c>
      <c r="D33" s="33">
        <f t="shared" si="3"/>
        <v>95780082</v>
      </c>
      <c r="E33" s="40">
        <v>191728277.60000002</v>
      </c>
      <c r="F33" s="79">
        <f t="shared" si="1"/>
        <v>-95948195.60000002</v>
      </c>
      <c r="G33" s="40">
        <v>179745260.25</v>
      </c>
      <c r="H33" s="33">
        <f t="shared" si="2"/>
        <v>-83965178.25</v>
      </c>
    </row>
    <row r="34" spans="1:8" ht="12.75">
      <c r="A34" s="16" t="s">
        <v>56</v>
      </c>
      <c r="B34" s="18">
        <f>'Table B'!I34</f>
        <v>5647963</v>
      </c>
      <c r="C34" s="40">
        <f>'Table C'!I34</f>
        <v>0</v>
      </c>
      <c r="D34" s="33">
        <f t="shared" si="3"/>
        <v>5647963</v>
      </c>
      <c r="E34" s="40">
        <v>23172595.200000003</v>
      </c>
      <c r="F34" s="79">
        <f t="shared" si="1"/>
        <v>-17524632.200000003</v>
      </c>
      <c r="G34" s="40">
        <v>21724308</v>
      </c>
      <c r="H34" s="33">
        <f t="shared" si="2"/>
        <v>-16076345</v>
      </c>
    </row>
    <row r="35" spans="1:8" ht="12.75">
      <c r="A35" s="16" t="s">
        <v>57</v>
      </c>
      <c r="B35" s="18">
        <f>'Table B'!I35</f>
        <v>64064413</v>
      </c>
      <c r="C35" s="40">
        <f>'Table C'!I35</f>
        <v>0</v>
      </c>
      <c r="D35" s="33">
        <f t="shared" si="3"/>
        <v>64064413</v>
      </c>
      <c r="E35" s="40">
        <v>128128826.4</v>
      </c>
      <c r="F35" s="79">
        <f t="shared" si="1"/>
        <v>-64064413.400000006</v>
      </c>
      <c r="G35" s="40">
        <v>120120774.75</v>
      </c>
      <c r="H35" s="33">
        <f t="shared" si="2"/>
        <v>-56056361.75</v>
      </c>
    </row>
    <row r="36" spans="1:8" ht="12.75">
      <c r="A36" s="16" t="s">
        <v>58</v>
      </c>
      <c r="B36" s="18">
        <f>'Table B'!I36</f>
        <v>7555582</v>
      </c>
      <c r="C36" s="40">
        <f>'Table C'!I36</f>
        <v>0</v>
      </c>
      <c r="D36" s="33">
        <f t="shared" si="3"/>
        <v>7555582</v>
      </c>
      <c r="E36" s="40">
        <v>16763670.4</v>
      </c>
      <c r="F36" s="79">
        <f t="shared" si="1"/>
        <v>-9208088.4</v>
      </c>
      <c r="G36" s="40">
        <v>15715941</v>
      </c>
      <c r="H36" s="33">
        <f t="shared" si="2"/>
        <v>-8160359</v>
      </c>
    </row>
    <row r="37" spans="1:8" ht="12.75">
      <c r="A37" s="13" t="s">
        <v>59</v>
      </c>
      <c r="B37" s="18">
        <f>'Table B'!I37</f>
        <v>15207729</v>
      </c>
      <c r="C37" s="40">
        <f>'Table C'!I37</f>
        <v>0</v>
      </c>
      <c r="D37" s="33">
        <f t="shared" si="3"/>
        <v>15207729</v>
      </c>
      <c r="E37" s="40">
        <v>30538068</v>
      </c>
      <c r="F37" s="79">
        <f t="shared" si="1"/>
        <v>-15330339</v>
      </c>
      <c r="G37" s="40">
        <v>28629438.75</v>
      </c>
      <c r="H37" s="33">
        <f t="shared" si="2"/>
        <v>-13421709.75</v>
      </c>
    </row>
    <row r="38" spans="1:8" ht="12.75">
      <c r="A38" s="16" t="s">
        <v>60</v>
      </c>
      <c r="B38" s="18">
        <f>'Table B'!I38</f>
        <v>12305045</v>
      </c>
      <c r="C38" s="40">
        <f>'Table C'!I38</f>
        <v>0</v>
      </c>
      <c r="D38" s="33">
        <f t="shared" si="3"/>
        <v>12305045</v>
      </c>
      <c r="E38" s="40">
        <v>27188121.6</v>
      </c>
      <c r="F38" s="79">
        <f t="shared" si="1"/>
        <v>-14883076.600000001</v>
      </c>
      <c r="G38" s="40">
        <v>25488864</v>
      </c>
      <c r="H38" s="33">
        <f t="shared" si="2"/>
        <v>-13183819</v>
      </c>
    </row>
    <row r="39" spans="1:8" ht="12.75">
      <c r="A39" s="16" t="s">
        <v>61</v>
      </c>
      <c r="B39" s="18">
        <f>'Table B'!I39</f>
        <v>16057550</v>
      </c>
      <c r="C39" s="40">
        <f>'Table C'!I39</f>
        <v>0</v>
      </c>
      <c r="D39" s="33">
        <f t="shared" si="3"/>
        <v>16057550</v>
      </c>
      <c r="E39" s="40">
        <v>34256003.2</v>
      </c>
      <c r="F39" s="79">
        <f t="shared" si="1"/>
        <v>-18198453.200000003</v>
      </c>
      <c r="G39" s="40">
        <v>32115003</v>
      </c>
      <c r="H39" s="33">
        <f t="shared" si="2"/>
        <v>-16057453</v>
      </c>
    </row>
    <row r="40" spans="1:8" ht="12.75">
      <c r="A40" s="16" t="s">
        <v>62</v>
      </c>
      <c r="B40" s="18">
        <f>'Table B'!I40</f>
        <v>149443342</v>
      </c>
      <c r="C40" s="40">
        <f>'Table C'!I40</f>
        <v>636662</v>
      </c>
      <c r="D40" s="33">
        <f t="shared" si="3"/>
        <v>150080004</v>
      </c>
      <c r="E40" s="40">
        <v>320170673.6</v>
      </c>
      <c r="F40" s="79">
        <f t="shared" si="1"/>
        <v>-170090669.60000002</v>
      </c>
      <c r="G40" s="40">
        <v>300160006.5</v>
      </c>
      <c r="H40" s="33">
        <f t="shared" si="2"/>
        <v>-150080002.5</v>
      </c>
    </row>
    <row r="41" spans="1:8" ht="12.75">
      <c r="A41" s="16" t="s">
        <v>63</v>
      </c>
      <c r="B41" s="18">
        <f>'Table B'!I41</f>
        <v>18334584</v>
      </c>
      <c r="C41" s="40">
        <f>'Table C'!I41</f>
        <v>0</v>
      </c>
      <c r="D41" s="33">
        <f t="shared" si="3"/>
        <v>18334584</v>
      </c>
      <c r="E41" s="40">
        <v>39835872.800000004</v>
      </c>
      <c r="F41" s="79">
        <f t="shared" si="1"/>
        <v>-21501288.800000004</v>
      </c>
      <c r="G41" s="40">
        <v>37346130.75</v>
      </c>
      <c r="H41" s="33">
        <f t="shared" si="2"/>
        <v>-19011546.75</v>
      </c>
    </row>
    <row r="42" spans="1:8" ht="12.75">
      <c r="A42" s="16" t="s">
        <v>64</v>
      </c>
      <c r="B42" s="18">
        <f>'Table B'!I42</f>
        <v>783272560</v>
      </c>
      <c r="C42" s="40">
        <f>'Table C'!I42</f>
        <v>0</v>
      </c>
      <c r="D42" s="33">
        <f t="shared" si="3"/>
        <v>783272560</v>
      </c>
      <c r="E42" s="40">
        <v>1833150340.8000002</v>
      </c>
      <c r="F42" s="79">
        <f t="shared" si="1"/>
        <v>-1049877780.8000002</v>
      </c>
      <c r="G42" s="40">
        <v>1718578444.5</v>
      </c>
      <c r="H42" s="33">
        <f t="shared" si="2"/>
        <v>-935305884.5</v>
      </c>
    </row>
    <row r="43" spans="1:8" ht="12.75">
      <c r="A43" s="16" t="s">
        <v>65</v>
      </c>
      <c r="B43" s="18">
        <f>'Table B'!I43</f>
        <v>74012700</v>
      </c>
      <c r="C43" s="40">
        <f>'Table C'!I43</f>
        <v>0</v>
      </c>
      <c r="D43" s="33">
        <f aca="true" t="shared" si="4" ref="D43:D60">B43+C43</f>
        <v>74012700</v>
      </c>
      <c r="E43" s="40">
        <v>164454147.20000002</v>
      </c>
      <c r="F43" s="79">
        <f t="shared" si="1"/>
        <v>-90441447.20000002</v>
      </c>
      <c r="G43" s="40">
        <v>154175763</v>
      </c>
      <c r="H43" s="33">
        <f t="shared" si="2"/>
        <v>-80163063</v>
      </c>
    </row>
    <row r="44" spans="1:8" ht="12.75">
      <c r="A44" s="16" t="s">
        <v>66</v>
      </c>
      <c r="B44" s="18">
        <f>'Table B'!I44</f>
        <v>6018585</v>
      </c>
      <c r="C44" s="40">
        <f>'Table C'!I44</f>
        <v>0</v>
      </c>
      <c r="D44" s="33">
        <f t="shared" si="4"/>
        <v>6018585</v>
      </c>
      <c r="E44" s="40">
        <v>9673904.8</v>
      </c>
      <c r="F44" s="79">
        <f t="shared" si="1"/>
        <v>-3655319.8000000007</v>
      </c>
      <c r="G44" s="40">
        <v>9069285.75</v>
      </c>
      <c r="H44" s="33">
        <f t="shared" si="2"/>
        <v>-3050700.75</v>
      </c>
    </row>
    <row r="45" spans="1:8" ht="12.75">
      <c r="A45" s="16" t="s">
        <v>67</v>
      </c>
      <c r="B45" s="18">
        <f>'Table B'!I45</f>
        <v>212320558</v>
      </c>
      <c r="C45" s="40">
        <f>'Table C'!I45</f>
        <v>0</v>
      </c>
      <c r="D45" s="33">
        <f t="shared" si="4"/>
        <v>212320558</v>
      </c>
      <c r="E45" s="40">
        <v>416886661.6</v>
      </c>
      <c r="F45" s="79">
        <f t="shared" si="1"/>
        <v>-204566103.60000002</v>
      </c>
      <c r="G45" s="40">
        <v>390831245.25</v>
      </c>
      <c r="H45" s="33">
        <f t="shared" si="2"/>
        <v>-178510687.25</v>
      </c>
    </row>
    <row r="46" spans="1:8" ht="12.75">
      <c r="A46" s="16" t="s">
        <v>68</v>
      </c>
      <c r="B46" s="18">
        <f>'Table B'!I46</f>
        <v>32651201</v>
      </c>
      <c r="C46" s="40">
        <f>'Table C'!I46</f>
        <v>0</v>
      </c>
      <c r="D46" s="33">
        <f t="shared" si="4"/>
        <v>32651201</v>
      </c>
      <c r="E46" s="40">
        <v>65257935.2</v>
      </c>
      <c r="F46" s="79">
        <f t="shared" si="1"/>
        <v>-32606734.200000003</v>
      </c>
      <c r="G46" s="40">
        <v>61179314.25</v>
      </c>
      <c r="H46" s="33">
        <f t="shared" si="2"/>
        <v>-28528113.25</v>
      </c>
    </row>
    <row r="47" spans="1:8" ht="12.75">
      <c r="A47" s="16" t="s">
        <v>69</v>
      </c>
      <c r="B47" s="18">
        <f>'Table B'!I47</f>
        <v>41124914</v>
      </c>
      <c r="C47" s="40">
        <f>'Table C'!I47</f>
        <v>0</v>
      </c>
      <c r="D47" s="33">
        <f t="shared" si="4"/>
        <v>41124914</v>
      </c>
      <c r="E47" s="40">
        <v>97745385.60000001</v>
      </c>
      <c r="F47" s="79">
        <f t="shared" si="1"/>
        <v>-56620471.60000001</v>
      </c>
      <c r="G47" s="40">
        <v>91636299</v>
      </c>
      <c r="H47" s="33">
        <f t="shared" si="2"/>
        <v>-50511385</v>
      </c>
    </row>
    <row r="48" spans="1:8" ht="12.75">
      <c r="A48" s="16" t="s">
        <v>70</v>
      </c>
      <c r="B48" s="18">
        <f>'Table B'!I48</f>
        <v>189018223</v>
      </c>
      <c r="C48" s="40">
        <f>'Table C'!I48</f>
        <v>0</v>
      </c>
      <c r="D48" s="33">
        <f t="shared" si="4"/>
        <v>189018223</v>
      </c>
      <c r="E48" s="40">
        <v>434267306.40000004</v>
      </c>
      <c r="F48" s="79">
        <f t="shared" si="1"/>
        <v>-245249083.40000004</v>
      </c>
      <c r="G48" s="40">
        <v>407125599.75</v>
      </c>
      <c r="H48" s="33">
        <f t="shared" si="2"/>
        <v>-218107376.75</v>
      </c>
    </row>
    <row r="49" spans="1:8" ht="12.75">
      <c r="A49" s="16" t="s">
        <v>71</v>
      </c>
      <c r="B49" s="18">
        <f>'Table B'!I49</f>
        <v>37903917</v>
      </c>
      <c r="C49" s="40">
        <f>'Table C'!I49</f>
        <v>3140307</v>
      </c>
      <c r="D49" s="33">
        <f t="shared" si="4"/>
        <v>41044224</v>
      </c>
      <c r="E49" s="40">
        <v>64391515.2</v>
      </c>
      <c r="F49" s="79">
        <f t="shared" si="1"/>
        <v>-23347291.200000003</v>
      </c>
      <c r="G49" s="40">
        <v>60367045.5</v>
      </c>
      <c r="H49" s="33">
        <f t="shared" si="2"/>
        <v>-19322821.5</v>
      </c>
    </row>
    <row r="50" spans="1:8" ht="12.75">
      <c r="A50" s="16" t="s">
        <v>72</v>
      </c>
      <c r="B50" s="18">
        <f>'Table B'!I50</f>
        <v>19141339</v>
      </c>
      <c r="C50" s="40">
        <f>'Table C'!I50</f>
        <v>0</v>
      </c>
      <c r="D50" s="33">
        <f t="shared" si="4"/>
        <v>19141339</v>
      </c>
      <c r="E50" s="40">
        <v>38321856</v>
      </c>
      <c r="F50" s="79">
        <f t="shared" si="1"/>
        <v>-19180517</v>
      </c>
      <c r="G50" s="40">
        <v>35926740</v>
      </c>
      <c r="H50" s="33">
        <f t="shared" si="2"/>
        <v>-16785401</v>
      </c>
    </row>
    <row r="51" spans="1:8" ht="12.75">
      <c r="A51" s="16" t="s">
        <v>73</v>
      </c>
      <c r="B51" s="18">
        <f>'Table B'!I51</f>
        <v>4815028</v>
      </c>
      <c r="C51" s="40">
        <f>'Table C'!I51</f>
        <v>0</v>
      </c>
      <c r="D51" s="33">
        <f t="shared" si="4"/>
        <v>4815028</v>
      </c>
      <c r="E51" s="40">
        <v>9111256</v>
      </c>
      <c r="F51" s="79">
        <f t="shared" si="1"/>
        <v>-4296228</v>
      </c>
      <c r="G51" s="40">
        <v>8541802.5</v>
      </c>
      <c r="H51" s="33">
        <f t="shared" si="2"/>
        <v>-3726774.5</v>
      </c>
    </row>
    <row r="52" spans="1:8" ht="12.75">
      <c r="A52" s="16" t="s">
        <v>74</v>
      </c>
      <c r="B52" s="18">
        <f>'Table B'!I52</f>
        <v>26170495</v>
      </c>
      <c r="C52" s="40">
        <f>'Table C'!I52</f>
        <v>112584</v>
      </c>
      <c r="D52" s="33">
        <f t="shared" si="4"/>
        <v>26283079</v>
      </c>
      <c r="E52" s="40">
        <v>88330536.80000001</v>
      </c>
      <c r="F52" s="79">
        <f t="shared" si="1"/>
        <v>-62047457.80000001</v>
      </c>
      <c r="G52" s="40">
        <v>82809878.25</v>
      </c>
      <c r="H52" s="33">
        <f t="shared" si="2"/>
        <v>-56526799.25</v>
      </c>
    </row>
    <row r="53" spans="1:8" ht="12.75">
      <c r="A53" s="16" t="s">
        <v>75</v>
      </c>
      <c r="B53" s="18">
        <f>'Table B'!I53</f>
        <v>125720402</v>
      </c>
      <c r="C53" s="40">
        <f>'Table C'!I53</f>
        <v>0</v>
      </c>
      <c r="D53" s="33">
        <f t="shared" si="4"/>
        <v>125720402</v>
      </c>
      <c r="E53" s="40">
        <v>251440804</v>
      </c>
      <c r="F53" s="79">
        <f t="shared" si="1"/>
        <v>-125720402</v>
      </c>
      <c r="G53" s="40">
        <v>235725753.75</v>
      </c>
      <c r="H53" s="33">
        <f t="shared" si="2"/>
        <v>-110005351.75</v>
      </c>
    </row>
    <row r="54" spans="1:8" ht="12.75">
      <c r="A54" s="16" t="s">
        <v>76</v>
      </c>
      <c r="B54" s="18">
        <f>'Table B'!I54</f>
        <v>12645274</v>
      </c>
      <c r="C54" s="40">
        <f>'Table C'!I54</f>
        <v>0</v>
      </c>
      <c r="D54" s="33">
        <f t="shared" si="4"/>
        <v>12645274</v>
      </c>
      <c r="E54" s="40">
        <v>26976585.6</v>
      </c>
      <c r="F54" s="79">
        <f t="shared" si="1"/>
        <v>-14331311.600000001</v>
      </c>
      <c r="G54" s="40">
        <v>25290549</v>
      </c>
      <c r="H54" s="33">
        <f t="shared" si="2"/>
        <v>-12645275</v>
      </c>
    </row>
    <row r="55" spans="1:8" ht="12.75">
      <c r="A55" s="16" t="s">
        <v>77</v>
      </c>
      <c r="B55" s="18">
        <f>'Table B'!I55</f>
        <v>13681816</v>
      </c>
      <c r="C55" s="40">
        <f>'Table C'!I55</f>
        <v>0</v>
      </c>
      <c r="D55" s="33">
        <f t="shared" si="4"/>
        <v>13681816</v>
      </c>
      <c r="E55" s="40">
        <v>27253226.400000002</v>
      </c>
      <c r="F55" s="79">
        <f t="shared" si="1"/>
        <v>-13571410.400000002</v>
      </c>
      <c r="G55" s="40">
        <v>25549899.75</v>
      </c>
      <c r="H55" s="33">
        <f t="shared" si="2"/>
        <v>-11868083.75</v>
      </c>
    </row>
    <row r="56" spans="1:8" ht="12.75">
      <c r="A56" s="16" t="s">
        <v>78</v>
      </c>
      <c r="B56" s="18">
        <f>'Table B'!I56</f>
        <v>52627682</v>
      </c>
      <c r="C56" s="40">
        <f>'Table C'!I56</f>
        <v>0</v>
      </c>
      <c r="D56" s="33">
        <f t="shared" si="4"/>
        <v>52627682</v>
      </c>
      <c r="E56" s="40">
        <v>136718048</v>
      </c>
      <c r="F56" s="79">
        <f t="shared" si="1"/>
        <v>-84090366</v>
      </c>
      <c r="G56" s="40">
        <v>128173170</v>
      </c>
      <c r="H56" s="33">
        <f t="shared" si="2"/>
        <v>-75545488</v>
      </c>
    </row>
    <row r="57" spans="1:8" ht="12.75">
      <c r="A57" s="16" t="s">
        <v>79</v>
      </c>
      <c r="B57" s="18">
        <f>'Table B'!I57</f>
        <v>132242565</v>
      </c>
      <c r="C57" s="40">
        <f>'Table C'!I57</f>
        <v>2033574</v>
      </c>
      <c r="D57" s="33">
        <f t="shared" si="4"/>
        <v>134276139</v>
      </c>
      <c r="E57" s="40">
        <v>290198212</v>
      </c>
      <c r="F57" s="79">
        <f t="shared" si="1"/>
        <v>-155922073</v>
      </c>
      <c r="G57" s="40">
        <v>272060823.75</v>
      </c>
      <c r="H57" s="33">
        <f t="shared" si="2"/>
        <v>-137784684.75</v>
      </c>
    </row>
    <row r="58" spans="1:8" ht="12.75">
      <c r="A58" s="16" t="s">
        <v>80</v>
      </c>
      <c r="B58" s="18">
        <f>'Table B'!I58</f>
        <v>22186948</v>
      </c>
      <c r="C58" s="40">
        <f>'Table C'!I58</f>
        <v>0</v>
      </c>
      <c r="D58" s="33">
        <f t="shared" si="4"/>
        <v>22186948</v>
      </c>
      <c r="E58" s="40">
        <v>34446442.4</v>
      </c>
      <c r="F58" s="79">
        <f t="shared" si="1"/>
        <v>-12259494.399999999</v>
      </c>
      <c r="G58" s="40">
        <v>32293539.75</v>
      </c>
      <c r="H58" s="33">
        <f t="shared" si="2"/>
        <v>-10106591.75</v>
      </c>
    </row>
    <row r="59" spans="1:8" ht="12.75">
      <c r="A59" s="16" t="s">
        <v>81</v>
      </c>
      <c r="B59" s="18">
        <f>'Table B'!I59</f>
        <v>69035695</v>
      </c>
      <c r="C59" s="40">
        <f>'Table C'!I59</f>
        <v>839593</v>
      </c>
      <c r="D59" s="33">
        <f t="shared" si="4"/>
        <v>69875288</v>
      </c>
      <c r="E59" s="40">
        <v>180122550</v>
      </c>
      <c r="F59" s="79">
        <f t="shared" si="1"/>
        <v>-110247262</v>
      </c>
      <c r="G59" s="40">
        <v>168864890</v>
      </c>
      <c r="H59" s="33">
        <f t="shared" si="2"/>
        <v>-98989602</v>
      </c>
    </row>
    <row r="60" spans="1:8" ht="12.75">
      <c r="A60" s="19" t="s">
        <v>82</v>
      </c>
      <c r="B60" s="18">
        <f>'Table B'!I60</f>
        <v>5173694</v>
      </c>
      <c r="C60" s="40">
        <f>'Table C'!I60</f>
        <v>777626</v>
      </c>
      <c r="D60" s="33">
        <f t="shared" si="4"/>
        <v>5951320</v>
      </c>
      <c r="E60" s="40">
        <v>11249244</v>
      </c>
      <c r="F60" s="79">
        <f t="shared" si="1"/>
        <v>-5297924</v>
      </c>
      <c r="G60" s="40">
        <v>10546166.25</v>
      </c>
      <c r="H60" s="33">
        <f t="shared" si="2"/>
        <v>-4594846.25</v>
      </c>
    </row>
    <row r="61" spans="1:8" ht="12.75">
      <c r="A61" s="16"/>
      <c r="D61" s="33"/>
      <c r="E61" s="40"/>
      <c r="F61" s="79">
        <f>D61-E61</f>
        <v>0</v>
      </c>
      <c r="G61" s="40"/>
      <c r="H61" s="33">
        <f t="shared" si="2"/>
        <v>0</v>
      </c>
    </row>
    <row r="62" spans="1:8" ht="13.5" thickBot="1">
      <c r="A62" s="22" t="s">
        <v>83</v>
      </c>
      <c r="B62" s="18">
        <f>SUM(B10:B60)</f>
        <v>4257729726</v>
      </c>
      <c r="C62" s="18">
        <f aca="true" t="shared" si="5" ref="C62:H62">SUM(C10:C60)</f>
        <v>159537838</v>
      </c>
      <c r="D62" s="18">
        <f t="shared" si="5"/>
        <v>4417267564</v>
      </c>
      <c r="E62" s="18">
        <f t="shared" si="5"/>
        <v>11121381852.600002</v>
      </c>
      <c r="F62" s="18">
        <f t="shared" si="5"/>
        <v>-6704114288.599999</v>
      </c>
      <c r="G62" s="18">
        <f t="shared" si="5"/>
        <v>10426295486.25</v>
      </c>
      <c r="H62" s="18">
        <f t="shared" si="5"/>
        <v>-6009027922.25</v>
      </c>
    </row>
    <row r="63" ht="13.5" thickTop="1"/>
    <row r="64" ht="12.75">
      <c r="A64" s="1" t="s">
        <v>85</v>
      </c>
    </row>
    <row r="65" ht="12.75">
      <c r="A65" t="s">
        <v>341</v>
      </c>
    </row>
    <row r="66" ht="12.75">
      <c r="A66" t="s">
        <v>240</v>
      </c>
    </row>
  </sheetData>
  <mergeCells count="2">
    <mergeCell ref="A3:H3"/>
    <mergeCell ref="A2:H2"/>
  </mergeCells>
  <printOptions gridLines="1" horizontalCentered="1"/>
  <pageMargins left="0.2" right="0" top="0.36" bottom="0.25" header="0.24" footer="0"/>
  <pageSetup fitToHeight="1" fitToWidth="1" horizontalDpi="300" verticalDpi="300" orientation="landscape" scale="69" r:id="rId1"/>
  <headerFooter alignWithMargins="0">
    <oddHeader>&amp;C&amp;A&amp;R&amp;9&amp;D</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topLeftCell="A1">
      <selection activeCell="A1" sqref="A1:J1"/>
    </sheetView>
  </sheetViews>
  <sheetFormatPr defaultColWidth="9.140625" defaultRowHeight="12.75"/>
  <cols>
    <col min="1" max="1" width="20.7109375" style="0" bestFit="1" customWidth="1"/>
    <col min="2" max="2" width="1.1484375" style="0" customWidth="1"/>
    <col min="3" max="3" width="20.00390625" style="0" bestFit="1" customWidth="1"/>
    <col min="4" max="4" width="14.00390625" style="0" customWidth="1"/>
    <col min="5" max="5" width="12.421875" style="0" bestFit="1" customWidth="1"/>
    <col min="6" max="6" width="17.28125" style="0" bestFit="1" customWidth="1"/>
    <col min="7" max="7" width="14.28125" style="0" customWidth="1"/>
    <col min="8" max="8" width="15.00390625" style="0" bestFit="1" customWidth="1"/>
    <col min="9" max="10" width="15.421875" style="0" bestFit="1" customWidth="1"/>
  </cols>
  <sheetData>
    <row r="1" spans="1:10" ht="15.75">
      <c r="A1" s="186" t="s">
        <v>357</v>
      </c>
      <c r="B1" s="186"/>
      <c r="C1" s="186"/>
      <c r="D1" s="186"/>
      <c r="E1" s="186"/>
      <c r="F1" s="186"/>
      <c r="G1" s="186"/>
      <c r="H1" s="186"/>
      <c r="I1" s="186"/>
      <c r="J1" s="186"/>
    </row>
    <row r="2" spans="1:10" ht="15.75">
      <c r="A2" s="39"/>
      <c r="B2" s="39"/>
      <c r="C2" s="179" t="s">
        <v>339</v>
      </c>
      <c r="D2" s="39"/>
      <c r="E2" s="39"/>
      <c r="F2" s="39"/>
      <c r="G2" s="39"/>
      <c r="H2" s="39"/>
      <c r="I2" s="39"/>
      <c r="J2" s="39"/>
    </row>
    <row r="3" spans="1:10" ht="15.75">
      <c r="A3" s="39"/>
      <c r="B3" s="39"/>
      <c r="C3" s="39"/>
      <c r="D3" s="179" t="s">
        <v>354</v>
      </c>
      <c r="E3" s="39"/>
      <c r="F3" s="39"/>
      <c r="G3" s="39"/>
      <c r="H3" s="39"/>
      <c r="I3" s="39"/>
      <c r="J3" s="39"/>
    </row>
    <row r="4" ht="12.75">
      <c r="A4" s="109" t="s">
        <v>1</v>
      </c>
    </row>
    <row r="5" spans="1:10" ht="15.75">
      <c r="A5" s="111" t="s">
        <v>2</v>
      </c>
      <c r="C5" s="112">
        <v>5</v>
      </c>
      <c r="D5" s="112">
        <v>6</v>
      </c>
      <c r="E5" s="112">
        <v>7</v>
      </c>
      <c r="F5" s="112">
        <v>8</v>
      </c>
      <c r="G5" s="112" t="s">
        <v>4</v>
      </c>
      <c r="H5" s="112">
        <v>9</v>
      </c>
      <c r="I5" s="112">
        <v>10</v>
      </c>
      <c r="J5" s="112">
        <v>11</v>
      </c>
    </row>
    <row r="6" spans="1:10" ht="12.75">
      <c r="A6" s="111" t="s">
        <v>3</v>
      </c>
      <c r="C6" s="114" t="s">
        <v>9</v>
      </c>
      <c r="D6" s="114" t="s">
        <v>10</v>
      </c>
      <c r="E6" s="114" t="s">
        <v>11</v>
      </c>
      <c r="F6" s="114" t="s">
        <v>12</v>
      </c>
      <c r="G6" s="114" t="s">
        <v>13</v>
      </c>
      <c r="H6" s="114" t="s">
        <v>14</v>
      </c>
      <c r="I6" s="114" t="s">
        <v>15</v>
      </c>
      <c r="J6" s="114" t="s">
        <v>16</v>
      </c>
    </row>
    <row r="7" spans="3:10" ht="12.75">
      <c r="C7" s="116" t="s">
        <v>24</v>
      </c>
      <c r="D7" s="116" t="s">
        <v>25</v>
      </c>
      <c r="E7" s="116" t="s">
        <v>26</v>
      </c>
      <c r="F7" s="116"/>
      <c r="G7" s="116"/>
      <c r="H7" s="116" t="s">
        <v>27</v>
      </c>
      <c r="I7" s="116" t="s">
        <v>28</v>
      </c>
      <c r="J7" s="116" t="s">
        <v>28</v>
      </c>
    </row>
    <row r="9" spans="1:10" ht="12.75">
      <c r="A9" s="119" t="s">
        <v>32</v>
      </c>
      <c r="C9" s="172">
        <f>'Table A - Combined 2ndQ99'!G10+'Table B'!B10+'Table C'!B10</f>
        <v>19542353</v>
      </c>
      <c r="D9" s="172">
        <f>'Table A - Combined 2ndQ99'!H10+'Table B'!C10+'Table C'!C10</f>
        <v>7105356</v>
      </c>
      <c r="E9" s="172">
        <f>'Table A - Combined 2ndQ99'!I10+'Table B'!D10+'Table C'!D10</f>
        <v>2745027</v>
      </c>
      <c r="F9" s="172">
        <f>'Table A - Combined 2ndQ99'!J10+'Table B'!E10+'Table C'!E10</f>
        <v>5021400</v>
      </c>
      <c r="G9" s="172">
        <f>'Table A - Combined 2ndQ99'!K10+'Table B'!F10+'Table C'!F10</f>
        <v>1308490</v>
      </c>
      <c r="H9" s="172">
        <f>'Table A - Combined 2ndQ99'!L10+'Table B'!G10+'Table C'!G10</f>
        <v>0</v>
      </c>
      <c r="I9" s="172">
        <f>'Table A - Combined 2ndQ99'!M10+'Table B'!H10+'Table C'!H10</f>
        <v>7508431</v>
      </c>
      <c r="J9" s="172">
        <f>'Table A - Combined 2ndQ99'!N10+'Table B'!I10+'Table C'!I10</f>
        <v>43231057</v>
      </c>
    </row>
    <row r="10" spans="1:10" ht="12.75">
      <c r="A10" s="119" t="s">
        <v>33</v>
      </c>
      <c r="C10" s="172">
        <f>'Table A - Combined 2ndQ99'!G11+'Table B'!B11+'Table C'!B11</f>
        <v>32481043</v>
      </c>
      <c r="D10" s="172">
        <f>'Table A - Combined 2ndQ99'!H11+'Table B'!C11+'Table C'!C11</f>
        <v>4945306</v>
      </c>
      <c r="E10" s="172">
        <f>'Table A - Combined 2ndQ99'!I11+'Table B'!D11+'Table C'!D11</f>
        <v>3858198</v>
      </c>
      <c r="F10" s="172">
        <f>'Table A - Combined 2ndQ99'!J11+'Table B'!E11+'Table C'!E11</f>
        <v>3414237</v>
      </c>
      <c r="G10" s="172">
        <f>'Table A - Combined 2ndQ99'!K11+'Table B'!F11+'Table C'!F11</f>
        <v>1092728</v>
      </c>
      <c r="H10" s="172">
        <f>'Table A - Combined 2ndQ99'!L11+'Table B'!G11+'Table C'!G11</f>
        <v>0</v>
      </c>
      <c r="I10" s="172">
        <f>'Table A - Combined 2ndQ99'!M11+'Table B'!H11+'Table C'!H11</f>
        <v>255365</v>
      </c>
      <c r="J10" s="172">
        <f>'Table A - Combined 2ndQ99'!N11+'Table B'!I11+'Table C'!I11</f>
        <v>46046877</v>
      </c>
    </row>
    <row r="11" spans="1:10" ht="12.75">
      <c r="A11" s="123" t="s">
        <v>34</v>
      </c>
      <c r="C11" s="172">
        <f>'Table A - Combined 2ndQ99'!G12+'Table B'!B12+'Table C'!B12</f>
        <v>59233214</v>
      </c>
      <c r="D11" s="172">
        <f>'Table A - Combined 2ndQ99'!H12+'Table B'!C12+'Table C'!C12</f>
        <v>2143365</v>
      </c>
      <c r="E11" s="172">
        <f>'Table A - Combined 2ndQ99'!I12+'Table B'!D12+'Table C'!D12</f>
        <v>5485478</v>
      </c>
      <c r="F11" s="172">
        <f>'Table A - Combined 2ndQ99'!J12+'Table B'!E12+'Table C'!E12</f>
        <v>14003472</v>
      </c>
      <c r="G11" s="172">
        <f>'Table A - Combined 2ndQ99'!K12+'Table B'!F12+'Table C'!F12</f>
        <v>427766</v>
      </c>
      <c r="H11" s="172">
        <f>'Table A - Combined 2ndQ99'!L12+'Table B'!G12+'Table C'!G12</f>
        <v>334</v>
      </c>
      <c r="I11" s="172">
        <f>'Table A - Combined 2ndQ99'!M12+'Table B'!H12+'Table C'!H12</f>
        <v>29467055</v>
      </c>
      <c r="J11" s="172">
        <f>'Table A - Combined 2ndQ99'!N12+'Table B'!I12+'Table C'!I12</f>
        <v>110760684</v>
      </c>
    </row>
    <row r="12" spans="1:10" ht="12.75">
      <c r="A12" s="123" t="s">
        <v>35</v>
      </c>
      <c r="C12" s="172">
        <f>'Table A - Combined 2ndQ99'!G13+'Table B'!B13+'Table C'!B13</f>
        <v>11192067</v>
      </c>
      <c r="D12" s="172">
        <f>'Table A - Combined 2ndQ99'!H13+'Table B'!C13+'Table C'!C13</f>
        <v>7658926</v>
      </c>
      <c r="E12" s="172">
        <f>'Table A - Combined 2ndQ99'!I13+'Table B'!D13+'Table C'!D13</f>
        <v>1812167</v>
      </c>
      <c r="F12" s="172">
        <f>'Table A - Combined 2ndQ99'!J13+'Table B'!E13+'Table C'!E13</f>
        <v>2594435</v>
      </c>
      <c r="G12" s="172">
        <f>'Table A - Combined 2ndQ99'!K13+'Table B'!F13+'Table C'!F13</f>
        <v>507090</v>
      </c>
      <c r="H12" s="172">
        <f>'Table A - Combined 2ndQ99'!L13+'Table B'!G13+'Table C'!G13</f>
        <v>908153</v>
      </c>
      <c r="I12" s="172">
        <f>'Table A - Combined 2ndQ99'!M13+'Table B'!H13+'Table C'!H13</f>
        <v>4431291</v>
      </c>
      <c r="J12" s="172">
        <f>'Table A - Combined 2ndQ99'!N13+'Table B'!I13+'Table C'!I13</f>
        <v>29104129</v>
      </c>
    </row>
    <row r="13" spans="1:10" ht="12.75">
      <c r="A13" s="123" t="s">
        <v>94</v>
      </c>
      <c r="C13" s="172">
        <f>'Table A - Combined 2ndQ99'!G14+'Table B'!B14+'Table C'!B14</f>
        <v>1720705851</v>
      </c>
      <c r="D13" s="172">
        <f>'Table A - Combined 2ndQ99'!H14+'Table B'!C14+'Table C'!C14</f>
        <v>112428337</v>
      </c>
      <c r="E13" s="172">
        <f>'Table A - Combined 2ndQ99'!I14+'Table B'!D14+'Table C'!D14</f>
        <v>197959378</v>
      </c>
      <c r="F13" s="172">
        <f>'Table A - Combined 2ndQ99'!J14+'Table B'!E14+'Table C'!E14</f>
        <v>112811437</v>
      </c>
      <c r="G13" s="172">
        <f>'Table A - Combined 2ndQ99'!K14+'Table B'!F14+'Table C'!F14</f>
        <v>39072682</v>
      </c>
      <c r="H13" s="172">
        <f>'Table A - Combined 2ndQ99'!L14+'Table B'!G14+'Table C'!G14</f>
        <v>6043132</v>
      </c>
      <c r="I13" s="172">
        <f>'Table A - Combined 2ndQ99'!M14+'Table B'!H14+'Table C'!H14</f>
        <v>257790524</v>
      </c>
      <c r="J13" s="172">
        <f>'Table A - Combined 2ndQ99'!N14+'Table B'!I14+'Table C'!I14</f>
        <v>2446811341</v>
      </c>
    </row>
    <row r="14" spans="1:10" ht="12.75">
      <c r="A14" s="123" t="s">
        <v>95</v>
      </c>
      <c r="C14" s="172">
        <f>'Table A - Combined 2ndQ99'!G15+'Table B'!B15+'Table C'!B15</f>
        <v>29758373</v>
      </c>
      <c r="D14" s="172">
        <f>'Table A - Combined 2ndQ99'!H15+'Table B'!C15+'Table C'!C15</f>
        <v>4132208</v>
      </c>
      <c r="E14" s="172">
        <f>'Table A - Combined 2ndQ99'!I15+'Table B'!D15+'Table C'!D15</f>
        <v>5332197</v>
      </c>
      <c r="F14" s="172">
        <f>'Table A - Combined 2ndQ99'!J15+'Table B'!E15+'Table C'!E15</f>
        <v>4735612</v>
      </c>
      <c r="G14" s="172">
        <f>'Table A - Combined 2ndQ99'!K15+'Table B'!F15+'Table C'!F15</f>
        <v>3757694</v>
      </c>
      <c r="H14" s="172">
        <f>'Table A - Combined 2ndQ99'!L15+'Table B'!G15+'Table C'!G15</f>
        <v>0</v>
      </c>
      <c r="I14" s="172">
        <f>'Table A - Combined 2ndQ99'!M15+'Table B'!H15+'Table C'!H15</f>
        <v>34237060</v>
      </c>
      <c r="J14" s="172">
        <f>'Table A - Combined 2ndQ99'!N15+'Table B'!I15+'Table C'!I15</f>
        <v>81953144</v>
      </c>
    </row>
    <row r="15" spans="1:10" ht="12.75">
      <c r="A15" s="123" t="s">
        <v>38</v>
      </c>
      <c r="C15" s="172">
        <f>'Table A - Combined 2ndQ99'!G16+'Table B'!B16+'Table C'!B16</f>
        <v>105327619</v>
      </c>
      <c r="D15" s="172">
        <f>'Table A - Combined 2ndQ99'!H16+'Table B'!C16+'Table C'!C16</f>
        <v>0</v>
      </c>
      <c r="E15" s="172">
        <f>'Table A - Combined 2ndQ99'!I16+'Table B'!D16+'Table C'!D16</f>
        <v>64831577</v>
      </c>
      <c r="F15" s="172">
        <f>'Table A - Combined 2ndQ99'!J16+'Table B'!E16+'Table C'!E16</f>
        <v>15899801</v>
      </c>
      <c r="G15" s="172">
        <f>'Table A - Combined 2ndQ99'!K16+'Table B'!F16+'Table C'!F16</f>
        <v>4470992</v>
      </c>
      <c r="H15" s="172">
        <f>'Table A - Combined 2ndQ99'!L16+'Table B'!G16+'Table C'!G16</f>
        <v>0</v>
      </c>
      <c r="I15" s="172">
        <f>'Table A - Combined 2ndQ99'!M16+'Table B'!H16+'Table C'!H16</f>
        <v>6933799</v>
      </c>
      <c r="J15" s="172">
        <f>'Table A - Combined 2ndQ99'!N16+'Table B'!I16+'Table C'!I16</f>
        <v>197463788</v>
      </c>
    </row>
    <row r="16" spans="1:10" ht="12.75">
      <c r="A16" s="123" t="s">
        <v>39</v>
      </c>
      <c r="C16" s="172">
        <f>'Table A - Combined 2ndQ99'!G17+'Table B'!B17+'Table C'!B17</f>
        <v>10385294</v>
      </c>
      <c r="D16" s="172">
        <f>'Table A - Combined 2ndQ99'!H17+'Table B'!C17+'Table C'!C17</f>
        <v>4701458</v>
      </c>
      <c r="E16" s="172">
        <f>'Table A - Combined 2ndQ99'!I17+'Table B'!D17+'Table C'!D17</f>
        <v>3303143</v>
      </c>
      <c r="F16" s="172">
        <f>'Table A - Combined 2ndQ99'!J17+'Table B'!E17+'Table C'!E17</f>
        <v>2360658</v>
      </c>
      <c r="G16" s="172">
        <f>'Table A - Combined 2ndQ99'!K17+'Table B'!F17+'Table C'!F17</f>
        <v>5276974</v>
      </c>
      <c r="H16" s="172">
        <f>'Table A - Combined 2ndQ99'!L17+'Table B'!G17+'Table C'!G17</f>
        <v>0</v>
      </c>
      <c r="I16" s="172">
        <f>'Table A - Combined 2ndQ99'!M17+'Table B'!H17+'Table C'!H17</f>
        <v>0</v>
      </c>
      <c r="J16" s="172">
        <f>'Table A - Combined 2ndQ99'!N17+'Table B'!I17+'Table C'!I17</f>
        <v>26027527</v>
      </c>
    </row>
    <row r="17" spans="1:10" ht="12.75">
      <c r="A17" s="123" t="s">
        <v>40</v>
      </c>
      <c r="C17" s="172">
        <f>'Table A - Combined 2ndQ99'!G18+'Table B'!B18+'Table C'!B18</f>
        <v>41133881</v>
      </c>
      <c r="D17" s="172">
        <f>'Table A - Combined 2ndQ99'!H18+'Table B'!C18+'Table C'!C18</f>
        <v>12260252</v>
      </c>
      <c r="E17" s="172">
        <f>'Table A - Combined 2ndQ99'!I18+'Table B'!D18+'Table C'!D18</f>
        <v>8599350</v>
      </c>
      <c r="F17" s="172">
        <f>'Table A - Combined 2ndQ99'!J18+'Table B'!E18+'Table C'!E18</f>
        <v>5837733</v>
      </c>
      <c r="G17" s="172">
        <f>'Table A - Combined 2ndQ99'!K18+'Table B'!F18+'Table C'!F18</f>
        <v>656167</v>
      </c>
      <c r="H17" s="172">
        <f>'Table A - Combined 2ndQ99'!L18+'Table B'!G18+'Table C'!G18</f>
        <v>0</v>
      </c>
      <c r="I17" s="172">
        <f>'Table A - Combined 2ndQ99'!M18+'Table B'!H18+'Table C'!H18</f>
        <v>365000</v>
      </c>
      <c r="J17" s="172">
        <f>'Table A - Combined 2ndQ99'!N18+'Table B'!I18+'Table C'!I18</f>
        <v>68852383</v>
      </c>
    </row>
    <row r="18" spans="1:10" ht="12.75">
      <c r="A18" s="123" t="s">
        <v>96</v>
      </c>
      <c r="C18" s="172">
        <f>'Table A - Combined 2ndQ99'!G19+'Table B'!B19+'Table C'!B19</f>
        <v>177079642</v>
      </c>
      <c r="D18" s="172">
        <f>'Table A - Combined 2ndQ99'!H19+'Table B'!C19+'Table C'!C19</f>
        <v>85349381</v>
      </c>
      <c r="E18" s="172">
        <f>'Table A - Combined 2ndQ99'!I19+'Table B'!D19+'Table C'!D19</f>
        <v>52715636</v>
      </c>
      <c r="F18" s="172">
        <f>'Table A - Combined 2ndQ99'!J19+'Table B'!E19+'Table C'!E19</f>
        <v>42113454</v>
      </c>
      <c r="G18" s="172">
        <f>'Table A - Combined 2ndQ99'!K19+'Table B'!F19+'Table C'!F19</f>
        <v>6702412</v>
      </c>
      <c r="H18" s="172">
        <f>'Table A - Combined 2ndQ99'!L19+'Table B'!G19+'Table C'!G19</f>
        <v>4442914</v>
      </c>
      <c r="I18" s="172">
        <f>'Table A - Combined 2ndQ99'!M19+'Table B'!H19+'Table C'!H19</f>
        <v>-13203451</v>
      </c>
      <c r="J18" s="172">
        <f>'Table A - Combined 2ndQ99'!N19+'Table B'!I19+'Table C'!I19</f>
        <v>355199988</v>
      </c>
    </row>
    <row r="19" spans="1:10" ht="12.75">
      <c r="A19" s="123" t="s">
        <v>42</v>
      </c>
      <c r="C19" s="172">
        <f>'Table A - Combined 2ndQ99'!G20+'Table B'!B20+'Table C'!B20</f>
        <v>76909803</v>
      </c>
      <c r="D19" s="172">
        <f>'Table A - Combined 2ndQ99'!H20+'Table B'!C20+'Table C'!C20</f>
        <v>15816740</v>
      </c>
      <c r="E19" s="172">
        <f>'Table A - Combined 2ndQ99'!I20+'Table B'!D20+'Table C'!D20</f>
        <v>0</v>
      </c>
      <c r="F19" s="172">
        <f>'Table A - Combined 2ndQ99'!J20+'Table B'!E20+'Table C'!E20</f>
        <v>17197093</v>
      </c>
      <c r="G19" s="172">
        <f>'Table A - Combined 2ndQ99'!K20+'Table B'!F20+'Table C'!F20</f>
        <v>5296054</v>
      </c>
      <c r="H19" s="172">
        <f>'Table A - Combined 2ndQ99'!L20+'Table B'!G20+'Table C'!G20</f>
        <v>0</v>
      </c>
      <c r="I19" s="172">
        <f>'Table A - Combined 2ndQ99'!M20+'Table B'!H20+'Table C'!H20</f>
        <v>18788164</v>
      </c>
      <c r="J19" s="172">
        <f>'Table A - Combined 2ndQ99'!N20+'Table B'!I20+'Table C'!I20</f>
        <v>134007854</v>
      </c>
    </row>
    <row r="20" spans="1:10" ht="12.75">
      <c r="A20" s="123" t="s">
        <v>43</v>
      </c>
      <c r="C20" s="172">
        <f>'Table A - Combined 2ndQ99'!G21+'Table B'!B21+'Table C'!B21</f>
        <v>75701737</v>
      </c>
      <c r="D20" s="172">
        <f>'Table A - Combined 2ndQ99'!H21+'Table B'!C21+'Table C'!C21</f>
        <v>2260390</v>
      </c>
      <c r="E20" s="172">
        <f>'Table A - Combined 2ndQ99'!I21+'Table B'!D21+'Table C'!D21</f>
        <v>0</v>
      </c>
      <c r="F20" s="172">
        <f>'Table A - Combined 2ndQ99'!J21+'Table B'!E21+'Table C'!E21</f>
        <v>4667232</v>
      </c>
      <c r="G20" s="172">
        <f>'Table A - Combined 2ndQ99'!K21+'Table B'!F21+'Table C'!F21</f>
        <v>1736650</v>
      </c>
      <c r="H20" s="172">
        <f>'Table A - Combined 2ndQ99'!L21+'Table B'!G21+'Table C'!G21</f>
        <v>0</v>
      </c>
      <c r="I20" s="172">
        <f>'Table A - Combined 2ndQ99'!M21+'Table B'!H21+'Table C'!H21</f>
        <v>0</v>
      </c>
      <c r="J20" s="172">
        <f>'Table A - Combined 2ndQ99'!N21+'Table B'!I21+'Table C'!I21</f>
        <v>84366009</v>
      </c>
    </row>
    <row r="21" spans="1:10" ht="12.75">
      <c r="A21" s="123" t="s">
        <v>276</v>
      </c>
      <c r="C21" s="172">
        <f>'Table A - Combined 2ndQ99'!G22+'Table B'!B22+'Table C'!B22</f>
        <v>2275880</v>
      </c>
      <c r="D21" s="172">
        <f>'Table A - Combined 2ndQ99'!H22+'Table B'!C22+'Table C'!C22</f>
        <v>704184</v>
      </c>
      <c r="E21" s="172">
        <f>'Table A - Combined 2ndQ99'!I22+'Table B'!D22+'Table C'!D22</f>
        <v>685895</v>
      </c>
      <c r="F21" s="172">
        <f>'Table A - Combined 2ndQ99'!J22+'Table B'!E22+'Table C'!E22</f>
        <v>374365</v>
      </c>
      <c r="G21" s="172">
        <f>'Table A - Combined 2ndQ99'!K22+'Table B'!F22+'Table C'!F22</f>
        <v>431429</v>
      </c>
      <c r="H21" s="172">
        <f>'Table A - Combined 2ndQ99'!L22+'Table B'!G22+'Table C'!G22</f>
        <v>133392</v>
      </c>
      <c r="I21" s="172">
        <f>'Table A - Combined 2ndQ99'!M22+'Table B'!H22+'Table C'!H22</f>
        <v>1256232</v>
      </c>
      <c r="J21" s="172">
        <f>'Table A - Combined 2ndQ99'!N22+'Table B'!I22+'Table C'!I22</f>
        <v>5861377</v>
      </c>
    </row>
    <row r="22" spans="1:10" ht="12.75">
      <c r="A22" s="124" t="s">
        <v>45</v>
      </c>
      <c r="C22" s="172">
        <f>'Table A - Combined 2ndQ99'!G23+'Table B'!B23+'Table C'!B23</f>
        <v>279241011</v>
      </c>
      <c r="D22" s="172">
        <f>'Table A - Combined 2ndQ99'!H23+'Table B'!C23+'Table C'!C23</f>
        <v>10436447</v>
      </c>
      <c r="E22" s="172">
        <f>'Table A - Combined 2ndQ99'!I23+'Table B'!D23+'Table C'!D23</f>
        <v>65963597</v>
      </c>
      <c r="F22" s="172">
        <f>'Table A - Combined 2ndQ99'!J23+'Table B'!E23+'Table C'!E23</f>
        <v>52628266</v>
      </c>
      <c r="G22" s="172">
        <f>'Table A - Combined 2ndQ99'!K23+'Table B'!F23+'Table C'!F23</f>
        <v>2920474</v>
      </c>
      <c r="H22" s="172">
        <f>'Table A - Combined 2ndQ99'!L23+'Table B'!G23+'Table C'!G23</f>
        <v>0</v>
      </c>
      <c r="I22" s="172">
        <f>'Table A - Combined 2ndQ99'!M23+'Table B'!H23+'Table C'!H23</f>
        <v>0</v>
      </c>
      <c r="J22" s="172">
        <f>'Table A - Combined 2ndQ99'!N23+'Table B'!I23+'Table C'!I23</f>
        <v>411189795</v>
      </c>
    </row>
    <row r="23" spans="1:10" ht="12.75">
      <c r="A23" s="124" t="s">
        <v>98</v>
      </c>
      <c r="C23" s="172">
        <f>'Table A - Combined 2ndQ99'!G24+'Table B'!B24+'Table C'!B24</f>
        <v>51232745</v>
      </c>
      <c r="D23" s="172">
        <f>'Table A - Combined 2ndQ99'!H24+'Table B'!C24+'Table C'!C24</f>
        <v>6732275</v>
      </c>
      <c r="E23" s="172">
        <f>'Table A - Combined 2ndQ99'!I24+'Table B'!D24+'Table C'!D24</f>
        <v>7679260</v>
      </c>
      <c r="F23" s="172">
        <f>'Table A - Combined 2ndQ99'!J24+'Table B'!E24+'Table C'!E24</f>
        <v>9503592</v>
      </c>
      <c r="G23" s="172">
        <f>'Table A - Combined 2ndQ99'!K24+'Table B'!F24+'Table C'!F24</f>
        <v>3631045</v>
      </c>
      <c r="H23" s="172">
        <f>'Table A - Combined 2ndQ99'!L24+'Table B'!G24+'Table C'!G24</f>
        <v>0</v>
      </c>
      <c r="I23" s="172">
        <f>'Table A - Combined 2ndQ99'!M24+'Table B'!H24+'Table C'!H24</f>
        <v>7939106</v>
      </c>
      <c r="J23" s="172">
        <f>'Table A - Combined 2ndQ99'!N24+'Table B'!I24+'Table C'!I24</f>
        <v>86718023</v>
      </c>
    </row>
    <row r="24" spans="1:10" ht="12.75">
      <c r="A24" s="124" t="s">
        <v>47</v>
      </c>
      <c r="C24" s="172">
        <f>'Table A - Combined 2ndQ99'!G25+'Table B'!B25+'Table C'!B25</f>
        <v>46912612</v>
      </c>
      <c r="D24" s="172">
        <f>'Table A - Combined 2ndQ99'!H25+'Table B'!C25+'Table C'!C25</f>
        <v>12053574</v>
      </c>
      <c r="E24" s="172">
        <f>'Table A - Combined 2ndQ99'!I25+'Table B'!D25+'Table C'!D25</f>
        <v>5004691</v>
      </c>
      <c r="F24" s="172">
        <f>'Table A - Combined 2ndQ99'!J25+'Table B'!E25+'Table C'!E25</f>
        <v>13468586</v>
      </c>
      <c r="G24" s="172">
        <f>'Table A - Combined 2ndQ99'!K25+'Table B'!F25+'Table C'!F25</f>
        <v>2189817</v>
      </c>
      <c r="H24" s="172">
        <f>'Table A - Combined 2ndQ99'!L25+'Table B'!G25+'Table C'!G25</f>
        <v>0</v>
      </c>
      <c r="I24" s="172">
        <f>'Table A - Combined 2ndQ99'!M25+'Table B'!H25+'Table C'!H25</f>
        <v>13271831</v>
      </c>
      <c r="J24" s="172">
        <f>'Table A - Combined 2ndQ99'!N25+'Table B'!I25+'Table C'!I25</f>
        <v>92901111</v>
      </c>
    </row>
    <row r="25" spans="1:10" ht="12.75">
      <c r="A25" s="124" t="s">
        <v>48</v>
      </c>
      <c r="C25" s="172">
        <f>'Table A - Combined 2ndQ99'!G26+'Table B'!B26+'Table C'!B26</f>
        <v>23236602</v>
      </c>
      <c r="D25" s="172">
        <f>'Table A - Combined 2ndQ99'!H26+'Table B'!C26+'Table C'!C26</f>
        <v>3676969</v>
      </c>
      <c r="E25" s="172">
        <f>'Table A - Combined 2ndQ99'!I26+'Table B'!D26+'Table C'!D26</f>
        <v>2942282</v>
      </c>
      <c r="F25" s="172">
        <f>'Table A - Combined 2ndQ99'!J26+'Table B'!E26+'Table C'!E26</f>
        <v>4294160</v>
      </c>
      <c r="G25" s="172">
        <f>'Table A - Combined 2ndQ99'!K26+'Table B'!F26+'Table C'!F26</f>
        <v>0</v>
      </c>
      <c r="H25" s="172">
        <f>'Table A - Combined 2ndQ99'!L26+'Table B'!G26+'Table C'!G26</f>
        <v>0</v>
      </c>
      <c r="I25" s="172">
        <f>'Table A - Combined 2ndQ99'!M26+'Table B'!H26+'Table C'!H26</f>
        <v>35138988</v>
      </c>
      <c r="J25" s="172">
        <f>'Table A - Combined 2ndQ99'!N26+'Table B'!I26+'Table C'!I26</f>
        <v>69289001</v>
      </c>
    </row>
    <row r="26" spans="1:10" ht="12.75">
      <c r="A26" s="124" t="s">
        <v>49</v>
      </c>
      <c r="C26" s="172">
        <f>'Table A - Combined 2ndQ99'!G27+'Table B'!B27+'Table C'!B27</f>
        <v>62326519</v>
      </c>
      <c r="D26" s="172">
        <f>'Table A - Combined 2ndQ99'!H27+'Table B'!C27+'Table C'!C27</f>
        <v>9238039</v>
      </c>
      <c r="E26" s="172">
        <f>'Table A - Combined 2ndQ99'!I27+'Table B'!D27+'Table C'!D27</f>
        <v>9534762</v>
      </c>
      <c r="F26" s="172">
        <f>'Table A - Combined 2ndQ99'!J27+'Table B'!E27+'Table C'!E27</f>
        <v>9501196</v>
      </c>
      <c r="G26" s="172">
        <f>'Table A - Combined 2ndQ99'!K27+'Table B'!F27+'Table C'!F27</f>
        <v>274840</v>
      </c>
      <c r="H26" s="172">
        <f>'Table A - Combined 2ndQ99'!L27+'Table B'!G27+'Table C'!G27</f>
        <v>0</v>
      </c>
      <c r="I26" s="172">
        <f>'Table A - Combined 2ndQ99'!M27+'Table B'!H27+'Table C'!H27</f>
        <v>5118445</v>
      </c>
      <c r="J26" s="172">
        <f>'Table A - Combined 2ndQ99'!N27+'Table B'!I27+'Table C'!I27</f>
        <v>95993801</v>
      </c>
    </row>
    <row r="27" spans="1:10" ht="12.75">
      <c r="A27" s="124" t="s">
        <v>50</v>
      </c>
      <c r="C27" s="172">
        <f>'Table A - Combined 2ndQ99'!G28+'Table B'!B28+'Table C'!B28</f>
        <v>41407286</v>
      </c>
      <c r="D27" s="172">
        <f>'Table A - Combined 2ndQ99'!H28+'Table B'!C28+'Table C'!C28</f>
        <v>9624140</v>
      </c>
      <c r="E27" s="172">
        <f>'Table A - Combined 2ndQ99'!I28+'Table B'!D28+'Table C'!D28</f>
        <v>2283537</v>
      </c>
      <c r="F27" s="172">
        <f>'Table A - Combined 2ndQ99'!J28+'Table B'!E28+'Table C'!E28</f>
        <v>7143138</v>
      </c>
      <c r="G27" s="172">
        <f>'Table A - Combined 2ndQ99'!K28+'Table B'!F28+'Table C'!F28</f>
        <v>2276176</v>
      </c>
      <c r="H27" s="172">
        <f>'Table A - Combined 2ndQ99'!L28+'Table B'!G28+'Table C'!G28</f>
        <v>0</v>
      </c>
      <c r="I27" s="172">
        <f>'Table A - Combined 2ndQ99'!M28+'Table B'!H28+'Table C'!H28</f>
        <v>11239264</v>
      </c>
      <c r="J27" s="172">
        <f>'Table A - Combined 2ndQ99'!N28+'Table B'!I28+'Table C'!I28</f>
        <v>73973541</v>
      </c>
    </row>
    <row r="28" spans="1:10" ht="12.75">
      <c r="A28" s="124" t="s">
        <v>51</v>
      </c>
      <c r="C28" s="172">
        <f>'Table A - Combined 2ndQ99'!G29+'Table B'!B29+'Table C'!B29</f>
        <v>35861699</v>
      </c>
      <c r="D28" s="172">
        <f>'Table A - Combined 2ndQ99'!H29+'Table B'!C29+'Table C'!C29</f>
        <v>5274557</v>
      </c>
      <c r="E28" s="172">
        <f>'Table A - Combined 2ndQ99'!I29+'Table B'!D29+'Table C'!D29</f>
        <v>2935545</v>
      </c>
      <c r="F28" s="172">
        <f>'Table A - Combined 2ndQ99'!J29+'Table B'!E29+'Table C'!E29</f>
        <v>5413306</v>
      </c>
      <c r="G28" s="172">
        <f>'Table A - Combined 2ndQ99'!K29+'Table B'!F29+'Table C'!F29</f>
        <v>798373</v>
      </c>
      <c r="H28" s="172">
        <f>'Table A - Combined 2ndQ99'!L29+'Table B'!G29+'Table C'!G29</f>
        <v>0</v>
      </c>
      <c r="I28" s="172">
        <f>'Table A - Combined 2ndQ99'!M29+'Table B'!H29+'Table C'!H29</f>
        <v>2557258</v>
      </c>
      <c r="J28" s="172">
        <f>'Table A - Combined 2ndQ99'!N29+'Table B'!I29+'Table C'!I29</f>
        <v>52840738</v>
      </c>
    </row>
    <row r="29" spans="1:10" ht="12.75">
      <c r="A29" s="124" t="s">
        <v>52</v>
      </c>
      <c r="C29" s="172">
        <f>'Table A - Combined 2ndQ99'!G30+'Table B'!B30+'Table C'!B30</f>
        <v>89691215</v>
      </c>
      <c r="D29" s="172">
        <f>'Table A - Combined 2ndQ99'!H30+'Table B'!C30+'Table C'!C30</f>
        <v>24673328</v>
      </c>
      <c r="E29" s="172">
        <f>'Table A - Combined 2ndQ99'!I30+'Table B'!D30+'Table C'!D30</f>
        <v>5846043</v>
      </c>
      <c r="F29" s="172">
        <f>'Table A - Combined 2ndQ99'!J30+'Table B'!E30+'Table C'!E30</f>
        <v>19761357</v>
      </c>
      <c r="G29" s="172">
        <f>'Table A - Combined 2ndQ99'!K30+'Table B'!F30+'Table C'!F30</f>
        <v>5298161</v>
      </c>
      <c r="H29" s="172">
        <f>'Table A - Combined 2ndQ99'!L30+'Table B'!G30+'Table C'!G30</f>
        <v>0</v>
      </c>
      <c r="I29" s="172">
        <f>'Table A - Combined 2ndQ99'!M30+'Table B'!H30+'Table C'!H30</f>
        <v>1662780</v>
      </c>
      <c r="J29" s="172">
        <f>'Table A - Combined 2ndQ99'!N30+'Table B'!I30+'Table C'!I30</f>
        <v>146932884</v>
      </c>
    </row>
    <row r="30" spans="1:10" ht="12.75">
      <c r="A30" s="124" t="s">
        <v>53</v>
      </c>
      <c r="C30" s="172">
        <f>'Table A - Combined 2ndQ99'!G31+'Table B'!B31+'Table C'!B31</f>
        <v>164862037</v>
      </c>
      <c r="D30" s="172">
        <f>'Table A - Combined 2ndQ99'!H31+'Table B'!C31+'Table C'!C31</f>
        <v>14913114</v>
      </c>
      <c r="E30" s="172">
        <f>'Table A - Combined 2ndQ99'!I31+'Table B'!D31+'Table C'!D31</f>
        <v>25399501</v>
      </c>
      <c r="F30" s="172">
        <f>'Table A - Combined 2ndQ99'!J31+'Table B'!E31+'Table C'!E31</f>
        <v>25603487</v>
      </c>
      <c r="G30" s="172">
        <f>'Table A - Combined 2ndQ99'!K31+'Table B'!F31+'Table C'!F31</f>
        <v>9470716</v>
      </c>
      <c r="H30" s="172">
        <f>'Table A - Combined 2ndQ99'!L31+'Table B'!G31+'Table C'!G31</f>
        <v>0</v>
      </c>
      <c r="I30" s="172">
        <f>'Table A - Combined 2ndQ99'!M31+'Table B'!H31+'Table C'!H31</f>
        <v>28036222</v>
      </c>
      <c r="J30" s="172">
        <f>'Table A - Combined 2ndQ99'!N31+'Table B'!I31+'Table C'!I31</f>
        <v>268285077</v>
      </c>
    </row>
    <row r="31" spans="1:10" ht="12.75">
      <c r="A31" s="124" t="s">
        <v>54</v>
      </c>
      <c r="C31" s="172">
        <f>'Table A - Combined 2ndQ99'!G32+'Table B'!B32+'Table C'!B32</f>
        <v>148821669</v>
      </c>
      <c r="D31" s="172">
        <f>'Table A - Combined 2ndQ99'!H32+'Table B'!C32+'Table C'!C32</f>
        <v>33629170</v>
      </c>
      <c r="E31" s="172">
        <f>'Table A - Combined 2ndQ99'!I32+'Table B'!D32+'Table C'!D32</f>
        <v>51961535</v>
      </c>
      <c r="F31" s="172">
        <f>'Table A - Combined 2ndQ99'!J32+'Table B'!E32+'Table C'!E32</f>
        <v>12838933</v>
      </c>
      <c r="G31" s="172">
        <f>'Table A - Combined 2ndQ99'!K32+'Table B'!F32+'Table C'!F32</f>
        <v>7453076</v>
      </c>
      <c r="H31" s="172">
        <f>'Table A - Combined 2ndQ99'!L32+'Table B'!G32+'Table C'!G32</f>
        <v>0</v>
      </c>
      <c r="I31" s="172">
        <f>'Table A - Combined 2ndQ99'!M32+'Table B'!H32+'Table C'!H32</f>
        <v>18749897</v>
      </c>
      <c r="J31" s="172">
        <f>'Table A - Combined 2ndQ99'!N32+'Table B'!I32+'Table C'!I32</f>
        <v>273454280</v>
      </c>
    </row>
    <row r="32" spans="1:10" ht="12.75">
      <c r="A32" s="124" t="s">
        <v>55</v>
      </c>
      <c r="C32" s="172">
        <f>'Table A - Combined 2ndQ99'!G33+'Table B'!B33+'Table C'!B33</f>
        <v>117460985</v>
      </c>
      <c r="D32" s="172">
        <f>'Table A - Combined 2ndQ99'!H33+'Table B'!C33+'Table C'!C33</f>
        <v>15681677</v>
      </c>
      <c r="E32" s="172">
        <f>'Table A - Combined 2ndQ99'!I33+'Table B'!D33+'Table C'!D33</f>
        <v>24658258</v>
      </c>
      <c r="F32" s="172">
        <f>'Table A - Combined 2ndQ99'!J33+'Table B'!E33+'Table C'!E33</f>
        <v>23947864</v>
      </c>
      <c r="G32" s="172">
        <f>'Table A - Combined 2ndQ99'!K33+'Table B'!F33+'Table C'!F33</f>
        <v>4016348</v>
      </c>
      <c r="H32" s="172">
        <f>'Table A - Combined 2ndQ99'!L33+'Table B'!G33+'Table C'!G33</f>
        <v>0</v>
      </c>
      <c r="I32" s="172">
        <f>'Table A - Combined 2ndQ99'!M33+'Table B'!H33+'Table C'!H33</f>
        <v>0</v>
      </c>
      <c r="J32" s="172">
        <f>'Table A - Combined 2ndQ99'!N33+'Table B'!I33+'Table C'!I33</f>
        <v>185765132</v>
      </c>
    </row>
    <row r="33" spans="1:10" ht="12.75">
      <c r="A33" s="124" t="s">
        <v>56</v>
      </c>
      <c r="C33" s="172">
        <f>'Table A - Combined 2ndQ99'!G34+'Table B'!B34+'Table C'!B34</f>
        <v>12659928</v>
      </c>
      <c r="D33" s="172">
        <f>'Table A - Combined 2ndQ99'!H34+'Table B'!C34+'Table C'!C34</f>
        <v>3330748</v>
      </c>
      <c r="E33" s="172">
        <f>'Table A - Combined 2ndQ99'!I34+'Table B'!D34+'Table C'!D34</f>
        <v>1332003</v>
      </c>
      <c r="F33" s="172">
        <f>'Table A - Combined 2ndQ99'!J34+'Table B'!E34+'Table C'!E34</f>
        <v>2457231</v>
      </c>
      <c r="G33" s="172">
        <f>'Table A - Combined 2ndQ99'!K34+'Table B'!F34+'Table C'!F34</f>
        <v>430747</v>
      </c>
      <c r="H33" s="172">
        <f>'Table A - Combined 2ndQ99'!L34+'Table B'!G34+'Table C'!G34</f>
        <v>170711</v>
      </c>
      <c r="I33" s="172">
        <f>'Table A - Combined 2ndQ99'!M34+'Table B'!H34+'Table C'!H34</f>
        <v>244412</v>
      </c>
      <c r="J33" s="172">
        <f>'Table A - Combined 2ndQ99'!N34+'Table B'!I34+'Table C'!I34</f>
        <v>20625780</v>
      </c>
    </row>
    <row r="34" spans="1:10" ht="12.75">
      <c r="A34" s="124" t="s">
        <v>57</v>
      </c>
      <c r="C34" s="172">
        <f>'Table A - Combined 2ndQ99'!G35+'Table B'!B35+'Table C'!B35</f>
        <v>32064636</v>
      </c>
      <c r="D34" s="172">
        <f>'Table A - Combined 2ndQ99'!H35+'Table B'!C35+'Table C'!C35</f>
        <v>10815736</v>
      </c>
      <c r="E34" s="172">
        <f>'Table A - Combined 2ndQ99'!I35+'Table B'!D35+'Table C'!D35</f>
        <v>26498994</v>
      </c>
      <c r="F34" s="172">
        <f>'Table A - Combined 2ndQ99'!J35+'Table B'!E35+'Table C'!E35</f>
        <v>9246489</v>
      </c>
      <c r="G34" s="172">
        <f>'Table A - Combined 2ndQ99'!K35+'Table B'!F35+'Table C'!F35</f>
        <v>2125828</v>
      </c>
      <c r="H34" s="172">
        <f>'Table A - Combined 2ndQ99'!L35+'Table B'!G35+'Table C'!G35</f>
        <v>0</v>
      </c>
      <c r="I34" s="172">
        <f>'Table A - Combined 2ndQ99'!M35+'Table B'!H35+'Table C'!H35</f>
        <v>21447822</v>
      </c>
      <c r="J34" s="172">
        <f>'Table A - Combined 2ndQ99'!N35+'Table B'!I35+'Table C'!I35</f>
        <v>102199505</v>
      </c>
    </row>
    <row r="35" spans="1:10" ht="12.75">
      <c r="A35" s="124" t="s">
        <v>58</v>
      </c>
      <c r="C35" s="172">
        <f>'Table A - Combined 2ndQ99'!G36+'Table B'!B36+'Table C'!B36</f>
        <v>13765579</v>
      </c>
      <c r="D35" s="172">
        <f>'Table A - Combined 2ndQ99'!H36+'Table B'!C36+'Table C'!C36</f>
        <v>2162594</v>
      </c>
      <c r="E35" s="172">
        <f>'Table A - Combined 2ndQ99'!I36+'Table B'!D36+'Table C'!D36</f>
        <v>1313990</v>
      </c>
      <c r="F35" s="172">
        <f>'Table A - Combined 2ndQ99'!J36+'Table B'!E36+'Table C'!E36</f>
        <v>2274578</v>
      </c>
      <c r="G35" s="172">
        <f>'Table A - Combined 2ndQ99'!K36+'Table B'!F36+'Table C'!F36</f>
        <v>708347</v>
      </c>
      <c r="H35" s="172">
        <f>'Table A - Combined 2ndQ99'!L36+'Table B'!G36+'Table C'!G36</f>
        <v>0</v>
      </c>
      <c r="I35" s="172">
        <f>'Table A - Combined 2ndQ99'!M36+'Table B'!H36+'Table C'!H36</f>
        <v>1158088</v>
      </c>
      <c r="J35" s="172">
        <f>'Table A - Combined 2ndQ99'!N36+'Table B'!I36+'Table C'!I36</f>
        <v>21383176</v>
      </c>
    </row>
    <row r="36" spans="1:10" ht="12.75">
      <c r="A36" s="125" t="s">
        <v>59</v>
      </c>
      <c r="C36" s="172">
        <f>'Table A - Combined 2ndQ99'!G37+'Table B'!B37+'Table C'!B37</f>
        <v>39499596</v>
      </c>
      <c r="D36" s="172">
        <f>'Table A - Combined 2ndQ99'!H37+'Table B'!C37+'Table C'!C37</f>
        <v>13420056</v>
      </c>
      <c r="E36" s="172">
        <f>'Table A - Combined 2ndQ99'!I37+'Table B'!D37+'Table C'!D37</f>
        <v>3579682</v>
      </c>
      <c r="F36" s="172">
        <f>'Table A - Combined 2ndQ99'!J37+'Table B'!E37+'Table C'!E37</f>
        <v>12332625</v>
      </c>
      <c r="G36" s="172">
        <f>'Table A - Combined 2ndQ99'!K37+'Table B'!F37+'Table C'!F37</f>
        <v>7474359</v>
      </c>
      <c r="H36" s="172">
        <f>'Table A - Combined 2ndQ99'!L37+'Table B'!G37+'Table C'!G37</f>
        <v>0</v>
      </c>
      <c r="I36" s="172">
        <f>'Table A - Combined 2ndQ99'!M37+'Table B'!H37+'Table C'!H37</f>
        <v>0</v>
      </c>
      <c r="J36" s="172">
        <f>'Table A - Combined 2ndQ99'!N37+'Table B'!I37+'Table C'!I37</f>
        <v>76306318</v>
      </c>
    </row>
    <row r="37" spans="1:10" ht="12.75">
      <c r="A37" s="124" t="s">
        <v>60</v>
      </c>
      <c r="C37" s="172">
        <f>'Table A - Combined 2ndQ99'!G38+'Table B'!B38+'Table C'!B38</f>
        <v>15643380</v>
      </c>
      <c r="D37" s="172">
        <f>'Table A - Combined 2ndQ99'!H38+'Table B'!C38+'Table C'!C38</f>
        <v>601392</v>
      </c>
      <c r="E37" s="172">
        <f>'Table A - Combined 2ndQ99'!I38+'Table B'!D38+'Table C'!D38</f>
        <v>1440720</v>
      </c>
      <c r="F37" s="172">
        <f>'Table A - Combined 2ndQ99'!J38+'Table B'!E38+'Table C'!E38</f>
        <v>2724382</v>
      </c>
      <c r="G37" s="172">
        <f>'Table A - Combined 2ndQ99'!K38+'Table B'!F38+'Table C'!F38</f>
        <v>4251381</v>
      </c>
      <c r="H37" s="172">
        <f>'Table A - Combined 2ndQ99'!L38+'Table B'!G38+'Table C'!G38</f>
        <v>525089</v>
      </c>
      <c r="I37" s="172">
        <f>'Table A - Combined 2ndQ99'!M38+'Table B'!H38+'Table C'!H38</f>
        <v>9184277</v>
      </c>
      <c r="J37" s="172">
        <f>'Table A - Combined 2ndQ99'!N38+'Table B'!I38+'Table C'!I38</f>
        <v>34370621</v>
      </c>
    </row>
    <row r="38" spans="1:10" ht="12.75">
      <c r="A38" s="124" t="s">
        <v>61</v>
      </c>
      <c r="C38" s="172">
        <f>'Table A - Combined 2ndQ99'!G39+'Table B'!B39+'Table C'!B39</f>
        <v>15305711</v>
      </c>
      <c r="D38" s="172">
        <f>'Table A - Combined 2ndQ99'!H39+'Table B'!C39+'Table C'!C39</f>
        <v>1639804</v>
      </c>
      <c r="E38" s="172">
        <f>'Table A - Combined 2ndQ99'!I39+'Table B'!D39+'Table C'!D39</f>
        <v>2173034</v>
      </c>
      <c r="F38" s="172">
        <f>'Table A - Combined 2ndQ99'!J39+'Table B'!E39+'Table C'!E39</f>
        <v>1784123</v>
      </c>
      <c r="G38" s="172">
        <f>'Table A - Combined 2ndQ99'!K39+'Table B'!F39+'Table C'!F39</f>
        <v>2844514</v>
      </c>
      <c r="H38" s="172">
        <f>'Table A - Combined 2ndQ99'!L39+'Table B'!G39+'Table C'!G39</f>
        <v>0</v>
      </c>
      <c r="I38" s="172">
        <f>'Table A - Combined 2ndQ99'!M39+'Table B'!H39+'Table C'!H39</f>
        <v>2768908</v>
      </c>
      <c r="J38" s="172">
        <f>'Table A - Combined 2ndQ99'!N39+'Table B'!I39+'Table C'!I39</f>
        <v>26516094</v>
      </c>
    </row>
    <row r="39" spans="1:10" ht="12.75">
      <c r="A39" s="124" t="s">
        <v>62</v>
      </c>
      <c r="C39" s="172">
        <f>'Table A - Combined 2ndQ99'!G40+'Table B'!B40+'Table C'!B40</f>
        <v>121460547</v>
      </c>
      <c r="D39" s="172">
        <f>'Table A - Combined 2ndQ99'!H40+'Table B'!C40+'Table C'!C40</f>
        <v>13348084</v>
      </c>
      <c r="E39" s="172">
        <f>'Table A - Combined 2ndQ99'!I40+'Table B'!D40+'Table C'!D40</f>
        <v>22065495</v>
      </c>
      <c r="F39" s="172">
        <f>'Table A - Combined 2ndQ99'!J40+'Table B'!E40+'Table C'!E40</f>
        <v>23414563</v>
      </c>
      <c r="G39" s="172">
        <f>'Table A - Combined 2ndQ99'!K40+'Table B'!F40+'Table C'!F40</f>
        <v>3260879</v>
      </c>
      <c r="H39" s="172">
        <f>'Table A - Combined 2ndQ99'!L40+'Table B'!G40+'Table C'!G40</f>
        <v>0</v>
      </c>
      <c r="I39" s="172">
        <f>'Table A - Combined 2ndQ99'!M40+'Table B'!H40+'Table C'!H40</f>
        <v>0</v>
      </c>
      <c r="J39" s="172">
        <f>'Table A - Combined 2ndQ99'!N40+'Table B'!I40+'Table C'!I40</f>
        <v>183549568</v>
      </c>
    </row>
    <row r="40" spans="1:10" ht="12.75">
      <c r="A40" s="124" t="s">
        <v>63</v>
      </c>
      <c r="C40" s="172">
        <f>'Table A - Combined 2ndQ99'!G41+'Table B'!B41+'Table C'!B41</f>
        <v>61546734</v>
      </c>
      <c r="D40" s="172">
        <f>'Table A - Combined 2ndQ99'!H41+'Table B'!C41+'Table C'!C41</f>
        <v>0</v>
      </c>
      <c r="E40" s="172">
        <f>'Table A - Combined 2ndQ99'!I41+'Table B'!D41+'Table C'!D41</f>
        <v>2800000</v>
      </c>
      <c r="F40" s="172">
        <f>'Table A - Combined 2ndQ99'!J41+'Table B'!E41+'Table C'!E41</f>
        <v>3496189</v>
      </c>
      <c r="G40" s="172">
        <f>'Table A - Combined 2ndQ99'!K41+'Table B'!F41+'Table C'!F41</f>
        <v>929804</v>
      </c>
      <c r="H40" s="172">
        <f>'Table A - Combined 2ndQ99'!L41+'Table B'!G41+'Table C'!G41</f>
        <v>0</v>
      </c>
      <c r="I40" s="172">
        <f>'Table A - Combined 2ndQ99'!M41+'Table B'!H41+'Table C'!H41</f>
        <v>5287192</v>
      </c>
      <c r="J40" s="172">
        <f>'Table A - Combined 2ndQ99'!N41+'Table B'!I41+'Table C'!I41</f>
        <v>74059919</v>
      </c>
    </row>
    <row r="41" spans="1:10" ht="12.75">
      <c r="A41" s="124" t="s">
        <v>64</v>
      </c>
      <c r="C41" s="172">
        <f>'Table A - Combined 2ndQ99'!G42+'Table B'!B42+'Table C'!B42</f>
        <v>1077734640</v>
      </c>
      <c r="D41" s="172">
        <f>'Table A - Combined 2ndQ99'!H42+'Table B'!C42+'Table C'!C42</f>
        <v>78988379</v>
      </c>
      <c r="E41" s="172">
        <f>'Table A - Combined 2ndQ99'!I42+'Table B'!D42+'Table C'!D42</f>
        <v>38707597</v>
      </c>
      <c r="F41" s="172">
        <f>'Table A - Combined 2ndQ99'!J42+'Table B'!E42+'Table C'!E42</f>
        <v>251126454</v>
      </c>
      <c r="G41" s="172">
        <f>'Table A - Combined 2ndQ99'!K42+'Table B'!F42+'Table C'!F42</f>
        <v>3301109</v>
      </c>
      <c r="H41" s="172">
        <f>'Table A - Combined 2ndQ99'!L42+'Table B'!G42+'Table C'!G42</f>
        <v>0</v>
      </c>
      <c r="I41" s="172">
        <f>'Table A - Combined 2ndQ99'!M42+'Table B'!H42+'Table C'!H42</f>
        <v>214131421</v>
      </c>
      <c r="J41" s="172">
        <f>'Table A - Combined 2ndQ99'!N42+'Table B'!I42+'Table C'!I42</f>
        <v>1663989600</v>
      </c>
    </row>
    <row r="42" spans="1:10" ht="12.75">
      <c r="A42" s="124" t="s">
        <v>65</v>
      </c>
      <c r="C42" s="172">
        <f>'Table A - Combined 2ndQ99'!G43+'Table B'!B43+'Table C'!B43</f>
        <v>92055077</v>
      </c>
      <c r="D42" s="172">
        <f>'Table A - Combined 2ndQ99'!H43+'Table B'!C43+'Table C'!C43</f>
        <v>1572562</v>
      </c>
      <c r="E42" s="172">
        <f>'Table A - Combined 2ndQ99'!I43+'Table B'!D43+'Table C'!D43</f>
        <v>18252471</v>
      </c>
      <c r="F42" s="172">
        <f>'Table A - Combined 2ndQ99'!J43+'Table B'!E43+'Table C'!E43</f>
        <v>11139549</v>
      </c>
      <c r="G42" s="172">
        <f>'Table A - Combined 2ndQ99'!K43+'Table B'!F43+'Table C'!F43</f>
        <v>1294798</v>
      </c>
      <c r="H42" s="172">
        <f>'Table A - Combined 2ndQ99'!L43+'Table B'!G43+'Table C'!G43</f>
        <v>49266</v>
      </c>
      <c r="I42" s="172">
        <f>'Table A - Combined 2ndQ99'!M43+'Table B'!H43+'Table C'!H43</f>
        <v>64819277</v>
      </c>
      <c r="J42" s="172">
        <f>'Table A - Combined 2ndQ99'!N43+'Table B'!I43+'Table C'!I43</f>
        <v>189183000</v>
      </c>
    </row>
    <row r="43" spans="1:10" ht="12.75">
      <c r="A43" s="124" t="s">
        <v>99</v>
      </c>
      <c r="C43" s="172">
        <f>'Table A - Combined 2ndQ99'!G44+'Table B'!B44+'Table C'!B44</f>
        <v>10836771</v>
      </c>
      <c r="D43" s="172">
        <f>'Table A - Combined 2ndQ99'!H44+'Table B'!C44+'Table C'!C44</f>
        <v>786221</v>
      </c>
      <c r="E43" s="172">
        <f>'Table A - Combined 2ndQ99'!I44+'Table B'!D44+'Table C'!D44</f>
        <v>1017036</v>
      </c>
      <c r="F43" s="172">
        <f>'Table A - Combined 2ndQ99'!J44+'Table B'!E44+'Table C'!E44</f>
        <v>670841</v>
      </c>
      <c r="G43" s="172">
        <f>'Table A - Combined 2ndQ99'!K44+'Table B'!F44+'Table C'!F44</f>
        <v>1691603</v>
      </c>
      <c r="H43" s="172">
        <f>'Table A - Combined 2ndQ99'!L44+'Table B'!G44+'Table C'!G44</f>
        <v>0</v>
      </c>
      <c r="I43" s="172">
        <f>'Table A - Combined 2ndQ99'!M44+'Table B'!H44+'Table C'!H44</f>
        <v>1220061</v>
      </c>
      <c r="J43" s="172">
        <f>'Table A - Combined 2ndQ99'!N44+'Table B'!I44+'Table C'!I44</f>
        <v>16222533</v>
      </c>
    </row>
    <row r="44" spans="1:10" ht="12.75">
      <c r="A44" s="124" t="s">
        <v>67</v>
      </c>
      <c r="C44" s="172">
        <f>'Table A - Combined 2ndQ99'!G45+'Table B'!B45+'Table C'!B45</f>
        <v>185600733</v>
      </c>
      <c r="D44" s="172">
        <f>'Table A - Combined 2ndQ99'!H45+'Table B'!C45+'Table C'!C45</f>
        <v>1933388</v>
      </c>
      <c r="E44" s="172">
        <f>'Table A - Combined 2ndQ99'!I45+'Table B'!D45+'Table C'!D45</f>
        <v>2834693</v>
      </c>
      <c r="F44" s="172">
        <f>'Table A - Combined 2ndQ99'!J45+'Table B'!E45+'Table C'!E45</f>
        <v>25012309</v>
      </c>
      <c r="G44" s="172">
        <f>'Table A - Combined 2ndQ99'!K45+'Table B'!F45+'Table C'!F45</f>
        <v>11649426</v>
      </c>
      <c r="H44" s="172">
        <f>'Table A - Combined 2ndQ99'!L45+'Table B'!G45+'Table C'!G45</f>
        <v>0</v>
      </c>
      <c r="I44" s="172">
        <f>'Table A - Combined 2ndQ99'!M45+'Table B'!H45+'Table C'!H45</f>
        <v>43588231</v>
      </c>
      <c r="J44" s="172">
        <f>'Table A - Combined 2ndQ99'!N45+'Table B'!I45+'Table C'!I45</f>
        <v>270618780</v>
      </c>
    </row>
    <row r="45" spans="1:10" ht="12.75">
      <c r="A45" s="124" t="s">
        <v>68</v>
      </c>
      <c r="C45" s="172">
        <f>'Table A - Combined 2ndQ99'!G46+'Table B'!B46+'Table C'!B46</f>
        <v>31470544</v>
      </c>
      <c r="D45" s="172">
        <f>'Table A - Combined 2ndQ99'!H46+'Table B'!C46+'Table C'!C46</f>
        <v>18528029</v>
      </c>
      <c r="E45" s="172">
        <f>'Table A - Combined 2ndQ99'!I46+'Table B'!D46+'Table C'!D46</f>
        <v>11006836</v>
      </c>
      <c r="F45" s="172">
        <f>'Table A - Combined 2ndQ99'!J46+'Table B'!E46+'Table C'!E46</f>
        <v>3454311</v>
      </c>
      <c r="G45" s="172">
        <f>'Table A - Combined 2ndQ99'!K46+'Table B'!F46+'Table C'!F46</f>
        <v>582567</v>
      </c>
      <c r="H45" s="172">
        <f>'Table A - Combined 2ndQ99'!L46+'Table B'!G46+'Table C'!G46</f>
        <v>0</v>
      </c>
      <c r="I45" s="172">
        <f>'Table A - Combined 2ndQ99'!M46+'Table B'!H46+'Table C'!H46</f>
        <v>8673999</v>
      </c>
      <c r="J45" s="172">
        <f>'Table A - Combined 2ndQ99'!N46+'Table B'!I46+'Table C'!I46</f>
        <v>73716286</v>
      </c>
    </row>
    <row r="46" spans="1:10" ht="12.75">
      <c r="A46" s="124" t="s">
        <v>100</v>
      </c>
      <c r="C46" s="172">
        <f>'Table A - Combined 2ndQ99'!G47+'Table B'!B47+'Table C'!B47</f>
        <v>56413452</v>
      </c>
      <c r="D46" s="172">
        <f>'Table A - Combined 2ndQ99'!H47+'Table B'!C47+'Table C'!C47</f>
        <v>16403772</v>
      </c>
      <c r="E46" s="172">
        <f>'Table A - Combined 2ndQ99'!I47+'Table B'!D47+'Table C'!D47</f>
        <v>4209255</v>
      </c>
      <c r="F46" s="172">
        <f>'Table A - Combined 2ndQ99'!J47+'Table B'!E47+'Table C'!E47</f>
        <v>10988917</v>
      </c>
      <c r="G46" s="172">
        <f>'Table A - Combined 2ndQ99'!K47+'Table B'!F47+'Table C'!F47</f>
        <v>3228047</v>
      </c>
      <c r="H46" s="172">
        <f>'Table A - Combined 2ndQ99'!L47+'Table B'!G47+'Table C'!G47</f>
        <v>0</v>
      </c>
      <c r="I46" s="172">
        <f>'Table A - Combined 2ndQ99'!M47+'Table B'!H47+'Table C'!H47</f>
        <v>401447</v>
      </c>
      <c r="J46" s="172">
        <f>'Table A - Combined 2ndQ99'!N47+'Table B'!I47+'Table C'!I47</f>
        <v>91644890</v>
      </c>
    </row>
    <row r="47" spans="1:10" ht="12.75">
      <c r="A47" s="124" t="s">
        <v>70</v>
      </c>
      <c r="C47" s="172">
        <f>'Table A - Combined 2ndQ99'!G48+'Table B'!B48+'Table C'!B48</f>
        <v>291414830</v>
      </c>
      <c r="D47" s="172">
        <f>'Table A - Combined 2ndQ99'!H48+'Table B'!C48+'Table C'!C48</f>
        <v>22255714</v>
      </c>
      <c r="E47" s="172">
        <f>'Table A - Combined 2ndQ99'!I48+'Table B'!D48+'Table C'!D48</f>
        <v>35849691</v>
      </c>
      <c r="F47" s="172">
        <f>'Table A - Combined 2ndQ99'!J48+'Table B'!E48+'Table C'!E48</f>
        <v>32252955</v>
      </c>
      <c r="G47" s="172">
        <f>'Table A - Combined 2ndQ99'!K48+'Table B'!F48+'Table C'!F48</f>
        <v>3126579</v>
      </c>
      <c r="H47" s="172">
        <f>'Table A - Combined 2ndQ99'!L48+'Table B'!G48+'Table C'!G48</f>
        <v>0</v>
      </c>
      <c r="I47" s="172">
        <f>'Table A - Combined 2ndQ99'!M48+'Table B'!H48+'Table C'!H48</f>
        <v>178410656</v>
      </c>
      <c r="J47" s="172">
        <f>'Table A - Combined 2ndQ99'!N48+'Table B'!I48+'Table C'!I48</f>
        <v>563310425</v>
      </c>
    </row>
    <row r="48" spans="1:10" ht="12.75">
      <c r="A48" s="124" t="s">
        <v>71</v>
      </c>
      <c r="C48" s="172">
        <f>'Table A - Combined 2ndQ99'!G49+'Table B'!B49+'Table C'!B49</f>
        <v>56149827</v>
      </c>
      <c r="D48" s="172">
        <f>'Table A - Combined 2ndQ99'!H49+'Table B'!C49+'Table C'!C49</f>
        <v>3570857</v>
      </c>
      <c r="E48" s="172">
        <f>'Table A - Combined 2ndQ99'!I49+'Table B'!D49+'Table C'!D49</f>
        <v>6777276</v>
      </c>
      <c r="F48" s="172">
        <f>'Table A - Combined 2ndQ99'!J49+'Table B'!E49+'Table C'!E49</f>
        <v>10297369</v>
      </c>
      <c r="G48" s="172">
        <f>'Table A - Combined 2ndQ99'!K49+'Table B'!F49+'Table C'!F49</f>
        <v>1171596</v>
      </c>
      <c r="H48" s="172">
        <f>'Table A - Combined 2ndQ99'!L49+'Table B'!G49+'Table C'!G49</f>
        <v>0</v>
      </c>
      <c r="I48" s="172">
        <f>'Table A - Combined 2ndQ99'!M49+'Table B'!H49+'Table C'!H49</f>
        <v>4553918</v>
      </c>
      <c r="J48" s="172">
        <f>'Table A - Combined 2ndQ99'!N49+'Table B'!I49+'Table C'!I49</f>
        <v>82520843</v>
      </c>
    </row>
    <row r="49" spans="1:10" ht="12.75">
      <c r="A49" s="124" t="s">
        <v>72</v>
      </c>
      <c r="C49" s="172">
        <f>'Table A - Combined 2ndQ99'!G50+'Table B'!B50+'Table C'!B50</f>
        <v>18544121</v>
      </c>
      <c r="D49" s="172">
        <f>'Table A - Combined 2ndQ99'!H50+'Table B'!C50+'Table C'!C50</f>
        <v>10566173</v>
      </c>
      <c r="E49" s="172">
        <f>'Table A - Combined 2ndQ99'!I50+'Table B'!D50+'Table C'!D50</f>
        <v>1119938</v>
      </c>
      <c r="F49" s="172">
        <f>'Table A - Combined 2ndQ99'!J50+'Table B'!E50+'Table C'!E50</f>
        <v>6351395</v>
      </c>
      <c r="G49" s="172">
        <f>'Table A - Combined 2ndQ99'!K50+'Table B'!F50+'Table C'!F50</f>
        <v>2418884</v>
      </c>
      <c r="H49" s="172">
        <f>'Table A - Combined 2ndQ99'!L50+'Table B'!G50+'Table C'!G50</f>
        <v>119193</v>
      </c>
      <c r="I49" s="172">
        <f>'Table A - Combined 2ndQ99'!M50+'Table B'!H50+'Table C'!H50</f>
        <v>8994441</v>
      </c>
      <c r="J49" s="172">
        <f>'Table A - Combined 2ndQ99'!N50+'Table B'!I50+'Table C'!I50</f>
        <v>48114145</v>
      </c>
    </row>
    <row r="50" spans="1:10" ht="12.75">
      <c r="A50" s="124" t="s">
        <v>73</v>
      </c>
      <c r="C50" s="172">
        <f>'Table A - Combined 2ndQ99'!G51+'Table B'!B51+'Table C'!B51</f>
        <v>6138523</v>
      </c>
      <c r="D50" s="172">
        <f>'Table A - Combined 2ndQ99'!H51+'Table B'!C51+'Table C'!C51</f>
        <v>1371569</v>
      </c>
      <c r="E50" s="172">
        <f>'Table A - Combined 2ndQ99'!I51+'Table B'!D51+'Table C'!D51</f>
        <v>275699</v>
      </c>
      <c r="F50" s="172">
        <f>'Table A - Combined 2ndQ99'!J51+'Table B'!E51+'Table C'!E51</f>
        <v>1254882</v>
      </c>
      <c r="G50" s="172">
        <f>'Table A - Combined 2ndQ99'!K51+'Table B'!F51+'Table C'!F51</f>
        <v>78535</v>
      </c>
      <c r="H50" s="172">
        <f>'Table A - Combined 2ndQ99'!L51+'Table B'!G51+'Table C'!G51</f>
        <v>0</v>
      </c>
      <c r="I50" s="172">
        <f>'Table A - Combined 2ndQ99'!M51+'Table B'!H51+'Table C'!H51</f>
        <v>1917529</v>
      </c>
      <c r="J50" s="172">
        <f>'Table A - Combined 2ndQ99'!N51+'Table B'!I51+'Table C'!I51</f>
        <v>11036737</v>
      </c>
    </row>
    <row r="51" spans="1:10" ht="12.75">
      <c r="A51" s="124" t="s">
        <v>101</v>
      </c>
      <c r="C51" s="172">
        <f>'Table A - Combined 2ndQ99'!G52+'Table B'!B52+'Table C'!B52</f>
        <v>54601305</v>
      </c>
      <c r="D51" s="172">
        <f>'Table A - Combined 2ndQ99'!H52+'Table B'!C52+'Table C'!C52</f>
        <v>9434942</v>
      </c>
      <c r="E51" s="172">
        <f>'Table A - Combined 2ndQ99'!I52+'Table B'!D52+'Table C'!D52</f>
        <v>2780855</v>
      </c>
      <c r="F51" s="172">
        <f>'Table A - Combined 2ndQ99'!J52+'Table B'!E52+'Table C'!E52</f>
        <v>6166820</v>
      </c>
      <c r="G51" s="172">
        <f>'Table A - Combined 2ndQ99'!K52+'Table B'!F52+'Table C'!F52</f>
        <v>4060778</v>
      </c>
      <c r="H51" s="172">
        <f>'Table A - Combined 2ndQ99'!L52+'Table B'!G52+'Table C'!G52</f>
        <v>0</v>
      </c>
      <c r="I51" s="172">
        <f>'Table A - Combined 2ndQ99'!M52+'Table B'!H52+'Table C'!H52</f>
        <v>5928448</v>
      </c>
      <c r="J51" s="172">
        <f>'Table A - Combined 2ndQ99'!N52+'Table B'!I52+'Table C'!I52</f>
        <v>82973148</v>
      </c>
    </row>
    <row r="52" spans="1:10" ht="12.75">
      <c r="A52" s="124" t="s">
        <v>75</v>
      </c>
      <c r="C52" s="172">
        <f>'Table A - Combined 2ndQ99'!G53+'Table B'!B53+'Table C'!B53</f>
        <v>133237431</v>
      </c>
      <c r="D52" s="172">
        <f>'Table A - Combined 2ndQ99'!H53+'Table B'!C53+'Table C'!C53</f>
        <v>28441980</v>
      </c>
      <c r="E52" s="172">
        <f>'Table A - Combined 2ndQ99'!I53+'Table B'!D53+'Table C'!D53</f>
        <v>21003397</v>
      </c>
      <c r="F52" s="172">
        <f>'Table A - Combined 2ndQ99'!J53+'Table B'!E53+'Table C'!E53</f>
        <v>27025391</v>
      </c>
      <c r="G52" s="172">
        <f>'Table A - Combined 2ndQ99'!K53+'Table B'!F53+'Table C'!F53</f>
        <v>7055596</v>
      </c>
      <c r="H52" s="172">
        <f>'Table A - Combined 2ndQ99'!L53+'Table B'!G53+'Table C'!G53</f>
        <v>0</v>
      </c>
      <c r="I52" s="172">
        <f>'Table A - Combined 2ndQ99'!M53+'Table B'!H53+'Table C'!H53</f>
        <v>108044608</v>
      </c>
      <c r="J52" s="172">
        <f>'Table A - Combined 2ndQ99'!N53+'Table B'!I53+'Table C'!I53</f>
        <v>324808403</v>
      </c>
    </row>
    <row r="53" spans="1:10" ht="12.75">
      <c r="A53" s="124" t="s">
        <v>76</v>
      </c>
      <c r="C53" s="172">
        <f>'Table A - Combined 2ndQ99'!G54+'Table B'!B54+'Table C'!B54</f>
        <v>18143899</v>
      </c>
      <c r="D53" s="172">
        <f>'Table A - Combined 2ndQ99'!H54+'Table B'!C54+'Table C'!C54</f>
        <v>10054053</v>
      </c>
      <c r="E53" s="172">
        <f>'Table A - Combined 2ndQ99'!I54+'Table B'!D54+'Table C'!D54</f>
        <v>2237462</v>
      </c>
      <c r="F53" s="172">
        <f>'Table A - Combined 2ndQ99'!J54+'Table B'!E54+'Table C'!E54</f>
        <v>3162856</v>
      </c>
      <c r="G53" s="172">
        <f>'Table A - Combined 2ndQ99'!K54+'Table B'!F54+'Table C'!F54</f>
        <v>320146</v>
      </c>
      <c r="H53" s="172">
        <f>'Table A - Combined 2ndQ99'!L54+'Table B'!G54+'Table C'!G54</f>
        <v>19541</v>
      </c>
      <c r="I53" s="172">
        <f>'Table A - Combined 2ndQ99'!M54+'Table B'!H54+'Table C'!H54</f>
        <v>0</v>
      </c>
      <c r="J53" s="172">
        <f>'Table A - Combined 2ndQ99'!N54+'Table B'!I54+'Table C'!I54</f>
        <v>33937957</v>
      </c>
    </row>
    <row r="54" spans="1:10" ht="12.75">
      <c r="A54" s="124" t="s">
        <v>77</v>
      </c>
      <c r="C54" s="172">
        <f>'Table A - Combined 2ndQ99'!G55+'Table B'!B55+'Table C'!B55</f>
        <v>23981127</v>
      </c>
      <c r="D54" s="172">
        <f>'Table A - Combined 2ndQ99'!H55+'Table B'!C55+'Table C'!C55</f>
        <v>108293</v>
      </c>
      <c r="E54" s="172">
        <f>'Table A - Combined 2ndQ99'!I55+'Table B'!D55+'Table C'!D55</f>
        <v>1681717</v>
      </c>
      <c r="F54" s="172">
        <f>'Table A - Combined 2ndQ99'!J55+'Table B'!E55+'Table C'!E55</f>
        <v>3501563</v>
      </c>
      <c r="G54" s="172">
        <f>'Table A - Combined 2ndQ99'!K55+'Table B'!F55+'Table C'!F55</f>
        <v>273016</v>
      </c>
      <c r="H54" s="172">
        <f>'Table A - Combined 2ndQ99'!L55+'Table B'!G55+'Table C'!G55</f>
        <v>0</v>
      </c>
      <c r="I54" s="172">
        <f>'Table A - Combined 2ndQ99'!M55+'Table B'!H55+'Table C'!H55</f>
        <v>0</v>
      </c>
      <c r="J54" s="172">
        <f>'Table A - Combined 2ndQ99'!N55+'Table B'!I55+'Table C'!I55</f>
        <v>29545716</v>
      </c>
    </row>
    <row r="55" spans="1:10" ht="12.75">
      <c r="A55" s="124" t="s">
        <v>78</v>
      </c>
      <c r="C55" s="172">
        <f>'Table A - Combined 2ndQ99'!G56+'Table B'!B56+'Table C'!B56</f>
        <v>52410238</v>
      </c>
      <c r="D55" s="172">
        <f>'Table A - Combined 2ndQ99'!H56+'Table B'!C56+'Table C'!C56</f>
        <v>26726747</v>
      </c>
      <c r="E55" s="172">
        <f>'Table A - Combined 2ndQ99'!I56+'Table B'!D56+'Table C'!D56</f>
        <v>14408706</v>
      </c>
      <c r="F55" s="172">
        <f>'Table A - Combined 2ndQ99'!J56+'Table B'!E56+'Table C'!E56</f>
        <v>11439576</v>
      </c>
      <c r="G55" s="172">
        <f>'Table A - Combined 2ndQ99'!K56+'Table B'!F56+'Table C'!F56</f>
        <v>4028299</v>
      </c>
      <c r="H55" s="172">
        <f>'Table A - Combined 2ndQ99'!L56+'Table B'!G56+'Table C'!G56</f>
        <v>133359</v>
      </c>
      <c r="I55" s="172">
        <f>'Table A - Combined 2ndQ99'!M56+'Table B'!H56+'Table C'!H56</f>
        <v>486</v>
      </c>
      <c r="J55" s="172">
        <f>'Table A - Combined 2ndQ99'!N56+'Table B'!I56+'Table C'!I56</f>
        <v>109147411</v>
      </c>
    </row>
    <row r="56" spans="1:10" ht="12.75">
      <c r="A56" s="124" t="s">
        <v>102</v>
      </c>
      <c r="C56" s="172">
        <f>'Table A - Combined 2ndQ99'!G57+'Table B'!B57+'Table C'!B57</f>
        <v>172754811</v>
      </c>
      <c r="D56" s="172">
        <f>'Table A - Combined 2ndQ99'!H57+'Table B'!C57+'Table C'!C57</f>
        <v>19501677</v>
      </c>
      <c r="E56" s="172">
        <f>'Table A - Combined 2ndQ99'!I57+'Table B'!D57+'Table C'!D57</f>
        <v>36602607</v>
      </c>
      <c r="F56" s="172">
        <f>'Table A - Combined 2ndQ99'!J57+'Table B'!E57+'Table C'!E57</f>
        <v>25973428</v>
      </c>
      <c r="G56" s="172">
        <f>'Table A - Combined 2ndQ99'!K57+'Table B'!F57+'Table C'!F57</f>
        <v>3872206</v>
      </c>
      <c r="H56" s="172">
        <f>'Table A - Combined 2ndQ99'!L57+'Table B'!G57+'Table C'!G57</f>
        <v>0</v>
      </c>
      <c r="I56" s="172">
        <f>'Table A - Combined 2ndQ99'!M57+'Table B'!H57+'Table C'!H57</f>
        <v>33348858</v>
      </c>
      <c r="J56" s="172">
        <f>'Table A - Combined 2ndQ99'!N57+'Table B'!I57+'Table C'!I57</f>
        <v>292053587</v>
      </c>
    </row>
    <row r="57" spans="1:10" ht="12.75">
      <c r="A57" s="124" t="s">
        <v>80</v>
      </c>
      <c r="C57" s="172">
        <f>'Table A - Combined 2ndQ99'!G58+'Table B'!B58+'Table C'!B58</f>
        <v>16439134</v>
      </c>
      <c r="D57" s="172">
        <f>'Table A - Combined 2ndQ99'!H58+'Table B'!C58+'Table C'!C58</f>
        <v>1288511</v>
      </c>
      <c r="E57" s="172">
        <f>'Table A - Combined 2ndQ99'!I58+'Table B'!D58+'Table C'!D58</f>
        <v>2020920</v>
      </c>
      <c r="F57" s="172">
        <f>'Table A - Combined 2ndQ99'!J58+'Table B'!E58+'Table C'!E58</f>
        <v>6556759</v>
      </c>
      <c r="G57" s="172">
        <f>'Table A - Combined 2ndQ99'!K58+'Table B'!F58+'Table C'!F58</f>
        <v>3613637</v>
      </c>
      <c r="H57" s="172">
        <f>'Table A - Combined 2ndQ99'!L58+'Table B'!G58+'Table C'!G58</f>
        <v>0</v>
      </c>
      <c r="I57" s="172">
        <f>'Table A - Combined 2ndQ99'!M58+'Table B'!H58+'Table C'!H58</f>
        <v>627488</v>
      </c>
      <c r="J57" s="172">
        <f>'Table A - Combined 2ndQ99'!N58+'Table B'!I58+'Table C'!I58</f>
        <v>30546449</v>
      </c>
    </row>
    <row r="58" spans="1:10" ht="12.75">
      <c r="A58" s="124" t="s">
        <v>103</v>
      </c>
      <c r="C58" s="172">
        <f>'Table A - Combined 2ndQ99'!G59+'Table B'!B59+'Table C'!B59</f>
        <v>48435871</v>
      </c>
      <c r="D58" s="172">
        <f>'Table A - Combined 2ndQ99'!H59+'Table B'!C59+'Table C'!C59</f>
        <v>28573129</v>
      </c>
      <c r="E58" s="172">
        <f>'Table A - Combined 2ndQ99'!I59+'Table B'!D59+'Table C'!D59</f>
        <v>12337055</v>
      </c>
      <c r="F58" s="172">
        <f>'Table A - Combined 2ndQ99'!J59+'Table B'!E59+'Table C'!E59</f>
        <v>7664030</v>
      </c>
      <c r="G58" s="172">
        <f>'Table A - Combined 2ndQ99'!K59+'Table B'!F59+'Table C'!F59</f>
        <v>4664904</v>
      </c>
      <c r="H58" s="172">
        <f>'Table A - Combined 2ndQ99'!L59+'Table B'!G59+'Table C'!G59</f>
        <v>0</v>
      </c>
      <c r="I58" s="172">
        <f>'Table A - Combined 2ndQ99'!M59+'Table B'!H59+'Table C'!H59</f>
        <v>18133012</v>
      </c>
      <c r="J58" s="172">
        <f>'Table A - Combined 2ndQ99'!N59+'Table B'!I59+'Table C'!I59</f>
        <v>119808001</v>
      </c>
    </row>
    <row r="59" spans="1:10" ht="12.75">
      <c r="A59" s="126" t="s">
        <v>104</v>
      </c>
      <c r="C59" s="175">
        <f>'Table A - Combined 2ndQ99'!G60+'Table B'!B60+'Table C'!B60</f>
        <v>4578806</v>
      </c>
      <c r="D59" s="175">
        <f>'Table A - Combined 2ndQ99'!H60+'Table B'!C60+'Table C'!C60</f>
        <v>797309</v>
      </c>
      <c r="E59" s="175">
        <f>'Table A - Combined 2ndQ99'!I60+'Table B'!D60+'Table C'!D60</f>
        <v>777626</v>
      </c>
      <c r="F59" s="175">
        <f>'Table A - Combined 2ndQ99'!J60+'Table B'!E60+'Table C'!E60</f>
        <v>267558</v>
      </c>
      <c r="G59" s="175">
        <f>'Table A - Combined 2ndQ99'!K60+'Table B'!F60+'Table C'!F60</f>
        <v>182932</v>
      </c>
      <c r="H59" s="175">
        <f>'Table A - Combined 2ndQ99'!L60+'Table B'!G60+'Table C'!G60</f>
        <v>0</v>
      </c>
      <c r="I59" s="175">
        <f>'Table A - Combined 2ndQ99'!M60+'Table B'!H60+'Table C'!H60</f>
        <v>0</v>
      </c>
      <c r="J59" s="175">
        <f>'Table A - Combined 2ndQ99'!N60+'Table B'!I60+'Table C'!I60</f>
        <v>6604231</v>
      </c>
    </row>
    <row r="60" ht="12.75">
      <c r="A60" s="124"/>
    </row>
    <row r="61" spans="1:10" ht="12.75">
      <c r="A61" s="119" t="s">
        <v>83</v>
      </c>
      <c r="C61" s="173">
        <f>SUM(C9:C59)</f>
        <v>6085668388</v>
      </c>
      <c r="D61" s="173">
        <f aca="true" t="shared" si="0" ref="D61:J61">SUM(D9:D59)</f>
        <v>731660912</v>
      </c>
      <c r="E61" s="173">
        <f t="shared" si="0"/>
        <v>826641812</v>
      </c>
      <c r="F61" s="173">
        <f t="shared" si="0"/>
        <v>917171957</v>
      </c>
      <c r="G61" s="173">
        <f t="shared" si="0"/>
        <v>187706671</v>
      </c>
      <c r="H61" s="173">
        <f t="shared" si="0"/>
        <v>12545084</v>
      </c>
      <c r="I61" s="173">
        <f t="shared" si="0"/>
        <v>1204427840</v>
      </c>
      <c r="J61" s="173">
        <f t="shared" si="0"/>
        <v>9965822664</v>
      </c>
    </row>
    <row r="63" spans="1:10" ht="12.75">
      <c r="A63" s="10" t="s">
        <v>277</v>
      </c>
      <c r="C63" s="176">
        <f>C61/J61</f>
        <v>0.6106538911216572</v>
      </c>
      <c r="D63" s="176">
        <f>D61/J61</f>
        <v>0.07341701098525588</v>
      </c>
      <c r="E63" s="176">
        <f>E61/J61</f>
        <v>0.08294767425333749</v>
      </c>
      <c r="F63" s="176">
        <f>F61/J61</f>
        <v>0.09203173565521515</v>
      </c>
      <c r="G63" s="176">
        <f>G61/J61</f>
        <v>0.018835040249919503</v>
      </c>
      <c r="H63" s="176">
        <f>H61/J61</f>
        <v>0.0012588106795555559</v>
      </c>
      <c r="I63" s="176">
        <f>I61/J61</f>
        <v>0.1208558370550592</v>
      </c>
      <c r="J63" s="176">
        <f>J61/J61</f>
        <v>1</v>
      </c>
    </row>
    <row r="65" ht="12.75">
      <c r="A65" t="s">
        <v>334</v>
      </c>
    </row>
    <row r="66" ht="12.75">
      <c r="A66" t="s">
        <v>342</v>
      </c>
    </row>
    <row r="67" ht="12.75">
      <c r="A67" t="s">
        <v>343</v>
      </c>
    </row>
    <row r="68" ht="12.75">
      <c r="A68" t="s">
        <v>335</v>
      </c>
    </row>
    <row r="69" ht="12.75">
      <c r="A69" t="s">
        <v>338</v>
      </c>
    </row>
  </sheetData>
  <mergeCells count="1">
    <mergeCell ref="A1:J1"/>
  </mergeCells>
  <printOptions/>
  <pageMargins left="0.75" right="0.75" top="1" bottom="1" header="0.5" footer="0.5"/>
  <pageSetup fitToHeight="1" fitToWidth="1" horizontalDpi="300" verticalDpi="300" orientation="portrait" scale="62"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66" zoomScaleNormal="66" workbookViewId="0" topLeftCell="B2">
      <selection activeCell="A3" sqref="A3"/>
    </sheetView>
  </sheetViews>
  <sheetFormatPr defaultColWidth="9.140625" defaultRowHeight="12.75"/>
  <sheetData/>
  <printOptions/>
  <pageMargins left="0.75" right="0.75" top="1" bottom="1" header="0.5" footer="0.5"/>
  <pageSetup fitToHeight="1" fitToWidth="1" horizontalDpi="300" verticalDpi="300" orientation="landscape" scale="67" r:id="rId2"/>
  <headerFooter alignWithMargins="0">
    <oddHeader>&amp;C&amp;A</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P99"/>
  <sheetViews>
    <sheetView zoomScale="75" zoomScaleNormal="75" workbookViewId="0" topLeftCell="A1">
      <selection activeCell="A1" sqref="A1"/>
    </sheetView>
  </sheetViews>
  <sheetFormatPr defaultColWidth="9.140625" defaultRowHeight="12.75"/>
  <cols>
    <col min="1" max="1" width="31.140625" style="0" customWidth="1"/>
    <col min="2" max="2" width="41.140625" style="0" bestFit="1" customWidth="1"/>
    <col min="3" max="3" width="28.00390625" style="0" bestFit="1" customWidth="1"/>
    <col min="4" max="4" width="27.140625" style="0" bestFit="1" customWidth="1"/>
    <col min="5" max="5" width="28.8515625" style="0" customWidth="1"/>
    <col min="6" max="6" width="41.140625" style="0" bestFit="1" customWidth="1"/>
    <col min="7" max="7" width="28.00390625" style="0" bestFit="1" customWidth="1"/>
    <col min="8" max="8" width="24.57421875" style="0" bestFit="1" customWidth="1"/>
    <col min="9" max="9" width="32.57421875" style="0" bestFit="1" customWidth="1"/>
    <col min="10" max="10" width="25.421875" style="0" bestFit="1" customWidth="1"/>
    <col min="11" max="11" width="28.00390625" style="0" bestFit="1" customWidth="1"/>
    <col min="12" max="12" width="25.421875" style="0" bestFit="1" customWidth="1"/>
    <col min="13" max="13" width="17.7109375" style="0" bestFit="1" customWidth="1"/>
    <col min="14" max="14" width="2.00390625" style="0" customWidth="1"/>
    <col min="15" max="15" width="16.8515625" style="0" bestFit="1" customWidth="1"/>
    <col min="16" max="16" width="16.57421875" style="0" bestFit="1" customWidth="1"/>
  </cols>
  <sheetData>
    <row r="1" ht="15.75">
      <c r="A1" s="44" t="s">
        <v>0</v>
      </c>
    </row>
    <row r="2" ht="12.75">
      <c r="A2" s="26" t="s">
        <v>254</v>
      </c>
    </row>
    <row r="4" spans="2:16" ht="12.75">
      <c r="B4" s="7" t="s">
        <v>6</v>
      </c>
      <c r="C4" s="7"/>
      <c r="D4" s="7"/>
      <c r="E4" s="7"/>
      <c r="F4" s="7">
        <v>5</v>
      </c>
      <c r="G4" s="7">
        <v>6</v>
      </c>
      <c r="H4" s="7">
        <v>7</v>
      </c>
      <c r="I4" s="7">
        <v>8</v>
      </c>
      <c r="J4" s="7" t="s">
        <v>329</v>
      </c>
      <c r="K4" s="7">
        <v>9</v>
      </c>
      <c r="L4" s="7">
        <v>10</v>
      </c>
      <c r="M4" s="7" t="s">
        <v>16</v>
      </c>
      <c r="N4" s="7"/>
      <c r="O4" s="7" t="s">
        <v>17</v>
      </c>
      <c r="P4" s="7" t="s">
        <v>18</v>
      </c>
    </row>
    <row r="5" spans="2:16" ht="12.75">
      <c r="B5" s="8" t="s">
        <v>20</v>
      </c>
      <c r="C5" s="9" t="s">
        <v>128</v>
      </c>
      <c r="D5" s="9" t="s">
        <v>129</v>
      </c>
      <c r="E5" s="9" t="s">
        <v>130</v>
      </c>
      <c r="F5" s="9" t="s">
        <v>131</v>
      </c>
      <c r="G5" s="9" t="s">
        <v>132</v>
      </c>
      <c r="H5" s="29" t="s">
        <v>134</v>
      </c>
      <c r="I5" s="7" t="s">
        <v>12</v>
      </c>
      <c r="J5" s="7" t="s">
        <v>13</v>
      </c>
      <c r="K5" s="10" t="s">
        <v>136</v>
      </c>
      <c r="L5" s="9" t="s">
        <v>133</v>
      </c>
      <c r="M5" s="9" t="s">
        <v>28</v>
      </c>
      <c r="O5" s="9" t="s">
        <v>29</v>
      </c>
      <c r="P5" s="9" t="s">
        <v>30</v>
      </c>
    </row>
    <row r="6" spans="1:16" ht="12.75">
      <c r="A6" s="1"/>
      <c r="C6" s="36">
        <f>'Table A1 - FY99'!C64</f>
        <v>0.06235294999680422</v>
      </c>
      <c r="D6" s="36">
        <f>'Table A1 - FY99'!D64</f>
        <v>0.03572634373027652</v>
      </c>
      <c r="E6" s="36">
        <f>'Table A1 - FY99'!E64</f>
        <v>0.9019207062729192</v>
      </c>
      <c r="F6" s="46">
        <f>'Table A1 - FY99'!G64</f>
        <v>0.6213452492454106</v>
      </c>
      <c r="G6" s="46">
        <f>'Table A1 - FY99'!H64</f>
        <v>0.06736045734579299</v>
      </c>
      <c r="H6" s="46">
        <f>'Table A1 - FY99'!I64</f>
        <v>0.05126388190484798</v>
      </c>
      <c r="I6" s="46">
        <f>'Table A1 - FY99'!J64</f>
        <v>0.0997433845548034</v>
      </c>
      <c r="J6" s="46">
        <f>'Table A1 - FY99'!K64</f>
        <v>0.022473879818758737</v>
      </c>
      <c r="K6" s="46">
        <f>'Table A1 - FY99'!L64</f>
        <v>0.0002796982591267159</v>
      </c>
      <c r="L6" s="46">
        <f>'Table A1 - FY99'!M64</f>
        <v>0.13753344887125962</v>
      </c>
      <c r="M6" s="46">
        <f>'Table A1 - FY99'!N64</f>
        <v>0.5531319587282516</v>
      </c>
      <c r="N6" s="36">
        <f>'Table A1 - FY99'!O64</f>
        <v>0</v>
      </c>
      <c r="O6" s="36">
        <f>'Table A1 - FY99'!P64</f>
        <v>0.10897045942813918</v>
      </c>
      <c r="P6" s="36">
        <f>'Table A1 - FY99'!Q64</f>
        <v>0.33790201184665003</v>
      </c>
    </row>
    <row r="7" spans="1:10" ht="12.75">
      <c r="A7" t="s">
        <v>326</v>
      </c>
      <c r="F7" s="9"/>
      <c r="G7" s="9"/>
      <c r="H7" s="7"/>
      <c r="I7" s="29"/>
      <c r="J7" s="7"/>
    </row>
    <row r="8" spans="1:16" ht="12.75">
      <c r="A8" t="s">
        <v>327</v>
      </c>
      <c r="C8" s="46">
        <f>'Table A - Combined 2ndQ99'!C64</f>
        <v>0.05138377320754827</v>
      </c>
      <c r="D8" s="46">
        <f>'Table A - Combined 2ndQ99'!D64</f>
        <v>0.029294312353777965</v>
      </c>
      <c r="E8" s="46">
        <f>'Table A - Combined 2ndQ99'!E64</f>
        <v>0.9193219144386737</v>
      </c>
      <c r="F8" s="46">
        <f>'Table A - Combined 2ndQ99'!G63</f>
        <v>0.6092483297138024</v>
      </c>
      <c r="G8" s="46">
        <f>'Table A - Combined 2ndQ99'!H63</f>
        <v>0.09428078383866098</v>
      </c>
      <c r="H8" s="46">
        <f>'Table A - Combined 2ndQ99'!I63</f>
        <v>0.04475485230380068</v>
      </c>
      <c r="I8" s="46">
        <f>'Table A - Combined 2ndQ99'!J63</f>
        <v>0.09947977951953654</v>
      </c>
      <c r="J8" s="46">
        <f>'Table A - Combined 2ndQ99'!K63</f>
        <v>0.024400661173933372</v>
      </c>
      <c r="K8" s="46">
        <f>'Table A - Combined 2ndQ99'!L63</f>
        <v>0.0009798019307765368</v>
      </c>
      <c r="L8" s="46">
        <f>'Table A - Combined 2ndQ99'!M63</f>
        <v>0.12685579151948947</v>
      </c>
      <c r="M8" s="46">
        <f>'Table A - Combined 2ndQ99'!N64</f>
        <v>0.421438009986468</v>
      </c>
      <c r="N8" s="46"/>
      <c r="O8" s="46">
        <f>'Table A - Combined 2ndQ99'!P64</f>
        <v>0.2582670966160398</v>
      </c>
      <c r="P8" s="46">
        <f>'Table A - Combined 2ndQ99'!Q64</f>
        <v>0.32093233209065214</v>
      </c>
    </row>
    <row r="9" ht="12.75">
      <c r="A9" t="s">
        <v>328</v>
      </c>
    </row>
    <row r="11" ht="12.75">
      <c r="A11" t="s">
        <v>323</v>
      </c>
    </row>
    <row r="12" spans="1:9" ht="12.75">
      <c r="A12" t="s">
        <v>324</v>
      </c>
      <c r="I12" s="29" t="s">
        <v>16</v>
      </c>
    </row>
    <row r="13" spans="1:9" ht="15.75">
      <c r="A13" t="s">
        <v>325</v>
      </c>
      <c r="B13" s="6">
        <v>5</v>
      </c>
      <c r="C13" s="6">
        <v>6</v>
      </c>
      <c r="D13" s="6">
        <v>7</v>
      </c>
      <c r="E13" s="6">
        <v>8</v>
      </c>
      <c r="F13" s="6" t="s">
        <v>4</v>
      </c>
      <c r="G13" s="6">
        <v>9</v>
      </c>
      <c r="H13" s="6">
        <v>10</v>
      </c>
      <c r="I13" s="29" t="s">
        <v>92</v>
      </c>
    </row>
    <row r="14" spans="2:9" ht="12.75">
      <c r="B14" s="29"/>
      <c r="C14" s="29"/>
      <c r="D14" s="29"/>
      <c r="E14" s="29"/>
      <c r="F14" s="29"/>
      <c r="G14" s="29"/>
      <c r="H14" s="29"/>
      <c r="I14" s="29"/>
    </row>
    <row r="15" spans="1:9" ht="12.75">
      <c r="A15" s="29"/>
      <c r="B15" s="29" t="s">
        <v>131</v>
      </c>
      <c r="C15" s="29" t="s">
        <v>132</v>
      </c>
      <c r="D15" s="29" t="s">
        <v>135</v>
      </c>
      <c r="E15" s="29" t="s">
        <v>12</v>
      </c>
      <c r="F15" s="29" t="s">
        <v>13</v>
      </c>
      <c r="G15" s="29" t="s">
        <v>136</v>
      </c>
      <c r="H15" s="29" t="s">
        <v>133</v>
      </c>
      <c r="I15" s="29" t="s">
        <v>137</v>
      </c>
    </row>
    <row r="16" spans="1:9" ht="12.75">
      <c r="A16" t="s">
        <v>138</v>
      </c>
      <c r="B16" s="48">
        <f>+B17+B18</f>
        <v>2705220461</v>
      </c>
      <c r="C16" s="48">
        <f aca="true" t="shared" si="0" ref="C16:I16">+C17+C18</f>
        <v>208538788</v>
      </c>
      <c r="D16" s="48">
        <f t="shared" si="0"/>
        <v>578317048</v>
      </c>
      <c r="E16" s="48">
        <f t="shared" si="0"/>
        <v>365202919</v>
      </c>
      <c r="F16" s="48">
        <f t="shared" si="0"/>
        <v>52318258</v>
      </c>
      <c r="G16" s="48">
        <f>+G17+G18</f>
        <v>7108599</v>
      </c>
      <c r="H16" s="48">
        <f>+H17+H18</f>
        <v>500561491</v>
      </c>
      <c r="I16" s="48">
        <f t="shared" si="0"/>
        <v>4417267564</v>
      </c>
    </row>
    <row r="17" spans="1:9" ht="12.75">
      <c r="A17" t="s">
        <v>139</v>
      </c>
      <c r="B17" s="47">
        <f>'Table B'!B62</f>
        <v>2656184036</v>
      </c>
      <c r="C17" s="47">
        <f>'Table B'!C62</f>
        <v>208225732</v>
      </c>
      <c r="D17" s="47">
        <f>'Table B'!D62</f>
        <v>488581549</v>
      </c>
      <c r="E17" s="47">
        <f>'Table B'!E62</f>
        <v>362700155</v>
      </c>
      <c r="F17" s="47">
        <f>'Table B'!F62</f>
        <v>52111635</v>
      </c>
      <c r="G17" s="47">
        <f>'Table B'!G62</f>
        <v>7108599</v>
      </c>
      <c r="H17" s="47">
        <f>'Table B'!H62</f>
        <v>482818020</v>
      </c>
      <c r="I17" s="47">
        <f>SUM(B17:H17)</f>
        <v>4257729726</v>
      </c>
    </row>
    <row r="18" spans="1:9" ht="12.75">
      <c r="A18" t="s">
        <v>140</v>
      </c>
      <c r="B18" s="47">
        <f>'Table C'!B62</f>
        <v>49036425</v>
      </c>
      <c r="C18" s="47">
        <f>'Table C'!C62</f>
        <v>313056</v>
      </c>
      <c r="D18" s="47">
        <f>'Table C'!D62</f>
        <v>89735499</v>
      </c>
      <c r="E18" s="47">
        <f>'Table C'!E62</f>
        <v>2502764</v>
      </c>
      <c r="F18" s="47">
        <f>'Table C'!F62</f>
        <v>206623</v>
      </c>
      <c r="G18" s="47">
        <f>'Table C'!G62</f>
        <v>0</v>
      </c>
      <c r="H18" s="47">
        <f>'Table C'!H62</f>
        <v>17743471</v>
      </c>
      <c r="I18" s="47">
        <f>SUM(B18:H18)</f>
        <v>159537838</v>
      </c>
    </row>
    <row r="35" spans="1:7" ht="12.75">
      <c r="A35" t="s">
        <v>330</v>
      </c>
      <c r="E35" s="7"/>
      <c r="F35" s="7"/>
      <c r="G35" s="7"/>
    </row>
    <row r="36" spans="1:7" ht="12.75">
      <c r="A36" t="s">
        <v>331</v>
      </c>
      <c r="C36" s="9" t="str">
        <f>"TRANSFERRED TO CCDF "&amp;DOLLAR('Table A1 - FY99'!C62,-2)</f>
        <v>TRANSFERRED TO CCDF $510,073,900</v>
      </c>
      <c r="D36" s="9" t="str">
        <f>"TRANSFERRED TO SSBG "&amp;DOLLAR('Table A1 - FY99'!D62,-2)</f>
        <v>TRANSFERRED TO SSBG $292,256,800</v>
      </c>
      <c r="E36" s="9" t="str">
        <f>"TOTAL EXPENDITURES "&amp;DOLLAR('Table A1 - FY99'!N62,-2)</f>
        <v>TOTAL EXPENDITURES $4,081,062,200</v>
      </c>
      <c r="F36" s="9" t="str">
        <f>"UNLIQUIDATED OBLIGATIONS "&amp;DOLLAR('Table A1 - FY99'!P62,-2)</f>
        <v>UNLIQUIDATED OBLIGATIONS $803,994,800</v>
      </c>
      <c r="G36" s="9" t="str">
        <f>"UNOBLIGATED BALANCE "&amp;DOLLAR('Table A1 - FY99'!Q62,-2)</f>
        <v>UNOBLIGATED BALANCE $2,493,074,400</v>
      </c>
    </row>
    <row r="37" spans="1:7" ht="12.75">
      <c r="A37" t="s">
        <v>328</v>
      </c>
      <c r="C37" s="36">
        <f>C6</f>
        <v>0.06235294999680422</v>
      </c>
      <c r="D37" s="36">
        <f>D6</f>
        <v>0.03572634373027652</v>
      </c>
      <c r="E37" s="81">
        <f>M6</f>
        <v>0.5531319587282516</v>
      </c>
      <c r="F37" s="36">
        <f>O6</f>
        <v>0.10897045942813918</v>
      </c>
      <c r="G37" s="36">
        <f>P6</f>
        <v>0.33790201184665003</v>
      </c>
    </row>
    <row r="46" spans="1:5" ht="12.75">
      <c r="A46" t="s">
        <v>321</v>
      </c>
      <c r="D46" t="s">
        <v>257</v>
      </c>
      <c r="E46" t="s">
        <v>259</v>
      </c>
    </row>
    <row r="47" spans="1:5" ht="12.75">
      <c r="A47" t="s">
        <v>322</v>
      </c>
      <c r="D47" t="s">
        <v>258</v>
      </c>
      <c r="E47" t="s">
        <v>260</v>
      </c>
    </row>
    <row r="49" spans="2:5" ht="12.75">
      <c r="B49" s="10" t="s">
        <v>32</v>
      </c>
      <c r="C49" s="46">
        <f>D49/E49</f>
        <v>0.31117276875146876</v>
      </c>
      <c r="D49">
        <f>'Table E'!D10</f>
        <v>16269821</v>
      </c>
      <c r="E49" s="83">
        <f>MOE!C6</f>
        <v>52285491</v>
      </c>
    </row>
    <row r="50" spans="2:5" ht="12.75">
      <c r="B50" s="13" t="s">
        <v>33</v>
      </c>
      <c r="C50" s="46">
        <f aca="true" t="shared" si="1" ref="C50:C99">D50/E50</f>
        <v>0.33049707082214724</v>
      </c>
      <c r="D50">
        <f>'Table E'!D11</f>
        <v>21567094</v>
      </c>
      <c r="E50" s="83">
        <f>MOE!C7</f>
        <v>65256536</v>
      </c>
    </row>
    <row r="51" spans="2:5" ht="12.75">
      <c r="B51" s="10" t="s">
        <v>34</v>
      </c>
      <c r="C51" s="46">
        <f t="shared" si="1"/>
        <v>0.3427529185143188</v>
      </c>
      <c r="D51">
        <f>'Table E'!D12</f>
        <v>43079814</v>
      </c>
      <c r="E51" s="83">
        <f>MOE!C8</f>
        <v>125687665</v>
      </c>
    </row>
    <row r="52" spans="2:5" ht="12.75">
      <c r="B52" s="10" t="s">
        <v>35</v>
      </c>
      <c r="C52" s="46">
        <f t="shared" si="1"/>
        <v>0.2668025276271394</v>
      </c>
      <c r="D52">
        <f>'Table E'!D13</f>
        <v>7413180</v>
      </c>
      <c r="E52" s="83">
        <f>MOE!C9</f>
        <v>27785269</v>
      </c>
    </row>
    <row r="53" spans="2:5" ht="12.75">
      <c r="B53" s="10" t="s">
        <v>36</v>
      </c>
      <c r="C53" s="46">
        <f t="shared" si="1"/>
        <v>0.2291070415428864</v>
      </c>
      <c r="D53">
        <f>'Table E'!D14</f>
        <v>832744330</v>
      </c>
      <c r="E53" s="83">
        <f>MOE!C10</f>
        <v>3634739135</v>
      </c>
    </row>
    <row r="54" spans="2:5" ht="12.75">
      <c r="B54" s="10" t="s">
        <v>37</v>
      </c>
      <c r="C54" s="46">
        <f t="shared" si="1"/>
        <v>0.3842825355503807</v>
      </c>
      <c r="D54">
        <f>'Table E'!D15</f>
        <v>42461117</v>
      </c>
      <c r="E54" s="83">
        <f>MOE!C11</f>
        <v>110494527</v>
      </c>
    </row>
    <row r="55" spans="2:5" ht="12.75">
      <c r="B55" s="10" t="s">
        <v>38</v>
      </c>
      <c r="C55" s="46">
        <f t="shared" si="1"/>
        <v>0.35056979901518315</v>
      </c>
      <c r="D55">
        <f>'Table E'!D16</f>
        <v>85735844</v>
      </c>
      <c r="E55" s="83">
        <f>MOE!C12</f>
        <v>244561409</v>
      </c>
    </row>
    <row r="56" spans="2:5" ht="12.75">
      <c r="B56" s="10" t="s">
        <v>39</v>
      </c>
      <c r="C56" s="46">
        <f t="shared" si="1"/>
        <v>0.30684717410982437</v>
      </c>
      <c r="D56">
        <f>'Table E'!D17</f>
        <v>8907188</v>
      </c>
      <c r="E56" s="83">
        <f>MOE!C13</f>
        <v>29028092</v>
      </c>
    </row>
    <row r="57" spans="2:5" ht="12.75">
      <c r="B57" s="10" t="s">
        <v>40</v>
      </c>
      <c r="C57" s="46">
        <f t="shared" si="1"/>
        <v>0.3195070485826471</v>
      </c>
      <c r="D57">
        <f>'Table E'!D18</f>
        <v>30011915</v>
      </c>
      <c r="E57" s="83">
        <f>MOE!C14</f>
        <v>93931934</v>
      </c>
    </row>
    <row r="58" spans="2:5" ht="12.75">
      <c r="B58" s="10" t="s">
        <v>41</v>
      </c>
      <c r="C58" s="46">
        <f t="shared" si="1"/>
        <v>0.38990099429686537</v>
      </c>
      <c r="D58">
        <f>'Table E'!D19</f>
        <v>191500381</v>
      </c>
      <c r="E58" s="83">
        <f>MOE!C15</f>
        <v>491151302</v>
      </c>
    </row>
    <row r="59" spans="2:5" ht="12.75">
      <c r="B59" s="10" t="s">
        <v>42</v>
      </c>
      <c r="C59" s="46">
        <f t="shared" si="1"/>
        <v>0.1304906830061491</v>
      </c>
      <c r="D59">
        <f>'Table E'!D20</f>
        <v>30163970</v>
      </c>
      <c r="E59" s="83">
        <f>MOE!C16</f>
        <v>231158036</v>
      </c>
    </row>
    <row r="60" spans="2:5" ht="12.75">
      <c r="B60" s="10" t="s">
        <v>43</v>
      </c>
      <c r="C60" s="46">
        <f t="shared" si="1"/>
        <v>0.3718263164012478</v>
      </c>
      <c r="D60">
        <f>'Table E'!D21</f>
        <v>35273846</v>
      </c>
      <c r="E60" s="83">
        <f>MOE!C17</f>
        <v>94866459</v>
      </c>
    </row>
    <row r="61" spans="2:5" ht="12.75">
      <c r="B61" s="10" t="s">
        <v>44</v>
      </c>
      <c r="C61" s="46">
        <f t="shared" si="1"/>
        <v>0.32137725283382934</v>
      </c>
      <c r="D61">
        <f>'Table E'!D22</f>
        <v>5861377</v>
      </c>
      <c r="E61" s="83">
        <f>MOE!C18</f>
        <v>18238307</v>
      </c>
    </row>
    <row r="62" spans="2:5" ht="12.75">
      <c r="B62" s="16" t="s">
        <v>45</v>
      </c>
      <c r="C62" s="46">
        <f t="shared" si="1"/>
        <v>0.32779439204461025</v>
      </c>
      <c r="D62">
        <f>'Table E'!D23</f>
        <v>187973997</v>
      </c>
      <c r="E62" s="83">
        <f>MOE!C19</f>
        <v>573450924</v>
      </c>
    </row>
    <row r="63" spans="2:5" ht="12.75">
      <c r="B63" s="16" t="s">
        <v>46</v>
      </c>
      <c r="C63" s="46">
        <f t="shared" si="1"/>
        <v>0.36951750708957315</v>
      </c>
      <c r="D63">
        <f>'Table E'!D24</f>
        <v>55932891</v>
      </c>
      <c r="E63" s="83">
        <f>MOE!C20</f>
        <v>151367364</v>
      </c>
    </row>
    <row r="64" spans="2:5" ht="12.75">
      <c r="B64" s="16" t="s">
        <v>47</v>
      </c>
      <c r="C64" s="46">
        <f t="shared" si="1"/>
        <v>0.48081240949653703</v>
      </c>
      <c r="D64">
        <f>'Table E'!D25</f>
        <v>39723613</v>
      </c>
      <c r="E64" s="83">
        <f>MOE!C21</f>
        <v>82617695</v>
      </c>
    </row>
    <row r="65" spans="2:5" ht="12.75">
      <c r="B65" s="16" t="s">
        <v>48</v>
      </c>
      <c r="C65" s="46">
        <f t="shared" si="1"/>
        <v>0.5250345284679845</v>
      </c>
      <c r="D65">
        <f>'Table E'!D26</f>
        <v>43227556</v>
      </c>
      <c r="E65" s="83">
        <f>MOE!C22</f>
        <v>82332787</v>
      </c>
    </row>
    <row r="66" spans="2:5" ht="12.75">
      <c r="B66" s="16" t="s">
        <v>49</v>
      </c>
      <c r="C66" s="46">
        <f t="shared" si="1"/>
        <v>0.3843732843852989</v>
      </c>
      <c r="D66">
        <f>'Table E'!D27</f>
        <v>34551795</v>
      </c>
      <c r="E66" s="83">
        <f>MOE!C23</f>
        <v>89891250</v>
      </c>
    </row>
    <row r="67" spans="2:5" ht="12.75">
      <c r="B67" s="16" t="s">
        <v>50</v>
      </c>
      <c r="C67" s="46">
        <f t="shared" si="1"/>
        <v>0.41730990595794487</v>
      </c>
      <c r="D67">
        <f>'Table E'!D28</f>
        <v>30833709</v>
      </c>
      <c r="E67" s="83">
        <f>MOE!C24</f>
        <v>73886837</v>
      </c>
    </row>
    <row r="68" spans="2:5" ht="12.75">
      <c r="B68" s="16" t="s">
        <v>51</v>
      </c>
      <c r="C68" s="46">
        <f t="shared" si="1"/>
        <v>0.47762994283409926</v>
      </c>
      <c r="D68">
        <f>'Table E'!D29</f>
        <v>23896745</v>
      </c>
      <c r="E68" s="83">
        <f>MOE!C25</f>
        <v>50031924</v>
      </c>
    </row>
    <row r="69" spans="2:5" ht="12.75">
      <c r="B69" s="16" t="s">
        <v>52</v>
      </c>
      <c r="C69" s="46">
        <f t="shared" si="1"/>
        <v>0.2858234250606342</v>
      </c>
      <c r="D69">
        <f>'Table E'!D30</f>
        <v>67441159</v>
      </c>
      <c r="E69" s="83">
        <f>MOE!C26</f>
        <v>235953925</v>
      </c>
    </row>
    <row r="70" spans="2:5" ht="12.75">
      <c r="B70" s="16" t="s">
        <v>53</v>
      </c>
      <c r="C70" s="46">
        <f t="shared" si="1"/>
        <v>0.3503597769292587</v>
      </c>
      <c r="D70">
        <f>'Table E'!D31</f>
        <v>167681032</v>
      </c>
      <c r="E70" s="83">
        <f>MOE!C27</f>
        <v>478596697</v>
      </c>
    </row>
    <row r="71" spans="2:5" ht="12.75">
      <c r="B71" s="16" t="s">
        <v>54</v>
      </c>
      <c r="C71" s="46">
        <f t="shared" si="1"/>
        <v>0.26143311547736353</v>
      </c>
      <c r="D71">
        <f>'Table E'!D32</f>
        <v>163314958</v>
      </c>
      <c r="E71" s="83">
        <f>MOE!C28</f>
        <v>624691167</v>
      </c>
    </row>
    <row r="72" spans="2:5" ht="12.75">
      <c r="B72" s="16" t="s">
        <v>55</v>
      </c>
      <c r="C72" s="46">
        <f t="shared" si="1"/>
        <v>0.3996492669686404</v>
      </c>
      <c r="D72">
        <f>'Table E'!D33</f>
        <v>95780082</v>
      </c>
      <c r="E72" s="83">
        <f>MOE!C29</f>
        <v>239660347</v>
      </c>
    </row>
    <row r="73" spans="2:5" ht="12.75">
      <c r="B73" s="16" t="s">
        <v>56</v>
      </c>
      <c r="C73" s="46">
        <f t="shared" si="1"/>
        <v>0.19498767233460323</v>
      </c>
      <c r="D73">
        <f>'Table E'!D34</f>
        <v>5647963</v>
      </c>
      <c r="E73" s="83">
        <f>MOE!C30</f>
        <v>28965744</v>
      </c>
    </row>
    <row r="74" spans="2:5" ht="12.75">
      <c r="B74" s="16" t="s">
        <v>57</v>
      </c>
      <c r="C74" s="46">
        <f t="shared" si="1"/>
        <v>0.3999999987512568</v>
      </c>
      <c r="D74">
        <f>'Table E'!D35</f>
        <v>64064413</v>
      </c>
      <c r="E74" s="83">
        <f>MOE!C31</f>
        <v>160161033</v>
      </c>
    </row>
    <row r="75" spans="2:5" ht="12.75">
      <c r="B75" s="16" t="s">
        <v>58</v>
      </c>
      <c r="C75" s="46">
        <f t="shared" si="1"/>
        <v>0.3605693416639831</v>
      </c>
      <c r="D75">
        <f>'Table E'!D36</f>
        <v>7555582</v>
      </c>
      <c r="E75" s="83">
        <f>MOE!C32</f>
        <v>20954588</v>
      </c>
    </row>
    <row r="76" spans="2:5" ht="12.75">
      <c r="B76" s="13" t="s">
        <v>59</v>
      </c>
      <c r="C76" s="46">
        <f t="shared" si="1"/>
        <v>0.3983940044930151</v>
      </c>
      <c r="D76">
        <f>'Table E'!D37</f>
        <v>15207729</v>
      </c>
      <c r="E76" s="83">
        <f>MOE!C33</f>
        <v>38172585</v>
      </c>
    </row>
    <row r="77" spans="2:5" ht="12.75">
      <c r="B77" s="16" t="s">
        <v>60</v>
      </c>
      <c r="C77" s="46">
        <f t="shared" si="1"/>
        <v>0.362071206861161</v>
      </c>
      <c r="D77">
        <f>'Table E'!D38</f>
        <v>12305045</v>
      </c>
      <c r="E77" s="83">
        <f>MOE!C34</f>
        <v>33985152</v>
      </c>
    </row>
    <row r="78" spans="2:5" ht="12.75">
      <c r="B78" s="16" t="s">
        <v>61</v>
      </c>
      <c r="C78" s="46">
        <f t="shared" si="1"/>
        <v>0.3750011326481894</v>
      </c>
      <c r="D78">
        <f>'Table E'!D39</f>
        <v>16057550</v>
      </c>
      <c r="E78" s="83">
        <f>MOE!C35</f>
        <v>42820004</v>
      </c>
    </row>
    <row r="79" spans="2:5" ht="12.75">
      <c r="B79" s="16" t="s">
        <v>62</v>
      </c>
      <c r="C79" s="46">
        <f t="shared" si="1"/>
        <v>0.3750000018740005</v>
      </c>
      <c r="D79">
        <f>'Table E'!D40</f>
        <v>150080004</v>
      </c>
      <c r="E79" s="83">
        <f>MOE!C36</f>
        <v>400213342</v>
      </c>
    </row>
    <row r="80" spans="2:5" ht="12.75">
      <c r="B80" s="16" t="s">
        <v>63</v>
      </c>
      <c r="C80" s="46">
        <f t="shared" si="1"/>
        <v>0.3682024810562203</v>
      </c>
      <c r="D80">
        <f>'Table E'!D41</f>
        <v>18334584</v>
      </c>
      <c r="E80" s="83">
        <f>MOE!C37</f>
        <v>49794841</v>
      </c>
    </row>
    <row r="81" spans="2:5" ht="12.75">
      <c r="B81" s="16" t="s">
        <v>64</v>
      </c>
      <c r="C81" s="46">
        <f t="shared" si="1"/>
        <v>0.3418257815813074</v>
      </c>
      <c r="D81">
        <f>'Table E'!D42</f>
        <v>783272560</v>
      </c>
      <c r="E81" s="83">
        <f>MOE!C38</f>
        <v>2291437926</v>
      </c>
    </row>
    <row r="82" spans="2:5" ht="12.75">
      <c r="B82" s="16" t="s">
        <v>65</v>
      </c>
      <c r="C82" s="46">
        <f t="shared" si="1"/>
        <v>0.3600405402242115</v>
      </c>
      <c r="D82">
        <f>'Table E'!D43</f>
        <v>74012700</v>
      </c>
      <c r="E82" s="83">
        <f>MOE!C39</f>
        <v>205567684</v>
      </c>
    </row>
    <row r="83" spans="2:5" ht="12.75">
      <c r="B83" s="16" t="s">
        <v>66</v>
      </c>
      <c r="C83" s="46">
        <f t="shared" si="1"/>
        <v>0.49771711625692244</v>
      </c>
      <c r="D83">
        <f>'Table E'!D44</f>
        <v>6018585</v>
      </c>
      <c r="E83" s="83">
        <f>MOE!C40</f>
        <v>12092381</v>
      </c>
    </row>
    <row r="84" spans="2:5" ht="12.75">
      <c r="B84" s="16" t="s">
        <v>67</v>
      </c>
      <c r="C84" s="46">
        <f t="shared" si="1"/>
        <v>0.4074403478108305</v>
      </c>
      <c r="D84">
        <f>'Table E'!D45</f>
        <v>212320558</v>
      </c>
      <c r="E84" s="83">
        <f>MOE!C41</f>
        <v>521108327</v>
      </c>
    </row>
    <row r="85" spans="2:5" ht="12.75">
      <c r="B85" s="16" t="s">
        <v>68</v>
      </c>
      <c r="C85" s="46">
        <f t="shared" si="1"/>
        <v>0.40027256026329194</v>
      </c>
      <c r="D85">
        <f>'Table E'!D46</f>
        <v>32651201</v>
      </c>
      <c r="E85" s="83">
        <f>MOE!C42</f>
        <v>81572419</v>
      </c>
    </row>
    <row r="86" spans="2:5" ht="12.75">
      <c r="B86" s="16" t="s">
        <v>69</v>
      </c>
      <c r="C86" s="46">
        <f t="shared" si="1"/>
        <v>0.3365880752124221</v>
      </c>
      <c r="D86">
        <f>'Table E'!D47</f>
        <v>41124914</v>
      </c>
      <c r="E86" s="83">
        <f>MOE!C43</f>
        <v>122181732</v>
      </c>
    </row>
    <row r="87" spans="2:5" ht="12.75">
      <c r="B87" s="16" t="s">
        <v>70</v>
      </c>
      <c r="C87" s="46">
        <f t="shared" si="1"/>
        <v>0.34820622269160073</v>
      </c>
      <c r="D87">
        <f>'Table E'!D48</f>
        <v>189018223</v>
      </c>
      <c r="E87" s="83">
        <f>MOE!C44</f>
        <v>542834133</v>
      </c>
    </row>
    <row r="88" spans="2:5" ht="12.75">
      <c r="B88" s="16" t="s">
        <v>71</v>
      </c>
      <c r="C88" s="46">
        <f t="shared" si="1"/>
        <v>0.5099333211528465</v>
      </c>
      <c r="D88">
        <f>'Table E'!D49</f>
        <v>41044224</v>
      </c>
      <c r="E88" s="83">
        <f>MOE!C45</f>
        <v>80489394</v>
      </c>
    </row>
    <row r="89" spans="2:5" ht="12.75">
      <c r="B89" s="16" t="s">
        <v>72</v>
      </c>
      <c r="C89" s="46">
        <f t="shared" si="1"/>
        <v>0.39959106364785674</v>
      </c>
      <c r="D89">
        <f>'Table E'!D50</f>
        <v>19141339</v>
      </c>
      <c r="E89" s="83">
        <f>MOE!C46</f>
        <v>47902320</v>
      </c>
    </row>
    <row r="90" spans="2:5" ht="12.75">
      <c r="B90" s="16" t="s">
        <v>73</v>
      </c>
      <c r="C90" s="46">
        <f t="shared" si="1"/>
        <v>0.4227762231683535</v>
      </c>
      <c r="D90">
        <f>'Table E'!D51</f>
        <v>4815028</v>
      </c>
      <c r="E90" s="83">
        <f>MOE!C47</f>
        <v>11389070</v>
      </c>
    </row>
    <row r="91" spans="2:5" ht="12.75">
      <c r="B91" s="16" t="s">
        <v>74</v>
      </c>
      <c r="C91" s="46">
        <f t="shared" si="1"/>
        <v>0.2380429686237342</v>
      </c>
      <c r="D91">
        <f>'Table E'!D52</f>
        <v>26283079</v>
      </c>
      <c r="E91" s="83">
        <f>MOE!C48</f>
        <v>110413171</v>
      </c>
    </row>
    <row r="92" spans="2:5" ht="12.75">
      <c r="B92" s="16" t="s">
        <v>75</v>
      </c>
      <c r="C92" s="46">
        <f t="shared" si="1"/>
        <v>0.4</v>
      </c>
      <c r="D92">
        <f>'Table E'!D53</f>
        <v>125720402</v>
      </c>
      <c r="E92" s="83">
        <f>MOE!C49</f>
        <v>314301005</v>
      </c>
    </row>
    <row r="93" spans="2:5" ht="12.75">
      <c r="B93" s="16" t="s">
        <v>76</v>
      </c>
      <c r="C93" s="46">
        <f t="shared" si="1"/>
        <v>0.37499998517232663</v>
      </c>
      <c r="D93">
        <f>'Table E'!D54</f>
        <v>12645274</v>
      </c>
      <c r="E93" s="83">
        <f>MOE!C50</f>
        <v>33720732</v>
      </c>
    </row>
    <row r="94" spans="2:5" ht="12.75">
      <c r="B94" s="16" t="s">
        <v>77</v>
      </c>
      <c r="C94" s="46">
        <f t="shared" si="1"/>
        <v>0.4016204408003597</v>
      </c>
      <c r="D94">
        <f>'Table E'!D55</f>
        <v>13681816</v>
      </c>
      <c r="E94" s="83">
        <f>MOE!C51</f>
        <v>34066533</v>
      </c>
    </row>
    <row r="95" spans="2:5" ht="12.75">
      <c r="B95" s="16" t="s">
        <v>78</v>
      </c>
      <c r="C95" s="46">
        <f t="shared" si="1"/>
        <v>0.3079487033050677</v>
      </c>
      <c r="D95">
        <f>'Table E'!D56</f>
        <v>52627682</v>
      </c>
      <c r="E95" s="83">
        <f>MOE!C52</f>
        <v>170897560</v>
      </c>
    </row>
    <row r="96" spans="2:5" ht="12.75">
      <c r="B96" s="16" t="s">
        <v>79</v>
      </c>
      <c r="C96" s="46">
        <f t="shared" si="1"/>
        <v>0.37016393195420516</v>
      </c>
      <c r="D96">
        <f>'Table E'!D57</f>
        <v>134276139</v>
      </c>
      <c r="E96" s="83">
        <f>MOE!C53</f>
        <v>362747765</v>
      </c>
    </row>
    <row r="97" spans="2:5" ht="12.75">
      <c r="B97" s="16" t="s">
        <v>80</v>
      </c>
      <c r="C97" s="46">
        <f t="shared" si="1"/>
        <v>0.5152798711079667</v>
      </c>
      <c r="D97">
        <f>'Table E'!D58</f>
        <v>22186948</v>
      </c>
      <c r="E97" s="83">
        <f>MOE!C54</f>
        <v>43058053</v>
      </c>
    </row>
    <row r="98" spans="2:5" ht="12.75">
      <c r="B98" s="16" t="s">
        <v>81</v>
      </c>
      <c r="C98" s="46">
        <f t="shared" si="1"/>
        <v>0.3103455426549214</v>
      </c>
      <c r="D98">
        <f>'Table E'!D59</f>
        <v>69875288</v>
      </c>
      <c r="E98" s="83">
        <f>MOE!C55</f>
        <v>225153187</v>
      </c>
    </row>
    <row r="99" spans="2:5" ht="12.75">
      <c r="B99" s="19" t="s">
        <v>82</v>
      </c>
      <c r="C99" s="46">
        <f t="shared" si="1"/>
        <v>0.42323341906353884</v>
      </c>
      <c r="D99">
        <f>'Table E'!D60</f>
        <v>5951320</v>
      </c>
      <c r="E99" s="83">
        <f>MOE!C56</f>
        <v>14061555</v>
      </c>
    </row>
  </sheetData>
  <printOptions gridLines="1"/>
  <pageMargins left="0.75" right="0.75" top="1" bottom="1" header="0.5" footer="0.5"/>
  <pageSetup fitToHeight="1" fitToWidth="1" horizontalDpi="300" verticalDpi="300" orientation="landscape" scale="29"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Y67"/>
  <sheetViews>
    <sheetView tabSelected="1" workbookViewId="0" topLeftCell="A1">
      <selection activeCell="A3" sqref="A3"/>
    </sheetView>
  </sheetViews>
  <sheetFormatPr defaultColWidth="9.140625" defaultRowHeight="12.75"/>
  <cols>
    <col min="2" max="2" width="17.00390625" style="0" customWidth="1"/>
    <col min="3" max="3" width="18.00390625" style="0" customWidth="1"/>
    <col min="4" max="4" width="19.8515625" style="0" customWidth="1"/>
    <col min="5" max="5" width="17.28125" style="0" customWidth="1"/>
    <col min="6" max="6" width="29.00390625" style="0" customWidth="1"/>
    <col min="10" max="10" width="15.8515625" style="0" customWidth="1"/>
    <col min="11" max="11" width="14.7109375" style="0" customWidth="1"/>
    <col min="12" max="12" width="15.140625" style="0" customWidth="1"/>
    <col min="13" max="13" width="22.421875" style="0" customWidth="1"/>
    <col min="14" max="14" width="20.7109375" style="0" customWidth="1"/>
    <col min="15" max="15" width="14.7109375" style="0" customWidth="1"/>
    <col min="16" max="16" width="2.00390625" style="0" customWidth="1"/>
    <col min="17" max="17" width="19.00390625" style="0" customWidth="1"/>
    <col min="18" max="18" width="13.140625" style="0" customWidth="1"/>
    <col min="19" max="19" width="13.7109375" style="0" customWidth="1"/>
    <col min="20" max="20" width="24.57421875" style="0" customWidth="1"/>
    <col min="23" max="23" width="12.8515625" style="0" customWidth="1"/>
    <col min="24" max="24" width="17.7109375" style="0" customWidth="1"/>
  </cols>
  <sheetData>
    <row r="1" spans="1:7" ht="12.75">
      <c r="A1" s="50"/>
      <c r="B1" s="51" t="s">
        <v>141</v>
      </c>
      <c r="C1" s="52"/>
      <c r="D1" s="53"/>
      <c r="E1" s="52"/>
      <c r="F1" s="54"/>
      <c r="G1" s="55"/>
    </row>
    <row r="2" spans="1:7" ht="12.75">
      <c r="A2" s="50"/>
      <c r="B2" s="51"/>
      <c r="C2" s="54" t="s">
        <v>236</v>
      </c>
      <c r="D2" s="56"/>
      <c r="E2" s="54"/>
      <c r="F2" s="54"/>
      <c r="G2" s="55"/>
    </row>
    <row r="3" spans="1:7" ht="12.75">
      <c r="A3" s="50"/>
      <c r="B3" s="57"/>
      <c r="C3" s="58" t="s">
        <v>142</v>
      </c>
      <c r="D3" s="59" t="s">
        <v>143</v>
      </c>
      <c r="E3" s="60"/>
      <c r="F3" s="54"/>
      <c r="G3" s="55"/>
    </row>
    <row r="4" spans="1:7" ht="12.75">
      <c r="A4" s="50"/>
      <c r="B4" s="61" t="s">
        <v>144</v>
      </c>
      <c r="C4" s="62" t="s">
        <v>145</v>
      </c>
      <c r="D4" s="63" t="s">
        <v>146</v>
      </c>
      <c r="E4" s="63" t="s">
        <v>147</v>
      </c>
      <c r="F4" s="54"/>
      <c r="G4" s="55"/>
    </row>
    <row r="5" spans="1:7" ht="12.75">
      <c r="A5" s="50"/>
      <c r="B5" s="54"/>
      <c r="C5" s="54"/>
      <c r="D5" s="56"/>
      <c r="E5" s="54"/>
      <c r="F5" s="54"/>
      <c r="G5" s="55"/>
    </row>
    <row r="6" spans="1:7" ht="12.75">
      <c r="A6" s="50"/>
      <c r="B6" s="64" t="s">
        <v>32</v>
      </c>
      <c r="C6" s="65">
        <v>52285491</v>
      </c>
      <c r="D6" s="65">
        <v>39214118.25</v>
      </c>
      <c r="E6" s="65">
        <v>41828392.800000004</v>
      </c>
      <c r="F6" s="54"/>
      <c r="G6" s="55"/>
    </row>
    <row r="7" spans="1:24" ht="12.75">
      <c r="A7" s="50"/>
      <c r="B7" s="64" t="s">
        <v>33</v>
      </c>
      <c r="C7" s="56">
        <v>65256536</v>
      </c>
      <c r="D7" s="56">
        <v>48942402</v>
      </c>
      <c r="E7" s="56">
        <v>52205228.800000004</v>
      </c>
      <c r="F7" s="54"/>
      <c r="G7" s="55"/>
      <c r="J7" s="7" t="s">
        <v>92</v>
      </c>
      <c r="K7" s="29" t="s">
        <v>153</v>
      </c>
      <c r="L7" s="29" t="s">
        <v>154</v>
      </c>
      <c r="M7" s="29" t="s">
        <v>155</v>
      </c>
      <c r="N7" s="29" t="s">
        <v>156</v>
      </c>
      <c r="O7" s="29" t="s">
        <v>157</v>
      </c>
      <c r="Q7" s="29" t="s">
        <v>158</v>
      </c>
      <c r="R7" s="29" t="s">
        <v>159</v>
      </c>
      <c r="S7" s="29" t="s">
        <v>160</v>
      </c>
      <c r="T7" s="29" t="s">
        <v>161</v>
      </c>
      <c r="W7" t="s">
        <v>34</v>
      </c>
      <c r="X7" t="s">
        <v>237</v>
      </c>
    </row>
    <row r="8" spans="1:24" ht="12.75">
      <c r="A8" s="50"/>
      <c r="B8" s="72" t="s">
        <v>34</v>
      </c>
      <c r="C8" s="56">
        <v>125687665</v>
      </c>
      <c r="D8" s="56">
        <f>C8*0.75</f>
        <v>94265748.75</v>
      </c>
      <c r="E8" s="56">
        <f>C8*0.8</f>
        <v>100550132</v>
      </c>
      <c r="F8" s="54"/>
      <c r="G8" s="55"/>
      <c r="J8" s="5"/>
      <c r="K8" s="29" t="s">
        <v>162</v>
      </c>
      <c r="L8" s="29" t="s">
        <v>163</v>
      </c>
      <c r="M8" s="29" t="s">
        <v>164</v>
      </c>
      <c r="N8" s="29" t="s">
        <v>165</v>
      </c>
      <c r="Q8" s="29"/>
      <c r="R8" s="29" t="s">
        <v>166</v>
      </c>
      <c r="S8" s="29" t="s">
        <v>166</v>
      </c>
      <c r="T8" s="29" t="s">
        <v>167</v>
      </c>
      <c r="X8">
        <f>1783353/222419988</f>
        <v>0.008017952954839652</v>
      </c>
    </row>
    <row r="9" spans="1:24" ht="12.75">
      <c r="A9" s="50"/>
      <c r="B9" s="64" t="s">
        <v>35</v>
      </c>
      <c r="C9" s="56">
        <v>27785269</v>
      </c>
      <c r="D9" s="56">
        <v>20838951.75</v>
      </c>
      <c r="E9" s="56">
        <v>22228215.200000003</v>
      </c>
      <c r="F9" s="54"/>
      <c r="G9" s="55"/>
      <c r="J9" s="5"/>
      <c r="M9" s="29" t="s">
        <v>168</v>
      </c>
      <c r="Q9" t="s">
        <v>169</v>
      </c>
      <c r="R9" s="40">
        <v>897094</v>
      </c>
      <c r="S9" s="40">
        <v>222419988</v>
      </c>
      <c r="T9" s="40">
        <v>220636635</v>
      </c>
      <c r="U9" s="40"/>
      <c r="V9" s="40"/>
      <c r="X9" s="40">
        <f>X8*126703568</f>
        <v>1015903.2474343268</v>
      </c>
    </row>
    <row r="10" spans="1:24" ht="12.75">
      <c r="A10" s="50"/>
      <c r="B10" s="75" t="s">
        <v>94</v>
      </c>
      <c r="C10" s="56">
        <v>3634739135</v>
      </c>
      <c r="D10" s="56">
        <f>C10*0.75</f>
        <v>2726054351.25</v>
      </c>
      <c r="E10" s="56">
        <f>C10*0.8</f>
        <v>2907791308</v>
      </c>
      <c r="F10" s="54"/>
      <c r="G10" s="55"/>
      <c r="J10" s="5"/>
      <c r="M10" s="29" t="s">
        <v>170</v>
      </c>
      <c r="Q10" t="s">
        <v>171</v>
      </c>
      <c r="R10" s="40">
        <v>886259</v>
      </c>
      <c r="S10" s="40"/>
      <c r="T10" s="40"/>
      <c r="U10" s="40"/>
      <c r="V10" s="40"/>
      <c r="X10" s="33">
        <f>126703568-X9</f>
        <v>125687664.75256567</v>
      </c>
    </row>
    <row r="11" spans="1:25" ht="12.75">
      <c r="A11" s="50"/>
      <c r="B11" s="64" t="s">
        <v>95</v>
      </c>
      <c r="C11" s="56">
        <v>110494527</v>
      </c>
      <c r="D11" s="56">
        <v>82870895.25</v>
      </c>
      <c r="E11" s="56">
        <v>88395621.60000001</v>
      </c>
      <c r="F11" s="54"/>
      <c r="G11" s="55"/>
      <c r="J11" s="10" t="s">
        <v>172</v>
      </c>
      <c r="K11" s="40">
        <v>93315207</v>
      </c>
      <c r="L11" s="40">
        <v>69986405</v>
      </c>
      <c r="M11" s="40">
        <v>23328802</v>
      </c>
      <c r="N11" s="40">
        <v>93315207</v>
      </c>
      <c r="O11" s="71">
        <f>K11-N11</f>
        <v>0</v>
      </c>
      <c r="P11" s="40"/>
      <c r="Q11" s="41" t="s">
        <v>83</v>
      </c>
      <c r="R11" s="40">
        <v>1783353</v>
      </c>
      <c r="S11" s="40"/>
      <c r="T11" s="40"/>
      <c r="U11" s="40"/>
      <c r="V11" s="40"/>
      <c r="W11" s="40"/>
      <c r="X11" s="40"/>
      <c r="Y11" s="40"/>
    </row>
    <row r="12" spans="1:25" ht="12.75">
      <c r="A12" s="50"/>
      <c r="B12" s="64" t="s">
        <v>38</v>
      </c>
      <c r="C12" s="56">
        <v>244561409</v>
      </c>
      <c r="D12" s="56">
        <v>183421056.75</v>
      </c>
      <c r="E12" s="56">
        <v>195649127.20000002</v>
      </c>
      <c r="F12" s="54"/>
      <c r="G12" s="55"/>
      <c r="J12" s="10" t="s">
        <v>173</v>
      </c>
      <c r="K12" s="40">
        <v>63609072</v>
      </c>
      <c r="L12" s="40">
        <v>47706804</v>
      </c>
      <c r="M12" s="40">
        <v>15902268</v>
      </c>
      <c r="N12" s="40">
        <v>63609072</v>
      </c>
      <c r="O12" s="71">
        <f aca="true" t="shared" si="0" ref="O12:O66">K12-N12</f>
        <v>0</v>
      </c>
      <c r="P12" s="40"/>
      <c r="Q12" s="40"/>
      <c r="R12" s="40"/>
      <c r="S12" s="40"/>
      <c r="T12" s="40"/>
      <c r="U12" s="40"/>
      <c r="V12" s="40"/>
      <c r="W12" s="71" t="s">
        <v>94</v>
      </c>
      <c r="X12" s="74">
        <f>1146406/3733817784</f>
        <v>0.0003070331939904864</v>
      </c>
      <c r="Y12" s="40"/>
    </row>
    <row r="13" spans="1:25" ht="12.75">
      <c r="A13" s="50"/>
      <c r="B13" s="64" t="s">
        <v>39</v>
      </c>
      <c r="C13" s="56">
        <v>29028092</v>
      </c>
      <c r="D13" s="56">
        <v>21771069</v>
      </c>
      <c r="E13" s="56">
        <v>23222473.6</v>
      </c>
      <c r="F13" s="54"/>
      <c r="G13" s="55"/>
      <c r="J13" s="1" t="s">
        <v>174</v>
      </c>
      <c r="K13" s="41">
        <v>222419988</v>
      </c>
      <c r="L13" s="41">
        <v>166814991</v>
      </c>
      <c r="M13" s="40">
        <v>53821644</v>
      </c>
      <c r="N13" s="40">
        <v>220636635</v>
      </c>
      <c r="O13" s="71">
        <f t="shared" si="0"/>
        <v>1783353</v>
      </c>
      <c r="P13" s="40"/>
      <c r="Q13" s="40" t="s">
        <v>175</v>
      </c>
      <c r="R13" s="40">
        <v>1146406</v>
      </c>
      <c r="S13" s="40">
        <v>3733817784</v>
      </c>
      <c r="T13" s="40">
        <v>3732671378</v>
      </c>
      <c r="U13" s="40"/>
      <c r="V13" s="40"/>
      <c r="W13" s="40"/>
      <c r="X13" s="40">
        <f>X12*3635855463</f>
        <v>1116328.3156926488</v>
      </c>
      <c r="Y13" s="40"/>
    </row>
    <row r="14" spans="1:25" ht="12.75">
      <c r="A14" s="50"/>
      <c r="B14" s="64" t="s">
        <v>40</v>
      </c>
      <c r="C14" s="56">
        <v>93931934</v>
      </c>
      <c r="D14" s="56">
        <v>70448950.5</v>
      </c>
      <c r="E14" s="56">
        <v>75145547.2</v>
      </c>
      <c r="F14" s="54"/>
      <c r="G14" s="55"/>
      <c r="J14" s="10" t="s">
        <v>176</v>
      </c>
      <c r="K14" s="40">
        <v>56732858</v>
      </c>
      <c r="L14" s="40">
        <v>42549644</v>
      </c>
      <c r="M14" s="40">
        <v>14183214</v>
      </c>
      <c r="N14" s="40">
        <v>56732858</v>
      </c>
      <c r="O14" s="71">
        <f t="shared" si="0"/>
        <v>0</v>
      </c>
      <c r="P14" s="40"/>
      <c r="Q14" s="40"/>
      <c r="R14" s="40"/>
      <c r="S14" s="40"/>
      <c r="T14" s="40"/>
      <c r="U14" s="40"/>
      <c r="V14" s="40"/>
      <c r="W14" s="40"/>
      <c r="X14" s="40">
        <f>3635855463-X13</f>
        <v>3634739134.6843076</v>
      </c>
      <c r="Y14" s="40"/>
    </row>
    <row r="15" spans="1:25" ht="12.75">
      <c r="A15" s="50"/>
      <c r="B15" s="64" t="s">
        <v>96</v>
      </c>
      <c r="C15" s="56">
        <v>491151302</v>
      </c>
      <c r="D15" s="56">
        <v>368363477</v>
      </c>
      <c r="E15" s="56">
        <v>392921042</v>
      </c>
      <c r="F15" s="54"/>
      <c r="G15" s="55"/>
      <c r="J15" s="10" t="s">
        <v>177</v>
      </c>
      <c r="K15" s="41">
        <v>3733817784</v>
      </c>
      <c r="L15" s="41">
        <v>2799216932</v>
      </c>
      <c r="M15" s="40">
        <v>933454446</v>
      </c>
      <c r="N15" s="40">
        <v>3732671378</v>
      </c>
      <c r="O15" s="71">
        <f t="shared" si="0"/>
        <v>1146406</v>
      </c>
      <c r="P15" s="40"/>
      <c r="Q15" s="40"/>
      <c r="R15" s="40"/>
      <c r="S15" s="40"/>
      <c r="T15" s="40"/>
      <c r="U15" s="40"/>
      <c r="V15" s="40"/>
      <c r="W15" s="40"/>
      <c r="X15" s="40"/>
      <c r="Y15" s="40"/>
    </row>
    <row r="16" spans="1:25" ht="12.75">
      <c r="A16" s="50"/>
      <c r="B16" s="64" t="s">
        <v>42</v>
      </c>
      <c r="C16" s="56">
        <v>231158036</v>
      </c>
      <c r="D16" s="56">
        <v>173368527</v>
      </c>
      <c r="E16" s="56">
        <v>184926428.8</v>
      </c>
      <c r="F16" s="54"/>
      <c r="G16" s="55"/>
      <c r="J16" s="10" t="s">
        <v>178</v>
      </c>
      <c r="K16" s="40">
        <v>136056690</v>
      </c>
      <c r="L16" s="40">
        <v>102042518</v>
      </c>
      <c r="M16" s="40">
        <v>34014172</v>
      </c>
      <c r="N16" s="40">
        <v>136056690</v>
      </c>
      <c r="O16" s="71">
        <f t="shared" si="0"/>
        <v>0</v>
      </c>
      <c r="P16" s="40"/>
      <c r="Q16" s="40" t="s">
        <v>179</v>
      </c>
      <c r="R16" s="40">
        <v>171554</v>
      </c>
      <c r="S16" s="40">
        <v>148013558</v>
      </c>
      <c r="T16" s="40">
        <v>147842004</v>
      </c>
      <c r="U16" s="40"/>
      <c r="V16" s="40"/>
      <c r="W16" s="71" t="s">
        <v>68</v>
      </c>
      <c r="X16" s="77">
        <f>171554/148013558</f>
        <v>0.001159042470960667</v>
      </c>
      <c r="Y16" s="40"/>
    </row>
    <row r="17" spans="1:25" ht="12.75">
      <c r="A17" s="50"/>
      <c r="B17" s="64" t="s">
        <v>43</v>
      </c>
      <c r="C17" s="56">
        <v>94866459</v>
      </c>
      <c r="D17" s="56">
        <v>71149844</v>
      </c>
      <c r="E17" s="56">
        <v>75893167</v>
      </c>
      <c r="F17" s="54"/>
      <c r="G17" s="55"/>
      <c r="J17" s="10" t="s">
        <v>180</v>
      </c>
      <c r="K17" s="40">
        <v>266788107</v>
      </c>
      <c r="L17" s="40">
        <v>200091080</v>
      </c>
      <c r="M17" s="40">
        <v>66697027</v>
      </c>
      <c r="N17" s="40">
        <v>266788107</v>
      </c>
      <c r="O17" s="71">
        <f t="shared" si="0"/>
        <v>0</v>
      </c>
      <c r="P17" s="40"/>
      <c r="Q17" s="40"/>
      <c r="R17" s="40"/>
      <c r="S17" s="40"/>
      <c r="T17" s="40"/>
      <c r="U17" s="40"/>
      <c r="V17" s="40"/>
      <c r="W17" s="40"/>
      <c r="X17" s="40">
        <f>X16*81667075</f>
        <v>94655.60840413012</v>
      </c>
      <c r="Y17" s="40"/>
    </row>
    <row r="18" spans="1:25" ht="12.75">
      <c r="A18" s="50"/>
      <c r="B18" s="64" t="s">
        <v>97</v>
      </c>
      <c r="C18" s="56">
        <v>18238307</v>
      </c>
      <c r="D18" s="56">
        <v>13678730.25</v>
      </c>
      <c r="E18" s="56">
        <v>14590645.600000001</v>
      </c>
      <c r="F18" s="54"/>
      <c r="G18" s="55"/>
      <c r="J18" s="10" t="s">
        <v>181</v>
      </c>
      <c r="K18" s="40">
        <v>32290981</v>
      </c>
      <c r="L18" s="40">
        <v>24218236</v>
      </c>
      <c r="M18" s="40">
        <v>8072745</v>
      </c>
      <c r="N18" s="40">
        <v>32290981</v>
      </c>
      <c r="O18" s="71">
        <f t="shared" si="0"/>
        <v>0</v>
      </c>
      <c r="P18" s="40"/>
      <c r="Q18" s="40"/>
      <c r="R18" s="40"/>
      <c r="S18" s="40"/>
      <c r="T18" s="40"/>
      <c r="U18" s="40"/>
      <c r="V18" s="40"/>
      <c r="W18" s="40"/>
      <c r="X18" s="40">
        <f>81667075-X17</f>
        <v>81572419.39159587</v>
      </c>
      <c r="Y18" s="40"/>
    </row>
    <row r="19" spans="1:25" ht="12.75">
      <c r="A19" s="50"/>
      <c r="B19" s="64" t="s">
        <v>45</v>
      </c>
      <c r="C19" s="56">
        <v>573450924</v>
      </c>
      <c r="D19" s="56">
        <v>430088193</v>
      </c>
      <c r="E19" s="56">
        <v>458760739.20000005</v>
      </c>
      <c r="F19" s="54"/>
      <c r="G19" s="55"/>
      <c r="J19" s="10" t="s">
        <v>182</v>
      </c>
      <c r="K19" s="40">
        <v>92609815</v>
      </c>
      <c r="L19" s="40">
        <v>69457361</v>
      </c>
      <c r="M19" s="40">
        <v>23152454</v>
      </c>
      <c r="N19" s="40">
        <v>92609815</v>
      </c>
      <c r="O19" s="71">
        <f t="shared" si="0"/>
        <v>0</v>
      </c>
      <c r="P19" s="40"/>
      <c r="Q19" s="40" t="s">
        <v>183</v>
      </c>
      <c r="R19" s="40">
        <v>661625</v>
      </c>
      <c r="S19" s="40">
        <v>167924513</v>
      </c>
      <c r="T19" s="40">
        <v>166798629</v>
      </c>
      <c r="U19" s="40"/>
      <c r="V19" s="40"/>
      <c r="W19" s="40"/>
      <c r="X19" s="40"/>
      <c r="Y19" s="40"/>
    </row>
    <row r="20" spans="1:25" ht="12.75">
      <c r="A20" s="50"/>
      <c r="B20" s="64" t="s">
        <v>98</v>
      </c>
      <c r="C20" s="56">
        <v>151367364</v>
      </c>
      <c r="D20" s="56">
        <v>113525523</v>
      </c>
      <c r="E20" s="56">
        <v>121093891.2</v>
      </c>
      <c r="F20" s="54"/>
      <c r="G20" s="55"/>
      <c r="J20" s="10" t="s">
        <v>184</v>
      </c>
      <c r="K20" s="40">
        <v>562340120</v>
      </c>
      <c r="L20" s="40">
        <v>421755090</v>
      </c>
      <c r="M20" s="40">
        <v>140585030</v>
      </c>
      <c r="N20" s="40">
        <v>562340120</v>
      </c>
      <c r="O20" s="71">
        <f t="shared" si="0"/>
        <v>0</v>
      </c>
      <c r="P20" s="40"/>
      <c r="Q20" s="40" t="s">
        <v>185</v>
      </c>
      <c r="R20" s="40">
        <v>464259</v>
      </c>
      <c r="S20" s="40"/>
      <c r="T20" s="40"/>
      <c r="U20" s="40"/>
      <c r="V20" s="40"/>
      <c r="W20" s="71" t="s">
        <v>100</v>
      </c>
      <c r="X20" s="77">
        <f>1125884/167924513</f>
        <v>0.006704703082866764</v>
      </c>
      <c r="Y20" s="40"/>
    </row>
    <row r="21" spans="1:25" ht="12.75">
      <c r="A21" s="50"/>
      <c r="B21" s="64" t="s">
        <v>47</v>
      </c>
      <c r="C21" s="56">
        <v>82617695</v>
      </c>
      <c r="D21" s="56">
        <v>61963271.25</v>
      </c>
      <c r="E21" s="56">
        <v>66094156</v>
      </c>
      <c r="F21" s="54"/>
      <c r="G21" s="55"/>
      <c r="J21" s="10" t="s">
        <v>186</v>
      </c>
      <c r="K21" s="40">
        <v>330741739</v>
      </c>
      <c r="L21" s="40">
        <v>248056304</v>
      </c>
      <c r="M21" s="40">
        <v>82685435</v>
      </c>
      <c r="N21" s="40">
        <v>330741739</v>
      </c>
      <c r="O21" s="71">
        <f t="shared" si="0"/>
        <v>0</v>
      </c>
      <c r="P21" s="40"/>
      <c r="Q21" s="41" t="s">
        <v>83</v>
      </c>
      <c r="R21" s="40">
        <v>1125884</v>
      </c>
      <c r="S21" s="40"/>
      <c r="T21" s="40"/>
      <c r="U21" s="40"/>
      <c r="V21" s="40"/>
      <c r="W21" s="40"/>
      <c r="X21" s="40">
        <f>X20*123006454</f>
        <v>824721.7513463089</v>
      </c>
      <c r="Y21" s="40"/>
    </row>
    <row r="22" spans="1:25" ht="12.75">
      <c r="A22" s="50"/>
      <c r="B22" s="64" t="s">
        <v>48</v>
      </c>
      <c r="C22" s="56">
        <v>82332787</v>
      </c>
      <c r="D22" s="56">
        <v>61749590.25</v>
      </c>
      <c r="E22" s="56">
        <v>65866229.6</v>
      </c>
      <c r="F22" s="54"/>
      <c r="G22" s="55"/>
      <c r="J22" s="10" t="s">
        <v>187</v>
      </c>
      <c r="K22" s="40"/>
      <c r="L22" s="40">
        <v>0</v>
      </c>
      <c r="M22" s="40">
        <v>0</v>
      </c>
      <c r="N22" s="40">
        <v>0</v>
      </c>
      <c r="O22" s="71">
        <f t="shared" si="0"/>
        <v>0</v>
      </c>
      <c r="P22" s="40"/>
      <c r="Q22" s="40"/>
      <c r="R22" s="40"/>
      <c r="S22" s="40"/>
      <c r="T22" s="40"/>
      <c r="U22" s="40"/>
      <c r="V22" s="40"/>
      <c r="W22" s="40"/>
      <c r="X22" s="40">
        <f>123006454-X21</f>
        <v>122181732.2486537</v>
      </c>
      <c r="Y22" s="40"/>
    </row>
    <row r="23" spans="1:25" ht="12.75">
      <c r="A23" s="50"/>
      <c r="B23" s="64" t="s">
        <v>49</v>
      </c>
      <c r="C23" s="56">
        <v>89891250</v>
      </c>
      <c r="D23" s="56">
        <v>67418437.5</v>
      </c>
      <c r="E23" s="56">
        <v>71913000</v>
      </c>
      <c r="F23" s="54"/>
      <c r="G23" s="55"/>
      <c r="J23" s="10" t="s">
        <v>188</v>
      </c>
      <c r="K23" s="40">
        <v>98904788</v>
      </c>
      <c r="L23" s="40">
        <v>74178591</v>
      </c>
      <c r="M23" s="40">
        <v>24726197</v>
      </c>
      <c r="N23" s="40">
        <v>98904788</v>
      </c>
      <c r="O23" s="71">
        <f t="shared" si="0"/>
        <v>0</v>
      </c>
      <c r="P23" s="40"/>
      <c r="Q23" s="40" t="s">
        <v>189</v>
      </c>
      <c r="R23" s="40">
        <v>580106</v>
      </c>
      <c r="S23" s="40">
        <v>21893519</v>
      </c>
      <c r="T23" s="40">
        <v>21313413</v>
      </c>
      <c r="U23" s="40"/>
      <c r="V23" s="40"/>
      <c r="W23" s="40"/>
      <c r="X23" s="40"/>
      <c r="Y23" s="40"/>
    </row>
    <row r="24" spans="1:25" ht="12.75">
      <c r="A24" s="50"/>
      <c r="B24" s="64" t="s">
        <v>50</v>
      </c>
      <c r="C24" s="56">
        <v>73886837</v>
      </c>
      <c r="D24" s="56">
        <v>55415127.75</v>
      </c>
      <c r="E24" s="56">
        <v>59109469.6</v>
      </c>
      <c r="F24" s="54"/>
      <c r="G24" s="55"/>
      <c r="J24" s="10" t="s">
        <v>190</v>
      </c>
      <c r="K24" s="40">
        <v>31938052</v>
      </c>
      <c r="L24" s="40">
        <v>23953539</v>
      </c>
      <c r="M24" s="40">
        <v>7984513</v>
      </c>
      <c r="N24" s="40">
        <v>31938052</v>
      </c>
      <c r="O24" s="71">
        <f t="shared" si="0"/>
        <v>0</v>
      </c>
      <c r="P24" s="40"/>
      <c r="Q24" s="40"/>
      <c r="R24" s="40"/>
      <c r="S24" s="40"/>
      <c r="T24" s="40"/>
      <c r="U24" s="40"/>
      <c r="V24" s="40"/>
      <c r="W24" s="71" t="s">
        <v>73</v>
      </c>
      <c r="X24" s="76">
        <f>580106/21893519</f>
        <v>0.026496699776769553</v>
      </c>
      <c r="Y24" s="40"/>
    </row>
    <row r="25" spans="1:25" ht="12.75">
      <c r="A25" s="50"/>
      <c r="B25" s="64" t="s">
        <v>51</v>
      </c>
      <c r="C25" s="56">
        <v>50031924</v>
      </c>
      <c r="D25" s="56">
        <v>37523943</v>
      </c>
      <c r="E25" s="56">
        <v>40025539.2</v>
      </c>
      <c r="F25" s="54"/>
      <c r="G25" s="55"/>
      <c r="J25" s="10" t="s">
        <v>191</v>
      </c>
      <c r="K25" s="40">
        <v>585056960</v>
      </c>
      <c r="L25" s="40">
        <v>438792720</v>
      </c>
      <c r="M25" s="40">
        <v>146264240</v>
      </c>
      <c r="N25" s="40">
        <v>585056960</v>
      </c>
      <c r="O25" s="71">
        <f t="shared" si="0"/>
        <v>0</v>
      </c>
      <c r="P25" s="40"/>
      <c r="Q25" s="40"/>
      <c r="R25" s="40"/>
      <c r="S25" s="40"/>
      <c r="T25" s="40"/>
      <c r="U25" s="40"/>
      <c r="V25" s="40"/>
      <c r="W25" s="40"/>
      <c r="X25" s="40">
        <f>X24*11699056</f>
        <v>309986.3745036145</v>
      </c>
      <c r="Y25" s="40"/>
    </row>
    <row r="26" spans="1:25" ht="12.75">
      <c r="A26" s="50"/>
      <c r="B26" s="64" t="s">
        <v>52</v>
      </c>
      <c r="C26" s="56">
        <v>235953925</v>
      </c>
      <c r="D26" s="56">
        <v>176965443.75</v>
      </c>
      <c r="E26" s="56">
        <v>188763140</v>
      </c>
      <c r="F26" s="54"/>
      <c r="G26" s="55"/>
      <c r="J26" s="10" t="s">
        <v>192</v>
      </c>
      <c r="K26" s="40">
        <v>206799109</v>
      </c>
      <c r="L26" s="40">
        <v>155099332</v>
      </c>
      <c r="M26" s="40">
        <v>51699777</v>
      </c>
      <c r="N26" s="40">
        <v>206799109</v>
      </c>
      <c r="O26" s="71">
        <f t="shared" si="0"/>
        <v>0</v>
      </c>
      <c r="P26" s="40"/>
      <c r="Q26" s="40" t="s">
        <v>193</v>
      </c>
      <c r="R26" s="40">
        <v>347120</v>
      </c>
      <c r="S26" s="40">
        <v>318188410</v>
      </c>
      <c r="T26" s="40">
        <v>317505180</v>
      </c>
      <c r="U26" s="40"/>
      <c r="V26" s="40"/>
      <c r="W26" s="40"/>
      <c r="X26" s="40">
        <f>11699056-X25</f>
        <v>11389069.625496386</v>
      </c>
      <c r="Y26" s="40"/>
    </row>
    <row r="27" spans="1:25" ht="12.75">
      <c r="A27" s="50"/>
      <c r="B27" s="64" t="s">
        <v>53</v>
      </c>
      <c r="C27" s="56">
        <v>478596697</v>
      </c>
      <c r="D27" s="56">
        <v>358947522.75</v>
      </c>
      <c r="E27" s="56">
        <v>382877357.6</v>
      </c>
      <c r="F27" s="54"/>
      <c r="G27" s="55"/>
      <c r="J27" s="10" t="s">
        <v>194</v>
      </c>
      <c r="K27" s="40">
        <v>131524959</v>
      </c>
      <c r="L27" s="40">
        <v>105001579</v>
      </c>
      <c r="M27" s="40">
        <v>26523380</v>
      </c>
      <c r="N27" s="40">
        <v>131524959</v>
      </c>
      <c r="O27" s="71">
        <f t="shared" si="0"/>
        <v>0</v>
      </c>
      <c r="P27" s="40"/>
      <c r="Q27" s="40" t="s">
        <v>195</v>
      </c>
      <c r="R27" s="40">
        <v>143122</v>
      </c>
      <c r="S27" s="40"/>
      <c r="T27" s="40"/>
      <c r="U27" s="40"/>
      <c r="V27" s="40"/>
      <c r="W27" s="40"/>
      <c r="X27" s="40"/>
      <c r="Y27" s="40"/>
    </row>
    <row r="28" spans="1:25" ht="12.75">
      <c r="A28" s="50"/>
      <c r="B28" s="64" t="s">
        <v>54</v>
      </c>
      <c r="C28" s="56">
        <v>624691167</v>
      </c>
      <c r="D28" s="56">
        <v>468518375.25</v>
      </c>
      <c r="E28" s="56">
        <v>499752933.6</v>
      </c>
      <c r="F28" s="54"/>
      <c r="G28" s="55"/>
      <c r="J28" s="10" t="s">
        <v>196</v>
      </c>
      <c r="K28" s="40">
        <v>101931061</v>
      </c>
      <c r="L28" s="40">
        <v>76448296</v>
      </c>
      <c r="M28" s="40">
        <v>25482765</v>
      </c>
      <c r="N28" s="40">
        <v>101931061</v>
      </c>
      <c r="O28" s="71">
        <f t="shared" si="0"/>
        <v>0</v>
      </c>
      <c r="P28" s="40"/>
      <c r="Q28" s="40" t="s">
        <v>197</v>
      </c>
      <c r="R28" s="40">
        <v>77195</v>
      </c>
      <c r="S28" s="40"/>
      <c r="T28" s="40"/>
      <c r="U28" s="40"/>
      <c r="V28" s="40"/>
      <c r="W28" s="71" t="s">
        <v>103</v>
      </c>
      <c r="X28" s="73">
        <f>683230/318188410</f>
        <v>0.0021472498008334117</v>
      </c>
      <c r="Y28" s="40"/>
    </row>
    <row r="29" spans="1:25" ht="12.75">
      <c r="A29" s="50"/>
      <c r="B29" s="64" t="s">
        <v>55</v>
      </c>
      <c r="C29" s="56">
        <v>239660347</v>
      </c>
      <c r="D29" s="56">
        <v>179745260.25</v>
      </c>
      <c r="E29" s="56">
        <v>191728277.60000002</v>
      </c>
      <c r="F29" s="54"/>
      <c r="G29" s="55"/>
      <c r="J29" s="10" t="s">
        <v>198</v>
      </c>
      <c r="K29" s="40">
        <v>181287669</v>
      </c>
      <c r="L29" s="40">
        <v>135965752</v>
      </c>
      <c r="M29" s="40">
        <v>45321917</v>
      </c>
      <c r="N29" s="40">
        <v>181287669</v>
      </c>
      <c r="O29" s="71">
        <f t="shared" si="0"/>
        <v>0</v>
      </c>
      <c r="P29" s="40"/>
      <c r="Q29" s="40" t="s">
        <v>199</v>
      </c>
      <c r="R29" s="40">
        <v>115793</v>
      </c>
      <c r="S29" s="40"/>
      <c r="T29" s="40"/>
      <c r="U29" s="40"/>
      <c r="V29" s="40"/>
      <c r="W29" s="40"/>
      <c r="X29" s="40">
        <v>485122</v>
      </c>
      <c r="Y29" s="40"/>
    </row>
    <row r="30" spans="1:25" ht="12.75">
      <c r="A30" s="50"/>
      <c r="B30" s="64" t="s">
        <v>56</v>
      </c>
      <c r="C30" s="56">
        <v>28965744</v>
      </c>
      <c r="D30" s="56">
        <v>21724308</v>
      </c>
      <c r="E30" s="56">
        <v>23172595.200000003</v>
      </c>
      <c r="F30" s="54"/>
      <c r="G30" s="55"/>
      <c r="J30" s="10" t="s">
        <v>200</v>
      </c>
      <c r="K30" s="40">
        <v>163971985</v>
      </c>
      <c r="L30" s="40">
        <v>122978989</v>
      </c>
      <c r="M30" s="40">
        <v>40992996</v>
      </c>
      <c r="N30" s="40">
        <v>163971985</v>
      </c>
      <c r="O30" s="71">
        <f t="shared" si="0"/>
        <v>0</v>
      </c>
      <c r="P30" s="40"/>
      <c r="Q30" s="41" t="s">
        <v>83</v>
      </c>
      <c r="R30" s="40">
        <v>683230</v>
      </c>
      <c r="S30" s="40"/>
      <c r="T30" s="40"/>
      <c r="U30" s="40"/>
      <c r="V30" s="40"/>
      <c r="W30" s="40"/>
      <c r="X30" s="40">
        <f>225638309-X29</f>
        <v>225153187</v>
      </c>
      <c r="Y30" s="40"/>
    </row>
    <row r="31" spans="1:25" ht="12.75">
      <c r="A31" s="50"/>
      <c r="B31" s="64" t="s">
        <v>57</v>
      </c>
      <c r="C31" s="56">
        <v>160161033</v>
      </c>
      <c r="D31" s="56">
        <v>120120774.75</v>
      </c>
      <c r="E31" s="56">
        <v>128128826.4</v>
      </c>
      <c r="F31" s="54"/>
      <c r="G31" s="55"/>
      <c r="J31" s="10" t="s">
        <v>201</v>
      </c>
      <c r="K31" s="40">
        <v>78120889</v>
      </c>
      <c r="L31" s="40">
        <v>58590667</v>
      </c>
      <c r="M31" s="40">
        <v>19530222</v>
      </c>
      <c r="N31" s="40">
        <v>78120889</v>
      </c>
      <c r="O31" s="71">
        <f t="shared" si="0"/>
        <v>0</v>
      </c>
      <c r="P31" s="40"/>
      <c r="Q31" s="40"/>
      <c r="R31" s="40"/>
      <c r="S31" s="40"/>
      <c r="T31" s="40"/>
      <c r="U31" s="40"/>
      <c r="V31" s="40"/>
      <c r="W31" s="40"/>
      <c r="X31" s="40"/>
      <c r="Y31" s="40"/>
    </row>
    <row r="32" spans="1:25" ht="12.75">
      <c r="A32" s="50"/>
      <c r="B32" s="64" t="s">
        <v>58</v>
      </c>
      <c r="C32" s="56">
        <v>20954588</v>
      </c>
      <c r="D32" s="56">
        <v>15715941</v>
      </c>
      <c r="E32" s="56">
        <v>16763670.4</v>
      </c>
      <c r="F32" s="54"/>
      <c r="G32" s="55"/>
      <c r="J32" s="10" t="s">
        <v>202</v>
      </c>
      <c r="K32" s="40">
        <v>229098032</v>
      </c>
      <c r="L32" s="40">
        <v>171823524</v>
      </c>
      <c r="M32" s="40">
        <v>57274508</v>
      </c>
      <c r="N32" s="40">
        <v>229098032</v>
      </c>
      <c r="O32" s="71">
        <f t="shared" si="0"/>
        <v>0</v>
      </c>
      <c r="P32" s="40"/>
      <c r="Q32" s="40" t="s">
        <v>203</v>
      </c>
      <c r="R32" s="40">
        <v>243357</v>
      </c>
      <c r="S32" s="40">
        <v>21781446</v>
      </c>
      <c r="T32" s="40">
        <v>21538089</v>
      </c>
      <c r="U32" s="40"/>
      <c r="V32" s="40"/>
      <c r="W32" s="71" t="s">
        <v>104</v>
      </c>
      <c r="X32" s="76">
        <f>243357/21781446</f>
        <v>0.011172674210885724</v>
      </c>
      <c r="Y32" s="40"/>
    </row>
    <row r="33" spans="1:25" ht="12.75">
      <c r="A33" s="50"/>
      <c r="B33" s="64" t="s">
        <v>59</v>
      </c>
      <c r="C33" s="56">
        <v>38172585</v>
      </c>
      <c r="D33" s="56">
        <v>28629438.75</v>
      </c>
      <c r="E33" s="56">
        <v>30538068</v>
      </c>
      <c r="F33" s="54"/>
      <c r="G33" s="55"/>
      <c r="J33" s="10" t="s">
        <v>204</v>
      </c>
      <c r="K33" s="40">
        <v>459371116</v>
      </c>
      <c r="L33" s="40">
        <v>344528337</v>
      </c>
      <c r="M33" s="40">
        <v>114842779</v>
      </c>
      <c r="N33" s="40">
        <v>459371116</v>
      </c>
      <c r="O33" s="71">
        <f t="shared" si="0"/>
        <v>0</v>
      </c>
      <c r="P33" s="40"/>
      <c r="Q33" s="40"/>
      <c r="R33" s="40"/>
      <c r="S33" s="40"/>
      <c r="T33" s="40"/>
      <c r="U33" s="40"/>
      <c r="V33" s="40"/>
      <c r="W33" s="40"/>
      <c r="X33" s="40">
        <f>14220435*X32</f>
        <v>158880.28739207675</v>
      </c>
      <c r="Y33" s="40"/>
    </row>
    <row r="34" spans="1:25" ht="12.75">
      <c r="A34" s="50"/>
      <c r="B34" s="64" t="s">
        <v>60</v>
      </c>
      <c r="C34" s="56">
        <v>33985152</v>
      </c>
      <c r="D34" s="56">
        <v>25488864</v>
      </c>
      <c r="E34" s="56">
        <v>27188121.6</v>
      </c>
      <c r="F34" s="54"/>
      <c r="G34" s="55"/>
      <c r="J34" s="10" t="s">
        <v>205</v>
      </c>
      <c r="K34" s="40">
        <v>775352858</v>
      </c>
      <c r="L34" s="40">
        <v>581514644</v>
      </c>
      <c r="M34" s="40">
        <v>193838214</v>
      </c>
      <c r="N34" s="40">
        <v>775352858</v>
      </c>
      <c r="O34" s="71">
        <f t="shared" si="0"/>
        <v>0</v>
      </c>
      <c r="P34" s="40"/>
      <c r="Q34" s="40"/>
      <c r="R34" s="40"/>
      <c r="S34" s="40"/>
      <c r="T34" s="40"/>
      <c r="U34" s="40"/>
      <c r="V34" s="40"/>
      <c r="W34" s="40"/>
      <c r="X34" s="40">
        <f>14220435-X33</f>
        <v>14061554.712607924</v>
      </c>
      <c r="Y34" s="40"/>
    </row>
    <row r="35" spans="1:25" ht="12.75">
      <c r="A35" s="50"/>
      <c r="B35" s="64" t="s">
        <v>61</v>
      </c>
      <c r="C35" s="56">
        <v>42820004</v>
      </c>
      <c r="D35" s="56">
        <v>32115003</v>
      </c>
      <c r="E35" s="56">
        <v>34256003.2</v>
      </c>
      <c r="F35" s="54"/>
      <c r="G35" s="55"/>
      <c r="J35" s="10" t="s">
        <v>206</v>
      </c>
      <c r="K35" s="40">
        <v>267984886</v>
      </c>
      <c r="L35" s="40">
        <v>200988665</v>
      </c>
      <c r="M35" s="40">
        <v>66996221</v>
      </c>
      <c r="N35" s="40">
        <v>267984886</v>
      </c>
      <c r="O35" s="71">
        <f t="shared" si="0"/>
        <v>0</v>
      </c>
      <c r="P35" s="40"/>
      <c r="Q35" s="40"/>
      <c r="R35" s="40"/>
      <c r="S35" s="40"/>
      <c r="T35" s="40"/>
      <c r="U35" s="40"/>
      <c r="V35" s="40"/>
      <c r="W35" s="40"/>
      <c r="X35" s="40"/>
      <c r="Y35" s="40"/>
    </row>
    <row r="36" spans="1:25" ht="12.75">
      <c r="A36" s="50"/>
      <c r="B36" s="64" t="s">
        <v>62</v>
      </c>
      <c r="C36" s="56">
        <v>400213342</v>
      </c>
      <c r="D36" s="56">
        <v>300160006.5</v>
      </c>
      <c r="E36" s="56">
        <v>320170673.6</v>
      </c>
      <c r="F36" s="54"/>
      <c r="G36" s="55"/>
      <c r="J36" s="10" t="s">
        <v>207</v>
      </c>
      <c r="K36" s="40">
        <v>86767578</v>
      </c>
      <c r="L36" s="40">
        <v>65075684</v>
      </c>
      <c r="M36" s="40">
        <v>21691894</v>
      </c>
      <c r="N36" s="40">
        <v>86767578</v>
      </c>
      <c r="O36" s="71">
        <f t="shared" si="0"/>
        <v>0</v>
      </c>
      <c r="P36" s="40"/>
      <c r="Q36" s="40"/>
      <c r="R36" s="40"/>
      <c r="S36" s="40"/>
      <c r="T36" s="40"/>
      <c r="U36" s="40"/>
      <c r="V36" s="40"/>
      <c r="W36" s="40"/>
      <c r="X36" s="40"/>
      <c r="Y36" s="40"/>
    </row>
    <row r="37" spans="1:25" ht="12.75">
      <c r="A37" s="50"/>
      <c r="B37" s="64" t="s">
        <v>63</v>
      </c>
      <c r="C37" s="56">
        <v>49794841</v>
      </c>
      <c r="D37" s="56">
        <v>37346130.75</v>
      </c>
      <c r="E37" s="56">
        <v>39835872.800000004</v>
      </c>
      <c r="F37" s="54"/>
      <c r="G37" s="55"/>
      <c r="J37" s="10" t="s">
        <v>208</v>
      </c>
      <c r="K37" s="40">
        <v>217051740</v>
      </c>
      <c r="L37" s="40">
        <v>162788805</v>
      </c>
      <c r="M37" s="40">
        <v>54262935</v>
      </c>
      <c r="N37" s="40">
        <v>217051740</v>
      </c>
      <c r="O37" s="71">
        <f t="shared" si="0"/>
        <v>0</v>
      </c>
      <c r="P37" s="40"/>
      <c r="Q37" s="40"/>
      <c r="R37" s="40"/>
      <c r="S37" s="40"/>
      <c r="T37" s="40"/>
      <c r="U37" s="40"/>
      <c r="V37" s="40"/>
      <c r="W37" s="40"/>
      <c r="X37" s="40"/>
      <c r="Y37" s="40"/>
    </row>
    <row r="38" spans="1:25" ht="12.75">
      <c r="A38" s="50"/>
      <c r="B38" s="64" t="s">
        <v>64</v>
      </c>
      <c r="C38" s="56">
        <v>2291437926</v>
      </c>
      <c r="D38" s="56">
        <v>1718578444.5</v>
      </c>
      <c r="E38" s="56">
        <v>1833150340.8000002</v>
      </c>
      <c r="F38" s="54"/>
      <c r="G38" s="55"/>
      <c r="J38" s="10" t="s">
        <v>209</v>
      </c>
      <c r="K38" s="40">
        <v>45534006</v>
      </c>
      <c r="L38" s="40">
        <v>34150505</v>
      </c>
      <c r="M38" s="40">
        <v>11383501</v>
      </c>
      <c r="N38" s="40">
        <v>45534006</v>
      </c>
      <c r="O38" s="71">
        <f t="shared" si="0"/>
        <v>0</v>
      </c>
      <c r="P38" s="40"/>
      <c r="Q38" s="40"/>
      <c r="R38" s="40"/>
      <c r="S38" s="40"/>
      <c r="T38" s="40"/>
      <c r="U38" s="40"/>
      <c r="V38" s="40"/>
      <c r="W38" s="40"/>
      <c r="X38" s="40"/>
      <c r="Y38" s="40"/>
    </row>
    <row r="39" spans="1:25" ht="12.75">
      <c r="A39" s="50"/>
      <c r="B39" s="64" t="s">
        <v>65</v>
      </c>
      <c r="C39" s="56">
        <v>205567684</v>
      </c>
      <c r="D39" s="56">
        <v>154175763</v>
      </c>
      <c r="E39" s="56">
        <v>164454147.20000002</v>
      </c>
      <c r="F39" s="54"/>
      <c r="G39" s="55"/>
      <c r="J39" s="10" t="s">
        <v>210</v>
      </c>
      <c r="K39" s="40">
        <v>58028579</v>
      </c>
      <c r="L39" s="40">
        <v>43521434</v>
      </c>
      <c r="M39" s="40">
        <v>14507145</v>
      </c>
      <c r="N39" s="40">
        <v>58028579</v>
      </c>
      <c r="O39" s="71">
        <f t="shared" si="0"/>
        <v>0</v>
      </c>
      <c r="P39" s="40"/>
      <c r="Q39" s="40"/>
      <c r="R39" s="40"/>
      <c r="S39" s="40"/>
      <c r="T39" s="40"/>
      <c r="U39" s="40"/>
      <c r="V39" s="40"/>
      <c r="W39" s="40"/>
      <c r="X39" s="40"/>
      <c r="Y39" s="40"/>
    </row>
    <row r="40" spans="1:25" ht="12.75">
      <c r="A40" s="50"/>
      <c r="B40" s="64" t="s">
        <v>99</v>
      </c>
      <c r="C40" s="56">
        <v>12092381</v>
      </c>
      <c r="D40" s="56">
        <v>9069285.75</v>
      </c>
      <c r="E40" s="56">
        <v>9673904.8</v>
      </c>
      <c r="F40" s="54"/>
      <c r="G40" s="55"/>
      <c r="J40" s="10" t="s">
        <v>211</v>
      </c>
      <c r="K40" s="40">
        <v>43976750</v>
      </c>
      <c r="L40" s="40">
        <v>32982563</v>
      </c>
      <c r="M40" s="40">
        <v>10994187</v>
      </c>
      <c r="N40" s="40">
        <v>43976750</v>
      </c>
      <c r="O40" s="71">
        <f t="shared" si="0"/>
        <v>0</v>
      </c>
      <c r="P40" s="40"/>
      <c r="Q40" s="40"/>
      <c r="R40" s="40"/>
      <c r="S40" s="40"/>
      <c r="T40" s="40"/>
      <c r="U40" s="40"/>
      <c r="V40" s="40"/>
      <c r="W40" s="40"/>
      <c r="X40" s="40"/>
      <c r="Y40" s="40"/>
    </row>
    <row r="41" spans="1:25" ht="12.75">
      <c r="A41" s="50"/>
      <c r="B41" s="64" t="s">
        <v>67</v>
      </c>
      <c r="C41" s="56">
        <v>521108327</v>
      </c>
      <c r="D41" s="56">
        <v>390831245.25</v>
      </c>
      <c r="E41" s="56">
        <v>416886661.6</v>
      </c>
      <c r="F41" s="54"/>
      <c r="G41" s="55"/>
      <c r="J41" s="10" t="s">
        <v>212</v>
      </c>
      <c r="K41" s="40">
        <v>38521261</v>
      </c>
      <c r="L41" s="40">
        <v>28890946</v>
      </c>
      <c r="M41" s="40">
        <v>9630315</v>
      </c>
      <c r="N41" s="40">
        <v>38521261</v>
      </c>
      <c r="O41" s="71">
        <f t="shared" si="0"/>
        <v>0</v>
      </c>
      <c r="P41" s="40"/>
      <c r="Q41" s="40"/>
      <c r="R41" s="40"/>
      <c r="S41" s="40"/>
      <c r="T41" s="40"/>
      <c r="U41" s="40"/>
      <c r="V41" s="40"/>
      <c r="W41" s="40"/>
      <c r="X41" s="40"/>
      <c r="Y41" s="40"/>
    </row>
    <row r="42" spans="1:25" ht="12.75">
      <c r="A42" s="50"/>
      <c r="B42" s="72" t="s">
        <v>68</v>
      </c>
      <c r="C42" s="56">
        <v>81572419</v>
      </c>
      <c r="D42" s="56">
        <f>C42*0.75</f>
        <v>61179314.25</v>
      </c>
      <c r="E42" s="56">
        <f>C42*0.8</f>
        <v>65257935.2</v>
      </c>
      <c r="F42" s="54"/>
      <c r="G42" s="55"/>
      <c r="J42" s="10" t="s">
        <v>213</v>
      </c>
      <c r="K42" s="40">
        <v>404034823</v>
      </c>
      <c r="L42" s="40">
        <v>303026117</v>
      </c>
      <c r="M42" s="40">
        <v>101008706</v>
      </c>
      <c r="N42" s="40">
        <v>404034823</v>
      </c>
      <c r="O42" s="71">
        <f t="shared" si="0"/>
        <v>0</v>
      </c>
      <c r="P42" s="40"/>
      <c r="Q42" s="40"/>
      <c r="R42" s="40"/>
      <c r="S42" s="40"/>
      <c r="T42" s="40"/>
      <c r="U42" s="40"/>
      <c r="V42" s="40"/>
      <c r="W42" s="40"/>
      <c r="X42" s="40"/>
      <c r="Y42" s="40"/>
    </row>
    <row r="43" spans="1:25" ht="12.75">
      <c r="A43" s="50"/>
      <c r="B43" s="72" t="s">
        <v>100</v>
      </c>
      <c r="C43" s="56">
        <v>122181732</v>
      </c>
      <c r="D43" s="56">
        <f>C43*0.75</f>
        <v>91636299</v>
      </c>
      <c r="E43" s="56">
        <f>C43*0.8</f>
        <v>97745385.60000001</v>
      </c>
      <c r="F43" s="54"/>
      <c r="G43" s="55"/>
      <c r="J43" s="10" t="s">
        <v>214</v>
      </c>
      <c r="K43" s="40">
        <v>126103156</v>
      </c>
      <c r="L43" s="40">
        <v>94577367</v>
      </c>
      <c r="M43" s="40">
        <v>31525789</v>
      </c>
      <c r="N43" s="40">
        <v>126103156</v>
      </c>
      <c r="O43" s="71">
        <f t="shared" si="0"/>
        <v>0</v>
      </c>
      <c r="P43" s="40"/>
      <c r="Q43" s="40"/>
      <c r="R43" s="40"/>
      <c r="S43" s="40"/>
      <c r="T43" s="40"/>
      <c r="U43" s="40"/>
      <c r="V43" s="40"/>
      <c r="W43" s="40"/>
      <c r="X43" s="40"/>
      <c r="Y43" s="40"/>
    </row>
    <row r="44" spans="1:25" ht="12.75">
      <c r="A44" s="50"/>
      <c r="B44" s="64" t="s">
        <v>70</v>
      </c>
      <c r="C44" s="56">
        <v>542834133</v>
      </c>
      <c r="D44" s="56">
        <v>407125599.75</v>
      </c>
      <c r="E44" s="56">
        <v>434267306.40000004</v>
      </c>
      <c r="F44" s="54"/>
      <c r="G44" s="55"/>
      <c r="J44" s="10" t="s">
        <v>215</v>
      </c>
      <c r="K44" s="40">
        <v>2442930602</v>
      </c>
      <c r="L44" s="40">
        <v>1832197952</v>
      </c>
      <c r="M44" s="40">
        <v>610732650</v>
      </c>
      <c r="N44" s="40">
        <v>2442930602</v>
      </c>
      <c r="O44" s="71">
        <f t="shared" si="0"/>
        <v>0</v>
      </c>
      <c r="P44" s="40"/>
      <c r="Q44" s="40"/>
      <c r="R44" s="40"/>
      <c r="S44" s="40"/>
      <c r="T44" s="40"/>
      <c r="U44" s="40"/>
      <c r="V44" s="40"/>
      <c r="W44" s="40"/>
      <c r="X44" s="40"/>
      <c r="Y44" s="40"/>
    </row>
    <row r="45" spans="1:25" ht="12.75">
      <c r="A45" s="50"/>
      <c r="B45" s="64" t="s">
        <v>71</v>
      </c>
      <c r="C45" s="56">
        <v>80489394</v>
      </c>
      <c r="D45" s="56">
        <v>60367045.5</v>
      </c>
      <c r="E45" s="56">
        <v>64391515.2</v>
      </c>
      <c r="F45" s="54"/>
      <c r="G45" s="55"/>
      <c r="J45" s="10" t="s">
        <v>216</v>
      </c>
      <c r="K45" s="40">
        <v>302239599</v>
      </c>
      <c r="L45" s="40">
        <v>226679699</v>
      </c>
      <c r="M45" s="40">
        <v>75559900</v>
      </c>
      <c r="N45" s="40">
        <v>302239599</v>
      </c>
      <c r="O45" s="71">
        <f t="shared" si="0"/>
        <v>0</v>
      </c>
      <c r="P45" s="40"/>
      <c r="Q45" s="40"/>
      <c r="R45" s="40"/>
      <c r="S45" s="40"/>
      <c r="T45" s="40"/>
      <c r="U45" s="40"/>
      <c r="V45" s="40"/>
      <c r="W45" s="40"/>
      <c r="X45" s="40"/>
      <c r="Y45" s="40"/>
    </row>
    <row r="46" spans="1:25" ht="12.75">
      <c r="A46" s="50"/>
      <c r="B46" s="64" t="s">
        <v>72</v>
      </c>
      <c r="C46" s="56">
        <v>47902320</v>
      </c>
      <c r="D46" s="56">
        <v>35926740</v>
      </c>
      <c r="E46" s="56">
        <v>38321856</v>
      </c>
      <c r="F46" s="54"/>
      <c r="G46" s="55"/>
      <c r="J46" s="10" t="s">
        <v>217</v>
      </c>
      <c r="K46" s="40">
        <v>26399809</v>
      </c>
      <c r="L46" s="40">
        <v>19759857</v>
      </c>
      <c r="M46" s="40">
        <v>6639952</v>
      </c>
      <c r="N46" s="40">
        <v>26399809</v>
      </c>
      <c r="O46" s="71">
        <f t="shared" si="0"/>
        <v>0</v>
      </c>
      <c r="P46" s="40"/>
      <c r="Q46" s="40"/>
      <c r="R46" s="40"/>
      <c r="S46" s="40"/>
      <c r="T46" s="40"/>
      <c r="U46" s="40"/>
      <c r="V46" s="40"/>
      <c r="W46" s="40"/>
      <c r="X46" s="40"/>
      <c r="Y46" s="40"/>
    </row>
    <row r="47" spans="1:25" ht="12.75">
      <c r="A47" s="50"/>
      <c r="B47" s="72" t="s">
        <v>73</v>
      </c>
      <c r="C47" s="56">
        <v>11389070</v>
      </c>
      <c r="D47" s="56">
        <f>C47*0.75</f>
        <v>8541802.5</v>
      </c>
      <c r="E47" s="56">
        <f>C47*0.8</f>
        <v>9111256</v>
      </c>
      <c r="F47" s="54"/>
      <c r="G47" s="55"/>
      <c r="J47" s="10" t="s">
        <v>218</v>
      </c>
      <c r="K47" s="40">
        <v>727968260</v>
      </c>
      <c r="L47" s="40">
        <v>545976195</v>
      </c>
      <c r="M47" s="40">
        <v>181992065</v>
      </c>
      <c r="N47" s="40">
        <v>727968260</v>
      </c>
      <c r="O47" s="71">
        <f t="shared" si="0"/>
        <v>0</v>
      </c>
      <c r="P47" s="40"/>
      <c r="Q47" s="40"/>
      <c r="R47" s="40"/>
      <c r="S47" s="40"/>
      <c r="T47" s="40"/>
      <c r="U47" s="40"/>
      <c r="V47" s="40"/>
      <c r="W47" s="40"/>
      <c r="X47" s="40"/>
      <c r="Y47" s="40"/>
    </row>
    <row r="48" spans="1:25" ht="12.75">
      <c r="A48" s="50"/>
      <c r="B48" s="64" t="s">
        <v>101</v>
      </c>
      <c r="C48" s="56">
        <v>110413171</v>
      </c>
      <c r="D48" s="56">
        <v>82809878.25</v>
      </c>
      <c r="E48" s="56">
        <v>88330536.80000001</v>
      </c>
      <c r="F48" s="54"/>
      <c r="G48" s="55"/>
      <c r="J48" s="10" t="s">
        <v>219</v>
      </c>
      <c r="K48" s="41">
        <v>148013558</v>
      </c>
      <c r="L48" s="41">
        <v>111010169</v>
      </c>
      <c r="M48" s="40">
        <v>36831835</v>
      </c>
      <c r="N48" s="40">
        <v>147842004</v>
      </c>
      <c r="O48" s="71">
        <f t="shared" si="0"/>
        <v>171554</v>
      </c>
      <c r="P48" s="40"/>
      <c r="Q48" s="40"/>
      <c r="R48" s="40"/>
      <c r="S48" s="40"/>
      <c r="T48" s="40"/>
      <c r="U48" s="40"/>
      <c r="V48" s="40"/>
      <c r="W48" s="40"/>
      <c r="X48" s="40"/>
      <c r="Y48" s="40"/>
    </row>
    <row r="49" spans="1:25" ht="12.75">
      <c r="A49" s="50"/>
      <c r="B49" s="64" t="s">
        <v>75</v>
      </c>
      <c r="C49" s="56">
        <v>314301005</v>
      </c>
      <c r="D49" s="56">
        <v>235725753.75</v>
      </c>
      <c r="E49" s="56">
        <v>251440804</v>
      </c>
      <c r="F49" s="54"/>
      <c r="G49" s="55"/>
      <c r="J49" s="10" t="s">
        <v>220</v>
      </c>
      <c r="K49" s="41">
        <v>167924513</v>
      </c>
      <c r="L49" s="41">
        <v>125943385</v>
      </c>
      <c r="M49" s="40">
        <v>40855244</v>
      </c>
      <c r="N49" s="40">
        <v>166798629</v>
      </c>
      <c r="O49" s="71">
        <f t="shared" si="0"/>
        <v>1125884</v>
      </c>
      <c r="P49" s="40"/>
      <c r="Q49" s="40"/>
      <c r="R49" s="40"/>
      <c r="S49" s="40"/>
      <c r="T49" s="40"/>
      <c r="U49" s="40"/>
      <c r="V49" s="40"/>
      <c r="W49" s="40"/>
      <c r="X49" s="40"/>
      <c r="Y49" s="40"/>
    </row>
    <row r="50" spans="1:25" ht="12.75">
      <c r="A50" s="50"/>
      <c r="B50" s="64" t="s">
        <v>76</v>
      </c>
      <c r="C50" s="56">
        <v>33720732</v>
      </c>
      <c r="D50" s="56">
        <v>25290549</v>
      </c>
      <c r="E50" s="56">
        <v>26976585.6</v>
      </c>
      <c r="F50" s="54"/>
      <c r="G50" s="55"/>
      <c r="J50" s="10" t="s">
        <v>221</v>
      </c>
      <c r="K50" s="40">
        <v>719499305</v>
      </c>
      <c r="L50" s="40">
        <v>539624479</v>
      </c>
      <c r="M50" s="40">
        <v>179874826</v>
      </c>
      <c r="N50" s="40">
        <v>719499305</v>
      </c>
      <c r="O50" s="71">
        <f t="shared" si="0"/>
        <v>0</v>
      </c>
      <c r="P50" s="40"/>
      <c r="Q50" s="40"/>
      <c r="R50" s="40"/>
      <c r="S50" s="40"/>
      <c r="T50" s="40"/>
      <c r="U50" s="40"/>
      <c r="V50" s="40"/>
      <c r="W50" s="40"/>
      <c r="X50" s="40"/>
      <c r="Y50" s="40"/>
    </row>
    <row r="51" spans="1:25" ht="12.75">
      <c r="A51" s="50"/>
      <c r="B51" s="64" t="s">
        <v>77</v>
      </c>
      <c r="C51" s="56">
        <v>34066533</v>
      </c>
      <c r="D51" s="56">
        <v>25549899.75</v>
      </c>
      <c r="E51" s="56">
        <v>27253226.400000002</v>
      </c>
      <c r="F51" s="54"/>
      <c r="G51" s="55"/>
      <c r="J51" s="10" t="s">
        <v>222</v>
      </c>
      <c r="K51" s="40">
        <v>71562501</v>
      </c>
      <c r="L51" s="40">
        <v>0</v>
      </c>
      <c r="M51" s="40">
        <v>71562501</v>
      </c>
      <c r="N51" s="40">
        <v>71562501</v>
      </c>
      <c r="O51" s="71">
        <f t="shared" si="0"/>
        <v>0</v>
      </c>
      <c r="P51" s="40"/>
      <c r="Q51" s="40"/>
      <c r="R51" s="40"/>
      <c r="S51" s="40"/>
      <c r="T51" s="40"/>
      <c r="U51" s="40"/>
      <c r="V51" s="40"/>
      <c r="W51" s="40"/>
      <c r="X51" s="40"/>
      <c r="Y51" s="40"/>
    </row>
    <row r="52" spans="1:25" ht="12.75">
      <c r="A52" s="50"/>
      <c r="B52" s="64" t="s">
        <v>78</v>
      </c>
      <c r="C52" s="56">
        <v>170897560</v>
      </c>
      <c r="D52" s="56">
        <v>128173170</v>
      </c>
      <c r="E52" s="56">
        <v>136718048</v>
      </c>
      <c r="F52" s="54"/>
      <c r="G52" s="55"/>
      <c r="J52" s="10" t="s">
        <v>223</v>
      </c>
      <c r="K52" s="40">
        <v>95021587</v>
      </c>
      <c r="L52" s="40">
        <v>71266190</v>
      </c>
      <c r="M52" s="40">
        <v>23755397</v>
      </c>
      <c r="N52" s="40">
        <v>95021587</v>
      </c>
      <c r="O52" s="71">
        <f t="shared" si="0"/>
        <v>0</v>
      </c>
      <c r="P52" s="40"/>
      <c r="Q52" s="40"/>
      <c r="R52" s="40"/>
      <c r="S52" s="40"/>
      <c r="T52" s="40"/>
      <c r="U52" s="40"/>
      <c r="V52" s="40"/>
      <c r="W52" s="40"/>
      <c r="X52" s="40"/>
      <c r="Y52" s="40"/>
    </row>
    <row r="53" spans="1:25" ht="12.75">
      <c r="A53" s="50"/>
      <c r="B53" s="64" t="s">
        <v>102</v>
      </c>
      <c r="C53" s="56">
        <v>362747765</v>
      </c>
      <c r="D53" s="56">
        <v>272060823.75</v>
      </c>
      <c r="E53" s="56">
        <v>290198212</v>
      </c>
      <c r="F53" s="54"/>
      <c r="G53" s="55"/>
      <c r="J53" s="10" t="s">
        <v>224</v>
      </c>
      <c r="K53" s="40">
        <v>99967824</v>
      </c>
      <c r="L53" s="40">
        <v>74975868</v>
      </c>
      <c r="M53" s="40">
        <v>24991956</v>
      </c>
      <c r="N53" s="40">
        <v>99967824</v>
      </c>
      <c r="O53" s="71">
        <f t="shared" si="0"/>
        <v>0</v>
      </c>
      <c r="P53" s="40"/>
      <c r="Q53" s="40"/>
      <c r="R53" s="40"/>
      <c r="S53" s="40"/>
      <c r="T53" s="40"/>
      <c r="U53" s="40"/>
      <c r="V53" s="40"/>
      <c r="W53" s="40"/>
      <c r="X53" s="40"/>
      <c r="Y53" s="40"/>
    </row>
    <row r="54" spans="1:25" ht="12.75">
      <c r="A54" s="50"/>
      <c r="B54" s="64" t="s">
        <v>80</v>
      </c>
      <c r="C54" s="56">
        <v>43058053</v>
      </c>
      <c r="D54" s="56">
        <v>32293539.75</v>
      </c>
      <c r="E54" s="56">
        <v>34446442.4</v>
      </c>
      <c r="F54" s="54"/>
      <c r="G54" s="55"/>
      <c r="J54" s="10" t="s">
        <v>225</v>
      </c>
      <c r="K54" s="41">
        <v>21893519</v>
      </c>
      <c r="L54" s="41">
        <v>16420139</v>
      </c>
      <c r="M54" s="40">
        <v>4893274</v>
      </c>
      <c r="N54" s="40">
        <v>21313413</v>
      </c>
      <c r="O54" s="71">
        <f t="shared" si="0"/>
        <v>580106</v>
      </c>
      <c r="P54" s="40"/>
      <c r="Q54" s="40"/>
      <c r="R54" s="40"/>
      <c r="S54" s="40"/>
      <c r="T54" s="40"/>
      <c r="U54" s="40"/>
      <c r="V54" s="40"/>
      <c r="W54" s="40"/>
      <c r="X54" s="40"/>
      <c r="Y54" s="40"/>
    </row>
    <row r="55" spans="1:25" ht="12.75">
      <c r="A55" s="50"/>
      <c r="B55" s="72" t="s">
        <v>103</v>
      </c>
      <c r="C55" s="56">
        <v>225153187</v>
      </c>
      <c r="D55" s="56">
        <f>C55*0.75</f>
        <v>168864890.25</v>
      </c>
      <c r="E55" s="56">
        <f>C55*0.8</f>
        <v>180122549.60000002</v>
      </c>
      <c r="F55" s="54"/>
      <c r="G55" s="55"/>
      <c r="J55" s="10" t="s">
        <v>226</v>
      </c>
      <c r="K55" s="40">
        <v>191523797</v>
      </c>
      <c r="L55" s="40">
        <v>143642848</v>
      </c>
      <c r="M55" s="40">
        <v>47880949</v>
      </c>
      <c r="N55" s="40">
        <v>191523797</v>
      </c>
      <c r="O55" s="71">
        <f t="shared" si="0"/>
        <v>0</v>
      </c>
      <c r="P55" s="40"/>
      <c r="Q55" s="40"/>
      <c r="R55" s="40"/>
      <c r="S55" s="40"/>
      <c r="T55" s="40"/>
      <c r="U55" s="40"/>
      <c r="V55" s="40"/>
      <c r="W55" s="40"/>
      <c r="X55" s="40"/>
      <c r="Y55" s="40"/>
    </row>
    <row r="56" spans="1:25" ht="12.75">
      <c r="A56" s="50"/>
      <c r="B56" s="78" t="s">
        <v>104</v>
      </c>
      <c r="C56" s="66">
        <v>14061555</v>
      </c>
      <c r="D56" s="66">
        <f>C56*0.75</f>
        <v>10546166.25</v>
      </c>
      <c r="E56" s="66">
        <f>C56*0.8</f>
        <v>11249244</v>
      </c>
      <c r="F56" s="54"/>
      <c r="G56" s="55"/>
      <c r="J56" s="10" t="s">
        <v>227</v>
      </c>
      <c r="K56" s="40">
        <v>486256752</v>
      </c>
      <c r="L56" s="40">
        <v>364692564</v>
      </c>
      <c r="M56" s="40">
        <v>121564188</v>
      </c>
      <c r="N56" s="40">
        <v>486256752</v>
      </c>
      <c r="O56" s="71">
        <f t="shared" si="0"/>
        <v>0</v>
      </c>
      <c r="P56" s="40"/>
      <c r="Q56" s="40"/>
      <c r="R56" s="40"/>
      <c r="S56" s="40"/>
      <c r="T56" s="40"/>
      <c r="U56" s="40"/>
      <c r="V56" s="40"/>
      <c r="W56" s="40"/>
      <c r="X56" s="40"/>
      <c r="Y56" s="40"/>
    </row>
    <row r="57" spans="1:25" ht="12.75">
      <c r="A57" s="50"/>
      <c r="B57" s="64"/>
      <c r="C57" s="54"/>
      <c r="D57" s="56"/>
      <c r="E57" s="56"/>
      <c r="F57" s="54"/>
      <c r="G57" s="55"/>
      <c r="J57" s="10" t="s">
        <v>228</v>
      </c>
      <c r="K57" s="40">
        <v>76829219</v>
      </c>
      <c r="L57" s="40">
        <v>57621914</v>
      </c>
      <c r="M57" s="40">
        <v>19207305</v>
      </c>
      <c r="N57" s="40">
        <v>76829219</v>
      </c>
      <c r="O57" s="71">
        <f t="shared" si="0"/>
        <v>0</v>
      </c>
      <c r="P57" s="40"/>
      <c r="Q57" s="40"/>
      <c r="R57" s="40"/>
      <c r="S57" s="40"/>
      <c r="T57" s="40"/>
      <c r="U57" s="40"/>
      <c r="V57" s="40"/>
      <c r="W57" s="40"/>
      <c r="X57" s="40"/>
      <c r="Y57" s="40"/>
    </row>
    <row r="58" spans="1:25" ht="13.5" thickBot="1">
      <c r="A58" s="50"/>
      <c r="B58" s="67" t="s">
        <v>105</v>
      </c>
      <c r="C58" s="68">
        <v>13911582525</v>
      </c>
      <c r="D58" s="68">
        <v>10433686893.75</v>
      </c>
      <c r="E58" s="68">
        <v>11129266020.000002</v>
      </c>
      <c r="F58" s="54"/>
      <c r="G58" s="55"/>
      <c r="J58" s="10" t="s">
        <v>229</v>
      </c>
      <c r="K58" s="40">
        <v>47353181</v>
      </c>
      <c r="L58" s="40">
        <v>35514886</v>
      </c>
      <c r="M58" s="40">
        <v>11838295</v>
      </c>
      <c r="N58" s="40">
        <v>47353181</v>
      </c>
      <c r="O58" s="71">
        <f t="shared" si="0"/>
        <v>0</v>
      </c>
      <c r="P58" s="40"/>
      <c r="Q58" s="40"/>
      <c r="R58" s="40"/>
      <c r="S58" s="40"/>
      <c r="T58" s="40"/>
      <c r="U58" s="40"/>
      <c r="V58" s="40"/>
      <c r="W58" s="40"/>
      <c r="X58" s="40"/>
      <c r="Y58" s="40"/>
    </row>
    <row r="59" spans="1:25" ht="13.5" thickTop="1">
      <c r="A59" s="50"/>
      <c r="B59" s="64"/>
      <c r="C59" s="54"/>
      <c r="D59" s="56"/>
      <c r="E59" s="54"/>
      <c r="F59" s="54"/>
      <c r="G59" s="55"/>
      <c r="J59" s="10" t="s">
        <v>230</v>
      </c>
      <c r="K59" s="40"/>
      <c r="L59" s="40">
        <v>0</v>
      </c>
      <c r="M59" s="40">
        <v>0</v>
      </c>
      <c r="N59" s="40">
        <v>0</v>
      </c>
      <c r="O59" s="71">
        <f t="shared" si="0"/>
        <v>0</v>
      </c>
      <c r="P59" s="40"/>
      <c r="Q59" s="40"/>
      <c r="R59" s="40"/>
      <c r="S59" s="40"/>
      <c r="T59" s="40"/>
      <c r="U59" s="40"/>
      <c r="V59" s="40"/>
      <c r="W59" s="40"/>
      <c r="X59" s="40"/>
      <c r="Y59" s="40"/>
    </row>
    <row r="60" spans="1:25" ht="12.75">
      <c r="A60" s="50"/>
      <c r="B60" s="64" t="s">
        <v>148</v>
      </c>
      <c r="C60" s="54"/>
      <c r="D60" s="56"/>
      <c r="E60" s="54"/>
      <c r="F60" s="54"/>
      <c r="G60" s="55"/>
      <c r="J60" s="10" t="s">
        <v>231</v>
      </c>
      <c r="K60" s="40">
        <v>158285172</v>
      </c>
      <c r="L60" s="40">
        <v>118713879</v>
      </c>
      <c r="M60" s="40">
        <v>39571293</v>
      </c>
      <c r="N60" s="40">
        <v>158285172</v>
      </c>
      <c r="O60" s="71">
        <f t="shared" si="0"/>
        <v>0</v>
      </c>
      <c r="P60" s="40"/>
      <c r="Q60" s="40"/>
      <c r="R60" s="40"/>
      <c r="S60" s="40"/>
      <c r="T60" s="40"/>
      <c r="U60" s="40"/>
      <c r="V60" s="40"/>
      <c r="W60" s="40"/>
      <c r="X60" s="40"/>
      <c r="Y60" s="40"/>
    </row>
    <row r="61" spans="1:25" ht="12.75">
      <c r="A61" s="50"/>
      <c r="B61" s="54" t="s">
        <v>149</v>
      </c>
      <c r="C61" s="50"/>
      <c r="D61" s="50"/>
      <c r="E61" s="50"/>
      <c r="F61" s="54"/>
      <c r="G61" s="55"/>
      <c r="J61" s="10" t="s">
        <v>232</v>
      </c>
      <c r="K61" s="40">
        <v>404331754</v>
      </c>
      <c r="L61" s="40">
        <v>303248816</v>
      </c>
      <c r="M61" s="40">
        <v>101082938</v>
      </c>
      <c r="N61" s="40">
        <v>404331754</v>
      </c>
      <c r="O61" s="71">
        <f t="shared" si="0"/>
        <v>0</v>
      </c>
      <c r="P61" s="40"/>
      <c r="Q61" s="40"/>
      <c r="R61" s="40"/>
      <c r="S61" s="40"/>
      <c r="T61" s="40"/>
      <c r="U61" s="40"/>
      <c r="V61" s="40"/>
      <c r="W61" s="40"/>
      <c r="X61" s="40"/>
      <c r="Y61" s="40"/>
    </row>
    <row r="62" spans="1:25" ht="12.75">
      <c r="A62" s="50"/>
      <c r="B62" s="54" t="s">
        <v>150</v>
      </c>
      <c r="C62" s="54"/>
      <c r="D62" s="56"/>
      <c r="E62" s="54"/>
      <c r="F62" s="54"/>
      <c r="G62" s="55"/>
      <c r="J62" s="10" t="s">
        <v>233</v>
      </c>
      <c r="K62" s="40">
        <v>110176310</v>
      </c>
      <c r="L62" s="40">
        <v>82632233</v>
      </c>
      <c r="M62" s="40">
        <v>27544077</v>
      </c>
      <c r="N62" s="40">
        <v>110176310</v>
      </c>
      <c r="O62" s="71">
        <f t="shared" si="0"/>
        <v>0</v>
      </c>
      <c r="P62" s="40"/>
      <c r="Q62" s="40"/>
      <c r="R62" s="40"/>
      <c r="S62" s="40"/>
      <c r="T62" s="40"/>
      <c r="U62" s="40"/>
      <c r="V62" s="40"/>
      <c r="W62" s="40"/>
      <c r="X62" s="40"/>
      <c r="Y62" s="40"/>
    </row>
    <row r="63" spans="1:25" ht="12.75">
      <c r="A63" s="50"/>
      <c r="B63" s="54" t="s">
        <v>151</v>
      </c>
      <c r="C63" s="54"/>
      <c r="D63" s="56"/>
      <c r="E63" s="54"/>
      <c r="F63" s="54"/>
      <c r="G63" s="55"/>
      <c r="J63" s="10" t="s">
        <v>234</v>
      </c>
      <c r="K63" s="41">
        <v>318188410</v>
      </c>
      <c r="L63" s="41">
        <v>238641308</v>
      </c>
      <c r="M63" s="40">
        <v>78863872</v>
      </c>
      <c r="N63" s="40">
        <v>317505180</v>
      </c>
      <c r="O63" s="71">
        <f t="shared" si="0"/>
        <v>683230</v>
      </c>
      <c r="P63" s="40"/>
      <c r="Q63" s="40"/>
      <c r="R63" s="40"/>
      <c r="S63" s="40"/>
      <c r="T63" s="40"/>
      <c r="U63" s="40"/>
      <c r="V63" s="40"/>
      <c r="W63" s="40"/>
      <c r="X63" s="40"/>
      <c r="Y63" s="40"/>
    </row>
    <row r="64" spans="1:25" ht="12.75">
      <c r="A64" s="50"/>
      <c r="B64" s="54" t="s">
        <v>152</v>
      </c>
      <c r="C64" s="54"/>
      <c r="D64" s="56"/>
      <c r="E64" s="54"/>
      <c r="F64" s="54"/>
      <c r="G64" s="55"/>
      <c r="J64" s="10" t="s">
        <v>235</v>
      </c>
      <c r="K64" s="41">
        <v>21781446</v>
      </c>
      <c r="L64" s="41">
        <v>16336085</v>
      </c>
      <c r="M64" s="40">
        <v>5202004</v>
      </c>
      <c r="N64" s="40">
        <v>21538089</v>
      </c>
      <c r="O64" s="71">
        <f t="shared" si="0"/>
        <v>243357</v>
      </c>
      <c r="P64" s="40"/>
      <c r="Q64" s="40"/>
      <c r="R64" s="40"/>
      <c r="S64" s="40"/>
      <c r="T64" s="40"/>
      <c r="U64" s="40"/>
      <c r="V64" s="40"/>
      <c r="W64" s="40"/>
      <c r="X64" s="40"/>
      <c r="Y64" s="40"/>
    </row>
    <row r="65" spans="1:25" ht="12.75">
      <c r="A65" s="50"/>
      <c r="B65" s="50"/>
      <c r="C65" s="50"/>
      <c r="D65" s="50"/>
      <c r="E65" s="69">
        <v>36196</v>
      </c>
      <c r="F65" s="54"/>
      <c r="G65" s="55"/>
      <c r="J65" s="5"/>
      <c r="M65" s="40"/>
      <c r="N65" s="40"/>
      <c r="O65" s="71">
        <f t="shared" si="0"/>
        <v>0</v>
      </c>
      <c r="P65" s="40"/>
      <c r="Q65" s="40"/>
      <c r="R65" s="40"/>
      <c r="S65" s="40"/>
      <c r="T65" s="40"/>
      <c r="U65" s="40"/>
      <c r="V65" s="40"/>
      <c r="W65" s="40"/>
      <c r="X65" s="40"/>
      <c r="Y65" s="40"/>
    </row>
    <row r="66" spans="2:25" ht="12.75">
      <c r="B66" s="70"/>
      <c r="C66" s="70"/>
      <c r="D66" s="70"/>
      <c r="E66" s="70"/>
      <c r="F66" s="70"/>
      <c r="G66" s="70"/>
      <c r="J66" s="29" t="s">
        <v>83</v>
      </c>
      <c r="K66" s="33">
        <f>SUM(K11:K64)-71562501</f>
        <v>16488667235</v>
      </c>
      <c r="L66" s="33">
        <v>12371671887</v>
      </c>
      <c r="M66" s="40">
        <v>4182823959</v>
      </c>
      <c r="N66" s="40">
        <v>16482933345</v>
      </c>
      <c r="O66" s="71">
        <f t="shared" si="0"/>
        <v>5733890</v>
      </c>
      <c r="P66" s="40"/>
      <c r="Q66" s="40"/>
      <c r="R66" s="40"/>
      <c r="S66" s="40"/>
      <c r="T66" s="40"/>
      <c r="U66" s="40"/>
      <c r="V66" s="40"/>
      <c r="W66" s="40"/>
      <c r="X66" s="40"/>
      <c r="Y66" s="40"/>
    </row>
    <row r="67" spans="14:25" ht="12.75">
      <c r="N67" s="40"/>
      <c r="O67" s="40"/>
      <c r="P67" s="40"/>
      <c r="Q67" s="40"/>
      <c r="R67" s="40"/>
      <c r="S67" s="40"/>
      <c r="T67" s="40"/>
      <c r="U67" s="40"/>
      <c r="V67" s="40"/>
      <c r="W67" s="40"/>
      <c r="X67" s="40"/>
      <c r="Y67" s="40"/>
    </row>
  </sheetData>
  <printOptions horizontalCentered="1"/>
  <pageMargins left="0.95" right="0" top="0.55" bottom="0" header="0" footer="0"/>
  <pageSetup horizontalDpi="300" verticalDpi="300" orientation="portrait" scale="85"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75" zoomScaleNormal="75" workbookViewId="0" topLeftCell="A1">
      <selection activeCell="A1" sqref="A1"/>
    </sheetView>
  </sheetViews>
  <sheetFormatPr defaultColWidth="9.140625" defaultRowHeight="12.75"/>
  <cols>
    <col min="1" max="1" width="28.00390625" style="85" customWidth="1"/>
    <col min="2" max="2" width="22.8515625" style="85" customWidth="1"/>
    <col min="3" max="3" width="20.7109375" style="85" customWidth="1"/>
    <col min="4" max="4" width="20.57421875" style="85" customWidth="1"/>
    <col min="5" max="5" width="21.57421875" style="85" customWidth="1"/>
    <col min="6" max="6" width="22.421875" style="85" customWidth="1"/>
    <col min="7" max="7" width="19.7109375" style="85" customWidth="1"/>
    <col min="8" max="8" width="20.421875" style="85" customWidth="1"/>
    <col min="9" max="16384" width="11.421875" style="85" customWidth="1"/>
  </cols>
  <sheetData>
    <row r="1" spans="1:8" ht="18">
      <c r="A1" s="84" t="s">
        <v>261</v>
      </c>
      <c r="H1" s="86"/>
    </row>
    <row r="2" ht="15">
      <c r="A2" s="169" t="s">
        <v>362</v>
      </c>
    </row>
    <row r="3" ht="15">
      <c r="A3" s="85" t="s">
        <v>262</v>
      </c>
    </row>
    <row r="6" spans="1:8" ht="15">
      <c r="A6" s="87"/>
      <c r="B6" s="88" t="s">
        <v>263</v>
      </c>
      <c r="C6" s="88" t="s">
        <v>264</v>
      </c>
      <c r="D6" s="88" t="s">
        <v>264</v>
      </c>
      <c r="E6" s="88" t="s">
        <v>118</v>
      </c>
      <c r="F6" s="88" t="s">
        <v>6</v>
      </c>
      <c r="G6" s="88" t="s">
        <v>17</v>
      </c>
      <c r="H6" s="88" t="s">
        <v>18</v>
      </c>
    </row>
    <row r="7" spans="1:8" ht="15">
      <c r="A7" s="87"/>
      <c r="B7" s="89" t="s">
        <v>265</v>
      </c>
      <c r="C7" s="89" t="s">
        <v>266</v>
      </c>
      <c r="D7" s="89" t="s">
        <v>22</v>
      </c>
      <c r="E7" s="89" t="s">
        <v>267</v>
      </c>
      <c r="F7" s="89" t="s">
        <v>28</v>
      </c>
      <c r="G7" s="90" t="s">
        <v>29</v>
      </c>
      <c r="H7" s="89" t="s">
        <v>268</v>
      </c>
    </row>
    <row r="8" spans="2:8" ht="15">
      <c r="B8" s="91"/>
      <c r="C8" s="91"/>
      <c r="D8" s="91"/>
      <c r="E8" s="91"/>
      <c r="F8" s="92"/>
      <c r="G8" s="91"/>
      <c r="H8" s="91"/>
    </row>
    <row r="9" spans="1:8" ht="15">
      <c r="A9" s="93" t="s">
        <v>269</v>
      </c>
      <c r="B9" s="94">
        <f>'Table A3 - FY97'!AR62</f>
        <v>1323498691</v>
      </c>
      <c r="C9" s="94">
        <f>'Table A3 - FY97'!AS62</f>
        <v>53554067</v>
      </c>
      <c r="D9" s="94">
        <f>'Table A3 - FY97'!AT62</f>
        <v>111321803</v>
      </c>
      <c r="E9" s="95">
        <f>+B9-C9-D9</f>
        <v>1158622821</v>
      </c>
      <c r="F9" s="96">
        <f>'Table A3 - FY97'!BD62</f>
        <v>26102409</v>
      </c>
      <c r="G9" s="95">
        <f>+'Table A3 - FY97'!BF62</f>
        <v>921380454</v>
      </c>
      <c r="H9" s="95">
        <f>'Table A3 - FY97'!BG62</f>
        <v>207096666</v>
      </c>
    </row>
    <row r="10" spans="2:8" ht="15">
      <c r="B10" s="95"/>
      <c r="C10" s="95"/>
      <c r="D10" s="95"/>
      <c r="E10" s="95"/>
      <c r="F10" s="97"/>
      <c r="G10" s="95"/>
      <c r="H10" s="95"/>
    </row>
    <row r="11" spans="1:8" ht="15">
      <c r="A11" s="93" t="s">
        <v>270</v>
      </c>
      <c r="B11" s="95">
        <f>'Table A2 - FY98'!X62</f>
        <v>4817244679</v>
      </c>
      <c r="C11" s="94">
        <f>'Table A2 - FY98'!Y62</f>
        <v>172247920</v>
      </c>
      <c r="D11" s="94">
        <f>'Table A2 - FY98'!Z62</f>
        <v>15950272</v>
      </c>
      <c r="E11" s="95">
        <f>+B11-C11-D11</f>
        <v>4629046487</v>
      </c>
      <c r="F11" s="96">
        <f>'Table A2 - FY98'!AJ62</f>
        <v>1441390465</v>
      </c>
      <c r="G11" s="95">
        <f>+'Table A2 - FY98'!AL62</f>
        <v>1674909430</v>
      </c>
      <c r="H11" s="95">
        <f>'Table A2 - FY98'!AM62</f>
        <v>1525149569</v>
      </c>
    </row>
    <row r="12" spans="2:8" ht="15">
      <c r="B12" s="95"/>
      <c r="C12" s="95"/>
      <c r="D12" s="95"/>
      <c r="E12" s="95"/>
      <c r="F12" s="97"/>
      <c r="G12" s="95"/>
      <c r="H12" s="95"/>
    </row>
    <row r="13" spans="1:8" ht="15">
      <c r="A13" s="93" t="s">
        <v>271</v>
      </c>
      <c r="B13" s="94">
        <f>'Table A1 - FY99'!B62</f>
        <v>8180429523</v>
      </c>
      <c r="C13" s="94">
        <f>'Table A1 - FY99'!C62</f>
        <v>510073913</v>
      </c>
      <c r="D13" s="94">
        <f>'Table A1 - FY99'!D62</f>
        <v>292256837</v>
      </c>
      <c r="E13" s="95">
        <f>+B13-C13-D13</f>
        <v>7378098773</v>
      </c>
      <c r="F13" s="96">
        <f>'Table A1 - FY99'!N62</f>
        <v>4081062226</v>
      </c>
      <c r="G13" s="94">
        <f>+'Table A1 - FY99'!P62</f>
        <v>803994813</v>
      </c>
      <c r="H13" s="94">
        <f>'Table A1 - FY99'!Q62</f>
        <v>2493074419</v>
      </c>
    </row>
    <row r="14" spans="2:8" ht="15">
      <c r="B14" s="98"/>
      <c r="C14" s="99"/>
      <c r="D14" s="99"/>
      <c r="E14" s="99"/>
      <c r="F14" s="100"/>
      <c r="G14" s="99"/>
      <c r="H14" s="99"/>
    </row>
    <row r="15" spans="2:8" ht="15">
      <c r="B15" s="101"/>
      <c r="C15" s="102"/>
      <c r="D15" s="102"/>
      <c r="E15" s="102"/>
      <c r="F15" s="102"/>
      <c r="G15" s="102"/>
      <c r="H15" s="102"/>
    </row>
    <row r="16" spans="1:8" ht="15">
      <c r="A16" s="85" t="s">
        <v>16</v>
      </c>
      <c r="B16" s="103">
        <f aca="true" t="shared" si="0" ref="B16:H16">SUM(B9:B13)</f>
        <v>14321172893</v>
      </c>
      <c r="C16" s="103">
        <f t="shared" si="0"/>
        <v>735875900</v>
      </c>
      <c r="D16" s="103">
        <f t="shared" si="0"/>
        <v>419528912</v>
      </c>
      <c r="E16" s="103">
        <f t="shared" si="0"/>
        <v>13165768081</v>
      </c>
      <c r="F16" s="103">
        <f t="shared" si="0"/>
        <v>5548555100</v>
      </c>
      <c r="G16" s="103">
        <f t="shared" si="0"/>
        <v>3400284697</v>
      </c>
      <c r="H16" s="103">
        <f t="shared" si="0"/>
        <v>4225320654</v>
      </c>
    </row>
    <row r="18" spans="1:8" ht="30">
      <c r="A18" s="183" t="s">
        <v>387</v>
      </c>
      <c r="B18" s="104">
        <v>1</v>
      </c>
      <c r="C18" s="104">
        <v>0.05</v>
      </c>
      <c r="D18" s="104">
        <v>0.03</v>
      </c>
      <c r="E18" s="104">
        <v>0.92</v>
      </c>
      <c r="F18" s="104">
        <v>0.42</v>
      </c>
      <c r="G18" s="104">
        <v>0.26</v>
      </c>
      <c r="H18" s="104">
        <v>0.31</v>
      </c>
    </row>
    <row r="20" spans="1:8" ht="45">
      <c r="A20" s="183" t="s">
        <v>388</v>
      </c>
      <c r="B20" s="104" t="e">
        <f>B16/#REF!</f>
        <v>#REF!</v>
      </c>
      <c r="C20" s="104"/>
      <c r="E20" s="104" t="e">
        <f>E16/#REF!</f>
        <v>#REF!</v>
      </c>
      <c r="F20" s="104" t="e">
        <f>F16/#REF!</f>
        <v>#REF!</v>
      </c>
      <c r="G20" s="104" t="e">
        <f>#REF!</f>
        <v>#REF!</v>
      </c>
      <c r="H20" s="104" t="e">
        <f>#REF!</f>
        <v>#REF!</v>
      </c>
    </row>
    <row r="21" spans="2:8" ht="15">
      <c r="B21" s="105" t="s">
        <v>249</v>
      </c>
      <c r="C21" s="103" t="s">
        <v>249</v>
      </c>
      <c r="D21" s="103" t="s">
        <v>249</v>
      </c>
      <c r="E21" s="103" t="s">
        <v>249</v>
      </c>
      <c r="F21" s="103" t="s">
        <v>249</v>
      </c>
      <c r="G21" s="103" t="s">
        <v>249</v>
      </c>
      <c r="H21" s="103" t="s">
        <v>249</v>
      </c>
    </row>
    <row r="22" ht="15">
      <c r="E22" s="103" t="s">
        <v>249</v>
      </c>
    </row>
    <row r="23" ht="15">
      <c r="E23" s="106"/>
    </row>
    <row r="28" ht="15">
      <c r="B28" s="107" t="s">
        <v>272</v>
      </c>
    </row>
    <row r="29" ht="15">
      <c r="B29" s="85" t="s">
        <v>273</v>
      </c>
    </row>
    <row r="30" ht="15">
      <c r="B30" s="169" t="s">
        <v>385</v>
      </c>
    </row>
    <row r="31" ht="15">
      <c r="B31" s="85" t="s">
        <v>386</v>
      </c>
    </row>
  </sheetData>
  <printOptions horizontalCentered="1"/>
  <pageMargins left="0.2" right="0" top="0.36" bottom="0.25" header="0.24" footer="0"/>
  <pageSetup fitToHeight="1" fitToWidth="1" horizontalDpi="300" verticalDpi="300" orientation="landscape" scale="83" r:id="rId1"/>
  <headerFooter alignWithMargins="0">
    <oddHeader>&amp;C&amp;A&amp;R&amp;9&amp;D</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70"/>
  <sheetViews>
    <sheetView zoomScale="75" zoomScaleNormal="75" workbookViewId="0" topLeftCell="A1">
      <pane xSplit="1" ySplit="8" topLeftCell="B9" activePane="bottomRight" state="frozen"/>
      <selection pane="topLeft" activeCell="A3" sqref="A3"/>
      <selection pane="topRight" activeCell="A3" sqref="A3"/>
      <selection pane="bottomLeft" activeCell="A3" sqref="A3"/>
      <selection pane="bottomRight" activeCell="B9" sqref="B9"/>
    </sheetView>
  </sheetViews>
  <sheetFormatPr defaultColWidth="9.140625" defaultRowHeight="12.75"/>
  <cols>
    <col min="1" max="1" width="20.57421875" style="85" customWidth="1"/>
    <col min="2" max="2" width="23.57421875" style="85" bestFit="1" customWidth="1"/>
    <col min="3" max="3" width="20.57421875" style="85" customWidth="1"/>
    <col min="4" max="4" width="18.00390625" style="85" bestFit="1" customWidth="1"/>
    <col min="5" max="5" width="19.00390625" style="85" customWidth="1"/>
    <col min="6" max="6" width="1.1484375" style="85" customWidth="1"/>
    <col min="7" max="7" width="22.8515625" style="85" bestFit="1" customWidth="1"/>
    <col min="8" max="8" width="13.140625" style="85" bestFit="1" customWidth="1"/>
    <col min="9" max="9" width="12.8515625" style="85" bestFit="1" customWidth="1"/>
    <col min="10" max="10" width="20.00390625" style="85" bestFit="1" customWidth="1"/>
    <col min="11" max="11" width="13.28125" style="85" customWidth="1"/>
    <col min="12" max="12" width="17.140625" style="85" bestFit="1" customWidth="1"/>
    <col min="13" max="14" width="17.7109375" style="85" bestFit="1" customWidth="1"/>
    <col min="15" max="15" width="1.28515625" style="85" customWidth="1"/>
    <col min="16" max="16" width="16.8515625" style="85" bestFit="1" customWidth="1"/>
    <col min="17" max="17" width="16.57421875" style="85" bestFit="1" customWidth="1"/>
    <col min="18" max="16384" width="11.421875" style="85" customWidth="1"/>
  </cols>
  <sheetData>
    <row r="1" ht="15.75">
      <c r="E1" s="108" t="s">
        <v>337</v>
      </c>
    </row>
    <row r="2" ht="15.75">
      <c r="E2" s="108" t="s">
        <v>274</v>
      </c>
    </row>
    <row r="3" ht="15.75">
      <c r="D3" s="108" t="s">
        <v>336</v>
      </c>
    </row>
    <row r="4" spans="1:17" ht="15">
      <c r="A4" s="109" t="s">
        <v>1</v>
      </c>
      <c r="B4" s="109"/>
      <c r="C4" s="171" t="s">
        <v>349</v>
      </c>
      <c r="F4" s="110"/>
      <c r="G4" s="110"/>
      <c r="H4" s="110"/>
      <c r="I4" s="110"/>
      <c r="J4" s="110"/>
      <c r="K4" s="110"/>
      <c r="L4" s="110"/>
      <c r="M4" s="110"/>
      <c r="N4" s="110"/>
      <c r="O4" s="110"/>
      <c r="P4" s="110"/>
      <c r="Q4" s="110"/>
    </row>
    <row r="5" spans="1:17" ht="15">
      <c r="A5" s="111" t="s">
        <v>2</v>
      </c>
      <c r="F5" s="110"/>
      <c r="G5" s="110"/>
      <c r="H5" s="110"/>
      <c r="I5" s="110"/>
      <c r="J5" s="110"/>
      <c r="K5" s="110"/>
      <c r="L5" s="110"/>
      <c r="M5" s="110"/>
      <c r="N5" s="110"/>
      <c r="O5" s="110"/>
      <c r="P5" s="110"/>
      <c r="Q5" s="110"/>
    </row>
    <row r="6" spans="1:21" ht="15.75">
      <c r="A6" s="111" t="s">
        <v>344</v>
      </c>
      <c r="B6" s="112">
        <v>1</v>
      </c>
      <c r="C6" s="112">
        <v>2</v>
      </c>
      <c r="D6" s="112">
        <v>3</v>
      </c>
      <c r="E6" s="113">
        <v>4</v>
      </c>
      <c r="F6" s="111"/>
      <c r="G6" s="112">
        <v>5</v>
      </c>
      <c r="H6" s="112">
        <v>6</v>
      </c>
      <c r="I6" s="112">
        <v>7</v>
      </c>
      <c r="J6" s="112">
        <v>8</v>
      </c>
      <c r="K6" s="112" t="s">
        <v>4</v>
      </c>
      <c r="L6" s="112">
        <v>9</v>
      </c>
      <c r="M6" s="112">
        <v>10</v>
      </c>
      <c r="N6" s="112">
        <v>11</v>
      </c>
      <c r="O6" s="112"/>
      <c r="P6" s="112">
        <v>12</v>
      </c>
      <c r="Q6" s="112">
        <v>13</v>
      </c>
      <c r="S6" s="85" t="s">
        <v>249</v>
      </c>
      <c r="T6" s="85" t="s">
        <v>249</v>
      </c>
      <c r="U6" s="85" t="s">
        <v>249</v>
      </c>
    </row>
    <row r="7" spans="1:20" ht="15">
      <c r="A7" s="111"/>
      <c r="B7" s="114" t="s">
        <v>275</v>
      </c>
      <c r="C7" s="114" t="s">
        <v>7</v>
      </c>
      <c r="D7" s="114" t="s">
        <v>7</v>
      </c>
      <c r="E7" s="115" t="s">
        <v>8</v>
      </c>
      <c r="F7" s="114"/>
      <c r="G7" s="114" t="s">
        <v>9</v>
      </c>
      <c r="H7" s="114" t="s">
        <v>10</v>
      </c>
      <c r="I7" s="114" t="s">
        <v>11</v>
      </c>
      <c r="J7" s="114" t="s">
        <v>12</v>
      </c>
      <c r="K7" s="114" t="s">
        <v>13</v>
      </c>
      <c r="L7" s="114" t="s">
        <v>14</v>
      </c>
      <c r="M7" s="114" t="s">
        <v>15</v>
      </c>
      <c r="N7" s="114" t="s">
        <v>16</v>
      </c>
      <c r="O7" s="114"/>
      <c r="P7" s="114" t="s">
        <v>17</v>
      </c>
      <c r="Q7" s="114" t="s">
        <v>18</v>
      </c>
      <c r="S7" s="85" t="s">
        <v>249</v>
      </c>
      <c r="T7" s="85" t="s">
        <v>249</v>
      </c>
    </row>
    <row r="8" spans="1:20" ht="15">
      <c r="A8" s="111"/>
      <c r="B8" s="8" t="s">
        <v>345</v>
      </c>
      <c r="C8" s="116" t="s">
        <v>21</v>
      </c>
      <c r="D8" s="116" t="s">
        <v>22</v>
      </c>
      <c r="E8" s="117" t="s">
        <v>23</v>
      </c>
      <c r="F8" s="116"/>
      <c r="G8" s="116" t="s">
        <v>24</v>
      </c>
      <c r="H8" s="116" t="s">
        <v>25</v>
      </c>
      <c r="I8" s="116" t="s">
        <v>26</v>
      </c>
      <c r="J8" s="116"/>
      <c r="K8" s="116"/>
      <c r="L8" s="116" t="s">
        <v>27</v>
      </c>
      <c r="M8" s="116" t="s">
        <v>28</v>
      </c>
      <c r="N8" s="116" t="s">
        <v>28</v>
      </c>
      <c r="O8" s="116"/>
      <c r="P8" s="116" t="s">
        <v>29</v>
      </c>
      <c r="Q8" s="116" t="s">
        <v>30</v>
      </c>
      <c r="S8" s="85" t="s">
        <v>249</v>
      </c>
      <c r="T8" s="85" t="s">
        <v>249</v>
      </c>
    </row>
    <row r="9" spans="1:17" ht="15">
      <c r="A9" s="111"/>
      <c r="C9" s="111"/>
      <c r="D9" s="111"/>
      <c r="E9" s="111"/>
      <c r="F9" s="118"/>
      <c r="G9" s="118"/>
      <c r="H9" s="118"/>
      <c r="I9" s="118"/>
      <c r="J9" s="118"/>
      <c r="K9" s="118"/>
      <c r="L9" s="118"/>
      <c r="M9" s="118"/>
      <c r="N9" s="118"/>
      <c r="O9" s="118"/>
      <c r="P9" s="118"/>
      <c r="Q9" s="118"/>
    </row>
    <row r="10" spans="1:17" ht="15">
      <c r="A10" s="119" t="s">
        <v>32</v>
      </c>
      <c r="B10" s="120">
        <f>'Table A3 - FY97'!AR10+'Table A2 - FY98'!X10+'Table A1 - FY99'!B10</f>
        <v>112321432</v>
      </c>
      <c r="C10" s="120">
        <f>+'Table A3 - FY97'!AS10+'Table A2 - FY98'!Y10+'Table A1 - FY99'!C10</f>
        <v>9598667</v>
      </c>
      <c r="D10" s="120">
        <f>+'Table A3 - FY97'!AT10+'Table A2 - FY98'!Z10+'Table A1 - FY99'!D10</f>
        <v>3250000</v>
      </c>
      <c r="E10" s="120">
        <f aca="true" t="shared" si="0" ref="E10:E41">B10-C10-D10</f>
        <v>99472765</v>
      </c>
      <c r="F10" s="118"/>
      <c r="G10" s="121">
        <f>'Table A3 - FY97'!AW10+'Table A2 - FY98'!AC10+'Table A1 - FY99'!G10</f>
        <v>12417761</v>
      </c>
      <c r="H10" s="121">
        <f>'Table A3 - FY97'!AX10+'Table A2 - FY98'!AD10+'Table A1 - FY99'!H10</f>
        <v>4730986</v>
      </c>
      <c r="I10" s="121">
        <f>'Table A3 - FY97'!AY10+'Table A2 - FY98'!AE10+'Table A1 - FY99'!I10</f>
        <v>1016719</v>
      </c>
      <c r="J10" s="121">
        <f>'Table A3 - FY97'!AZ10+'Table A2 - FY98'!AF10+'Table A1 - FY99'!J10</f>
        <v>3341155</v>
      </c>
      <c r="K10" s="121">
        <f>'Table A3 - FY97'!BA10+'Table A2 - FY98'!AG10+'Table A1 - FY99'!K10</f>
        <v>1233032</v>
      </c>
      <c r="L10" s="122">
        <f>'Table A3 - FY97'!BB10+'Table A2 - FY98'!AH10+'Table A1 - FY99'!L10</f>
        <v>0</v>
      </c>
      <c r="M10" s="121">
        <f>'Table A3 - FY97'!BC10+'Table A2 - FY98'!AI10+'Table A1 - FY99'!M10</f>
        <v>4221583</v>
      </c>
      <c r="N10" s="121">
        <f aca="true" t="shared" si="1" ref="N10:N41">SUM(G10:M10)</f>
        <v>26961236</v>
      </c>
      <c r="O10" s="118"/>
      <c r="P10" s="121">
        <f>'Table A3 - FY97'!BF10+'Table A2 - FY98'!AL10+'Table A1 - FY99'!P10</f>
        <v>0</v>
      </c>
      <c r="Q10" s="121">
        <f>'Table A3 - FY97'!BG10+'Table A2 - FY98'!AM10+'Table A1 - FY99'!Q10</f>
        <v>72511102</v>
      </c>
    </row>
    <row r="11" spans="1:17" ht="15">
      <c r="A11" s="119" t="s">
        <v>33</v>
      </c>
      <c r="B11" s="120">
        <f>'Table A3 - FY97'!AR11+'Table A2 - FY98'!X11+'Table A1 - FY99'!B11</f>
        <v>44070386</v>
      </c>
      <c r="C11" s="120">
        <f>+'Table A3 - FY97'!AS11+'Table A2 - FY98'!Y11+'Table A1 - FY99'!C11</f>
        <v>5818627</v>
      </c>
      <c r="D11" s="120">
        <f>+'Table A3 - FY97'!AT11+'Table A2 - FY98'!Z11+'Table A1 - FY99'!D11</f>
        <v>0</v>
      </c>
      <c r="E11" s="120">
        <f t="shared" si="0"/>
        <v>38251759</v>
      </c>
      <c r="F11" s="118"/>
      <c r="G11" s="121">
        <f>'Table A3 - FY97'!AW11+'Table A2 - FY98'!AC11+'Table A1 - FY99'!G11</f>
        <v>16325209</v>
      </c>
      <c r="H11" s="121">
        <f>'Table A3 - FY97'!AX11+'Table A2 - FY98'!AD11+'Table A1 - FY99'!H11</f>
        <v>3116411</v>
      </c>
      <c r="I11" s="121">
        <f>'Table A3 - FY97'!AY11+'Table A2 - FY98'!AE11+'Table A1 - FY99'!I11</f>
        <v>2490064</v>
      </c>
      <c r="J11" s="121">
        <f>'Table A3 - FY97'!AZ11+'Table A2 - FY98'!AF11+'Table A1 - FY99'!J11</f>
        <v>1848513</v>
      </c>
      <c r="K11" s="121">
        <f>'Table A3 - FY97'!BA11+'Table A2 - FY98'!AG11+'Table A1 - FY99'!K11</f>
        <v>546367</v>
      </c>
      <c r="L11" s="122">
        <f>'Table A3 - FY97'!BB11+'Table A2 - FY98'!AH11+'Table A1 - FY99'!L11</f>
        <v>0</v>
      </c>
      <c r="M11" s="121">
        <f>'Table A3 - FY97'!BC11+'Table A2 - FY98'!AI11+'Table A1 - FY99'!M11</f>
        <v>153219</v>
      </c>
      <c r="N11" s="121">
        <f t="shared" si="1"/>
        <v>24479783</v>
      </c>
      <c r="O11" s="118"/>
      <c r="P11" s="121">
        <f>'Table A3 - FY97'!BF11+'Table A2 - FY98'!AL11+'Table A1 - FY99'!P11</f>
        <v>13771976</v>
      </c>
      <c r="Q11" s="121">
        <f>'Table A3 - FY97'!BG11+'Table A2 - FY98'!AM11+'Table A1 - FY99'!Q11</f>
        <v>0</v>
      </c>
    </row>
    <row r="12" spans="1:17" ht="15">
      <c r="A12" s="123" t="s">
        <v>34</v>
      </c>
      <c r="B12" s="120">
        <f>'Table A3 - FY97'!AR12+'Table A2 - FY98'!X12+'Table A1 - FY99'!B12</f>
        <v>196821799</v>
      </c>
      <c r="C12" s="120">
        <f>+'Table A3 - FY97'!AS12+'Table A2 - FY98'!Y12+'Table A1 - FY99'!C12</f>
        <v>13092058</v>
      </c>
      <c r="D12" s="120">
        <f>+'Table A3 - FY97'!AT12+'Table A2 - FY98'!Z12+'Table A1 - FY99'!D12</f>
        <v>0</v>
      </c>
      <c r="E12" s="120">
        <f t="shared" si="0"/>
        <v>183729741</v>
      </c>
      <c r="G12" s="121">
        <f>'Table A3 - FY97'!AW12+'Table A2 - FY98'!AC12+'Table A1 - FY99'!G12</f>
        <v>41855293</v>
      </c>
      <c r="H12" s="121">
        <f>'Table A3 - FY97'!AX12+'Table A2 - FY98'!AD12+'Table A1 - FY99'!H12</f>
        <v>947329</v>
      </c>
      <c r="I12" s="121">
        <f>'Table A3 - FY97'!AY12+'Table A2 - FY98'!AE12+'Table A1 - FY99'!I12</f>
        <v>469010</v>
      </c>
      <c r="J12" s="121">
        <f>'Table A3 - FY97'!AZ12+'Table A2 - FY98'!AF12+'Table A1 - FY99'!J12</f>
        <v>6969570</v>
      </c>
      <c r="K12" s="121">
        <f>'Table A3 - FY97'!BA12+'Table A2 - FY98'!AG12+'Table A1 - FY99'!K12</f>
        <v>268897</v>
      </c>
      <c r="L12" s="122">
        <f>'Table A3 - FY97'!BB12+'Table A2 - FY98'!AH12+'Table A1 - FY99'!L12</f>
        <v>334</v>
      </c>
      <c r="M12" s="121">
        <f>'Table A3 - FY97'!BC12+'Table A2 - FY98'!AI12+'Table A1 - FY99'!M12</f>
        <v>17170437</v>
      </c>
      <c r="N12" s="121">
        <f t="shared" si="1"/>
        <v>67680870</v>
      </c>
      <c r="P12" s="121">
        <f>'Table A3 - FY97'!BF12+'Table A2 - FY98'!AL12+'Table A1 - FY99'!P12</f>
        <v>40379885</v>
      </c>
      <c r="Q12" s="121">
        <f>'Table A3 - FY97'!BG12+'Table A2 - FY98'!AM12+'Table A1 - FY99'!Q12</f>
        <v>71647806</v>
      </c>
    </row>
    <row r="13" spans="1:17" ht="15">
      <c r="A13" s="123" t="s">
        <v>35</v>
      </c>
      <c r="B13" s="120">
        <f>'Table A3 - FY97'!AR13+'Table A2 - FY98'!X13+'Table A1 - FY99'!B13</f>
        <v>57468723</v>
      </c>
      <c r="C13" s="120">
        <f>+'Table A3 - FY97'!AS13+'Table A2 - FY98'!Y13+'Table A1 - FY99'!C13</f>
        <v>0</v>
      </c>
      <c r="D13" s="120">
        <f>+'Table A3 - FY97'!AT13+'Table A2 - FY98'!Z13+'Table A1 - FY99'!D13</f>
        <v>0</v>
      </c>
      <c r="E13" s="120">
        <f t="shared" si="0"/>
        <v>57468723</v>
      </c>
      <c r="G13" s="121">
        <f>'Table A3 - FY97'!AW13+'Table A2 - FY98'!AC13+'Table A1 - FY99'!G13</f>
        <v>12154457</v>
      </c>
      <c r="H13" s="121">
        <f>'Table A3 - FY97'!AX13+'Table A2 - FY98'!AD13+'Table A1 - FY99'!H13</f>
        <v>4631345</v>
      </c>
      <c r="I13" s="121">
        <f>'Table A3 - FY97'!AY13+'Table A2 - FY98'!AE13+'Table A1 - FY99'!I13</f>
        <v>0</v>
      </c>
      <c r="J13" s="121">
        <f>'Table A3 - FY97'!AZ13+'Table A2 - FY98'!AF13+'Table A1 - FY99'!J13</f>
        <v>1309291</v>
      </c>
      <c r="K13" s="121">
        <f>'Table A3 - FY97'!BA13+'Table A2 - FY98'!AG13+'Table A1 - FY99'!K13</f>
        <v>374590</v>
      </c>
      <c r="L13" s="122">
        <f>'Table A3 - FY97'!BB13+'Table A2 - FY98'!AH13+'Table A1 - FY99'!L13</f>
        <v>300148</v>
      </c>
      <c r="M13" s="121">
        <f>'Table A3 - FY97'!BC13+'Table A2 - FY98'!AI13+'Table A1 - FY99'!M13</f>
        <v>2921118</v>
      </c>
      <c r="N13" s="121">
        <f t="shared" si="1"/>
        <v>21690949</v>
      </c>
      <c r="P13" s="121">
        <f>'Table A3 - FY97'!BF13+'Table A2 - FY98'!AL13+'Table A1 - FY99'!P13</f>
        <v>35777774</v>
      </c>
      <c r="Q13" s="121">
        <f>'Table A3 - FY97'!BG13+'Table A2 - FY98'!AM13+'Table A1 - FY99'!Q13</f>
        <v>0</v>
      </c>
    </row>
    <row r="14" spans="1:17" ht="15">
      <c r="A14" s="123" t="s">
        <v>94</v>
      </c>
      <c r="B14" s="120">
        <f>'Table A3 - FY97'!AR14+'Table A2 - FY98'!X14+'Table A1 - FY99'!B14</f>
        <v>3337892101</v>
      </c>
      <c r="C14" s="120">
        <f>+'Table A3 - FY97'!AS14+'Table A2 - FY98'!Y14+'Table A1 - FY99'!C14</f>
        <v>0</v>
      </c>
      <c r="D14" s="120">
        <f>+'Table A3 - FY97'!AT14+'Table A2 - FY98'!Z14+'Table A1 - FY99'!D14</f>
        <v>0</v>
      </c>
      <c r="E14" s="120">
        <f t="shared" si="0"/>
        <v>3337892101</v>
      </c>
      <c r="G14" s="121">
        <f>'Table A3 - FY97'!AW14+'Table A2 - FY98'!AC14+'Table A1 - FY99'!G14</f>
        <v>1086274245</v>
      </c>
      <c r="H14" s="121">
        <f>'Table A3 - FY97'!AX14+'Table A2 - FY98'!AD14+'Table A1 - FY99'!H14</f>
        <v>112204984</v>
      </c>
      <c r="I14" s="121">
        <f>'Table A3 - FY97'!AY14+'Table A2 - FY98'!AE14+'Table A1 - FY99'!I14</f>
        <v>118446110</v>
      </c>
      <c r="J14" s="121">
        <f>'Table A3 - FY97'!AZ14+'Table A2 - FY98'!AF14+'Table A1 - FY99'!J14</f>
        <v>90053817</v>
      </c>
      <c r="K14" s="121">
        <f>'Table A3 - FY97'!BA14+'Table A2 - FY98'!AG14+'Table A1 - FY99'!K14</f>
        <v>32465478</v>
      </c>
      <c r="L14" s="122">
        <f>'Table A3 - FY97'!BB14+'Table A2 - FY98'!AH14+'Table A1 - FY99'!L14</f>
        <v>870223</v>
      </c>
      <c r="M14" s="121">
        <f>'Table A3 - FY97'!BC14+'Table A2 - FY98'!AI14+'Table A1 - FY99'!M14</f>
        <v>173752154</v>
      </c>
      <c r="N14" s="121">
        <f t="shared" si="1"/>
        <v>1614067011</v>
      </c>
      <c r="P14" s="121">
        <f>'Table A3 - FY97'!BF14+'Table A2 - FY98'!AL14+'Table A1 - FY99'!P14</f>
        <v>1198474225</v>
      </c>
      <c r="Q14" s="121">
        <f>'Table A3 - FY97'!BG14+'Table A2 - FY98'!AM14+'Table A1 - FY99'!Q14</f>
        <v>525350863</v>
      </c>
    </row>
    <row r="15" spans="1:17" ht="15">
      <c r="A15" s="123" t="s">
        <v>95</v>
      </c>
      <c r="B15" s="120">
        <f>'Table A3 - FY97'!AR15+'Table A2 - FY98'!X15+'Table A1 - FY99'!B15</f>
        <v>130268736</v>
      </c>
      <c r="C15" s="120">
        <f>+'Table A3 - FY97'!AS15+'Table A2 - FY98'!Y15+'Table A1 - FY99'!C15</f>
        <v>0</v>
      </c>
      <c r="D15" s="120">
        <f>+'Table A3 - FY97'!AT15+'Table A2 - FY98'!Z15+'Table A1 - FY99'!D15</f>
        <v>0</v>
      </c>
      <c r="E15" s="120">
        <f t="shared" si="0"/>
        <v>130268736</v>
      </c>
      <c r="G15" s="121">
        <f>'Table A3 - FY97'!AW15+'Table A2 - FY98'!AC15+'Table A1 - FY99'!G15</f>
        <v>18743456</v>
      </c>
      <c r="H15" s="121">
        <f>'Table A3 - FY97'!AX15+'Table A2 - FY98'!AD15+'Table A1 - FY99'!H15</f>
        <v>3247983</v>
      </c>
      <c r="I15" s="121">
        <f>'Table A3 - FY97'!AY15+'Table A2 - FY98'!AE15+'Table A1 - FY99'!I15</f>
        <v>0</v>
      </c>
      <c r="J15" s="121">
        <f>'Table A3 - FY97'!AZ15+'Table A2 - FY98'!AF15+'Table A1 - FY99'!J15</f>
        <v>3577153</v>
      </c>
      <c r="K15" s="121">
        <f>'Table A3 - FY97'!BA15+'Table A2 - FY98'!AG15+'Table A1 - FY99'!K15</f>
        <v>2185650</v>
      </c>
      <c r="L15" s="122">
        <f>'Table A3 - FY97'!BB15+'Table A2 - FY98'!AH15+'Table A1 - FY99'!L15</f>
        <v>0</v>
      </c>
      <c r="M15" s="121">
        <f>'Table A3 - FY97'!BC15+'Table A2 - FY98'!AI15+'Table A1 - FY99'!M15</f>
        <v>11737785</v>
      </c>
      <c r="N15" s="121">
        <f t="shared" si="1"/>
        <v>39492027</v>
      </c>
      <c r="P15" s="121">
        <f>'Table A3 - FY97'!BF15+'Table A2 - FY98'!AL15+'Table A1 - FY99'!P15</f>
        <v>90776709</v>
      </c>
      <c r="Q15" s="121">
        <f>'Table A3 - FY97'!BG15+'Table A2 - FY98'!AM15+'Table A1 - FY99'!Q15</f>
        <v>0</v>
      </c>
    </row>
    <row r="16" spans="1:17" ht="15">
      <c r="A16" s="123" t="s">
        <v>38</v>
      </c>
      <c r="B16" s="120">
        <f>'Table A3 - FY97'!AR16+'Table A2 - FY98'!X16+'Table A1 - FY99'!B16</f>
        <v>123352504</v>
      </c>
      <c r="C16" s="120">
        <f>+'Table A3 - FY97'!AS16+'Table A2 - FY98'!Y16+'Table A1 - FY99'!C16</f>
        <v>0</v>
      </c>
      <c r="D16" s="120">
        <f>+'Table A3 - FY97'!AT16+'Table A2 - FY98'!Z16+'Table A1 - FY99'!D16</f>
        <v>11992516</v>
      </c>
      <c r="E16" s="120">
        <f t="shared" si="0"/>
        <v>111359988</v>
      </c>
      <c r="G16" s="121">
        <f>'Table A3 - FY97'!AW16+'Table A2 - FY98'!AC16+'Table A1 - FY99'!G16</f>
        <v>76474085</v>
      </c>
      <c r="H16" s="121">
        <f>'Table A3 - FY97'!AX16+'Table A2 - FY98'!AD16+'Table A1 - FY99'!H16</f>
        <v>0</v>
      </c>
      <c r="I16" s="121">
        <f>'Table A3 - FY97'!AY16+'Table A2 - FY98'!AE16+'Table A1 - FY99'!I16</f>
        <v>20695469</v>
      </c>
      <c r="J16" s="121">
        <f>'Table A3 - FY97'!AZ16+'Table A2 - FY98'!AF16+'Table A1 - FY99'!J16</f>
        <v>12770319</v>
      </c>
      <c r="K16" s="121">
        <f>'Table A3 - FY97'!BA16+'Table A2 - FY98'!AG16+'Table A1 - FY99'!K16</f>
        <v>0</v>
      </c>
      <c r="L16" s="122">
        <f>'Table A3 - FY97'!BB16+'Table A2 - FY98'!AH16+'Table A1 - FY99'!L16</f>
        <v>0</v>
      </c>
      <c r="M16" s="121">
        <f>'Table A3 - FY97'!BC16+'Table A2 - FY98'!AI16+'Table A1 - FY99'!M16</f>
        <v>1788071</v>
      </c>
      <c r="N16" s="121">
        <f t="shared" si="1"/>
        <v>111727944</v>
      </c>
      <c r="P16" s="121">
        <f>'Table A3 - FY97'!BF16+'Table A2 - FY98'!AL16+'Table A1 - FY99'!P16</f>
        <v>0</v>
      </c>
      <c r="Q16" s="121">
        <f>'Table A3 - FY97'!BG16+'Table A2 - FY98'!AM16+'Table A1 - FY99'!Q16</f>
        <v>-367956</v>
      </c>
    </row>
    <row r="17" spans="1:17" ht="15">
      <c r="A17" s="123" t="s">
        <v>39</v>
      </c>
      <c r="B17" s="120">
        <f>'Table A3 - FY97'!AR17+'Table A2 - FY98'!X17+'Table A1 - FY99'!B17</f>
        <v>17128440</v>
      </c>
      <c r="C17" s="120">
        <f>+'Table A3 - FY97'!AS17+'Table A2 - FY98'!Y17+'Table A1 - FY99'!C17</f>
        <v>0</v>
      </c>
      <c r="D17" s="120">
        <f>+'Table A3 - FY97'!AT17+'Table A2 - FY98'!Z17+'Table A1 - FY99'!D17</f>
        <v>0</v>
      </c>
      <c r="E17" s="120">
        <f t="shared" si="0"/>
        <v>17128440</v>
      </c>
      <c r="G17" s="121">
        <f>'Table A3 - FY97'!AW17+'Table A2 - FY98'!AC17+'Table A1 - FY99'!G17</f>
        <v>8608898</v>
      </c>
      <c r="H17" s="121">
        <f>'Table A3 - FY97'!AX17+'Table A2 - FY98'!AD17+'Table A1 - FY99'!H17</f>
        <v>3088276</v>
      </c>
      <c r="I17" s="121">
        <f>'Table A3 - FY97'!AY17+'Table A2 - FY98'!AE17+'Table A1 - FY99'!I17</f>
        <v>0</v>
      </c>
      <c r="J17" s="121">
        <f>'Table A3 - FY97'!AZ17+'Table A2 - FY98'!AF17+'Table A1 - FY99'!J17</f>
        <v>1478063</v>
      </c>
      <c r="K17" s="121">
        <f>'Table A3 - FY97'!BA17+'Table A2 - FY98'!AG17+'Table A1 - FY99'!K17</f>
        <v>3945102</v>
      </c>
      <c r="L17" s="122">
        <f>'Table A3 - FY97'!BB17+'Table A2 - FY98'!AH17+'Table A1 - FY99'!L17</f>
        <v>0</v>
      </c>
      <c r="M17" s="121">
        <f>'Table A3 - FY97'!BC17+'Table A2 - FY98'!AI17+'Table A1 - FY99'!M17</f>
        <v>0</v>
      </c>
      <c r="N17" s="121">
        <f t="shared" si="1"/>
        <v>17120339</v>
      </c>
      <c r="P17" s="121">
        <f>'Table A3 - FY97'!BF17+'Table A2 - FY98'!AL17+'Table A1 - FY99'!P17</f>
        <v>5218</v>
      </c>
      <c r="Q17" s="121">
        <f>'Table A3 - FY97'!BG17+'Table A2 - FY98'!AM17+'Table A1 - FY99'!Q17</f>
        <v>0</v>
      </c>
    </row>
    <row r="18" spans="1:17" ht="15">
      <c r="A18" s="123" t="s">
        <v>40</v>
      </c>
      <c r="B18" s="120">
        <f>'Table A3 - FY97'!AR18+'Table A2 - FY98'!X18+'Table A1 - FY99'!B18</f>
        <v>90883017</v>
      </c>
      <c r="C18" s="120">
        <f>+'Table A3 - FY97'!AS18+'Table A2 - FY98'!Y18+'Table A1 - FY99'!C18</f>
        <v>9260980</v>
      </c>
      <c r="D18" s="120">
        <f>+'Table A3 - FY97'!AT18+'Table A2 - FY98'!Z18+'Table A1 - FY99'!D18</f>
        <v>4630490</v>
      </c>
      <c r="E18" s="120">
        <f t="shared" si="0"/>
        <v>76991547</v>
      </c>
      <c r="G18" s="121">
        <f>'Table A3 - FY97'!AW18+'Table A2 - FY98'!AC18+'Table A1 - FY99'!G18</f>
        <v>22052669</v>
      </c>
      <c r="H18" s="121">
        <f>'Table A3 - FY97'!AX18+'Table A2 - FY98'!AD18+'Table A1 - FY99'!H18</f>
        <v>12260252</v>
      </c>
      <c r="I18" s="121">
        <f>'Table A3 - FY97'!AY18+'Table A2 - FY98'!AE18+'Table A1 - FY99'!I18</f>
        <v>0</v>
      </c>
      <c r="J18" s="121">
        <f>'Table A3 - FY97'!AZ18+'Table A2 - FY98'!AF18+'Table A1 - FY99'!J18</f>
        <v>3785262</v>
      </c>
      <c r="K18" s="121">
        <f>'Table A3 - FY97'!BA18+'Table A2 - FY98'!AG18+'Table A1 - FY99'!K18</f>
        <v>377285</v>
      </c>
      <c r="L18" s="122">
        <f>'Table A3 - FY97'!BB18+'Table A2 - FY98'!AH18+'Table A1 - FY99'!L18</f>
        <v>0</v>
      </c>
      <c r="M18" s="121">
        <f>'Table A3 - FY97'!BC18+'Table A2 - FY98'!AI18+'Table A1 - FY99'!M18</f>
        <v>365000</v>
      </c>
      <c r="N18" s="121">
        <f t="shared" si="1"/>
        <v>38840468</v>
      </c>
      <c r="P18" s="121">
        <f>'Table A3 - FY97'!BF18+'Table A2 - FY98'!AL18+'Table A1 - FY99'!P18</f>
        <v>8232808</v>
      </c>
      <c r="Q18" s="121">
        <f>'Table A3 - FY97'!BG18+'Table A2 - FY98'!AM18+'Table A1 - FY99'!Q18</f>
        <v>31764224</v>
      </c>
    </row>
    <row r="19" spans="1:17" ht="15">
      <c r="A19" s="123" t="s">
        <v>96</v>
      </c>
      <c r="B19" s="120">
        <f>'Table A3 - FY97'!AR19+'Table A2 - FY98'!X19+'Table A1 - FY99'!B19</f>
        <v>695334399</v>
      </c>
      <c r="C19" s="120">
        <f>+'Table A3 - FY97'!AS19+'Table A2 - FY98'!Y19+'Table A1 - FY99'!C19</f>
        <v>59907070</v>
      </c>
      <c r="D19" s="120">
        <f>+'Table A3 - FY97'!AT19+'Table A2 - FY98'!Z19+'Table A1 - FY99'!D19</f>
        <v>61494445</v>
      </c>
      <c r="E19" s="120">
        <f t="shared" si="0"/>
        <v>573932884</v>
      </c>
      <c r="G19" s="121">
        <f>'Table A3 - FY97'!AW19+'Table A2 - FY98'!AC19+'Table A1 - FY99'!G19</f>
        <v>27283510</v>
      </c>
      <c r="H19" s="121">
        <f>'Table A3 - FY97'!AX19+'Table A2 - FY98'!AD19+'Table A1 - FY99'!H19</f>
        <v>85309635</v>
      </c>
      <c r="I19" s="121">
        <f>'Table A3 - FY97'!AY19+'Table A2 - FY98'!AE19+'Table A1 - FY99'!I19</f>
        <v>38287394</v>
      </c>
      <c r="J19" s="121">
        <f>'Table A3 - FY97'!AZ19+'Table A2 - FY98'!AF19+'Table A1 - FY99'!J19</f>
        <v>24900094</v>
      </c>
      <c r="K19" s="121">
        <f>'Table A3 - FY97'!BA19+'Table A2 - FY98'!AG19+'Table A1 - FY99'!K19</f>
        <v>4722409</v>
      </c>
      <c r="L19" s="122">
        <f>'Table A3 - FY97'!BB19+'Table A2 - FY98'!AH19+'Table A1 - FY99'!L19</f>
        <v>4044465</v>
      </c>
      <c r="M19" s="121">
        <f>'Table A3 - FY97'!BC19+'Table A2 - FY98'!AI19+'Table A1 - FY99'!M19</f>
        <v>-20847900</v>
      </c>
      <c r="N19" s="121">
        <f t="shared" si="1"/>
        <v>163699607</v>
      </c>
      <c r="P19" s="121">
        <f>'Table A3 - FY97'!BF19+'Table A2 - FY98'!AL19+'Table A1 - FY99'!P19</f>
        <v>92910233</v>
      </c>
      <c r="Q19" s="121">
        <f>'Table A3 - FY97'!BG19+'Table A2 - FY98'!AM19+'Table A1 - FY99'!Q19</f>
        <v>317323043</v>
      </c>
    </row>
    <row r="20" spans="1:17" ht="15">
      <c r="A20" s="123" t="s">
        <v>42</v>
      </c>
      <c r="B20" s="120">
        <f>'Table A3 - FY97'!AR20+'Table A2 - FY98'!X20+'Table A1 - FY99'!B20</f>
        <v>244417810</v>
      </c>
      <c r="C20" s="120">
        <f>+'Table A3 - FY97'!AS20+'Table A2 - FY98'!Y20+'Table A1 - FY99'!C20</f>
        <v>15897640</v>
      </c>
      <c r="D20" s="120">
        <f>+'Table A3 - FY97'!AT20+'Table A2 - FY98'!Z20+'Table A1 - FY99'!D20</f>
        <v>10621051</v>
      </c>
      <c r="E20" s="120">
        <f t="shared" si="0"/>
        <v>217899119</v>
      </c>
      <c r="G20" s="121">
        <f>'Table A3 - FY97'!AW20+'Table A2 - FY98'!AC20+'Table A1 - FY99'!G20</f>
        <v>57454138</v>
      </c>
      <c r="H20" s="121">
        <f>'Table A3 - FY97'!AX20+'Table A2 - FY98'!AD20+'Table A1 - FY99'!H20</f>
        <v>14456962</v>
      </c>
      <c r="I20" s="121">
        <f>'Table A3 - FY97'!AY20+'Table A2 - FY98'!AE20+'Table A1 - FY99'!I20</f>
        <v>0</v>
      </c>
      <c r="J20" s="121">
        <f>'Table A3 - FY97'!AZ20+'Table A2 - FY98'!AF20+'Table A1 - FY99'!J20</f>
        <v>14986235</v>
      </c>
      <c r="K20" s="121">
        <f>'Table A3 - FY97'!BA20+'Table A2 - FY98'!AG20+'Table A1 - FY99'!K20</f>
        <v>4670245</v>
      </c>
      <c r="L20" s="122">
        <f>'Table A3 - FY97'!BB20+'Table A2 - FY98'!AH20+'Table A1 - FY99'!L20</f>
        <v>0</v>
      </c>
      <c r="M20" s="121">
        <f>'Table A3 - FY97'!BC20+'Table A2 - FY98'!AI20+'Table A1 - FY99'!M20</f>
        <v>12276304</v>
      </c>
      <c r="N20" s="121">
        <f t="shared" si="1"/>
        <v>103843884</v>
      </c>
      <c r="P20" s="121">
        <f>'Table A3 - FY97'!BF20+'Table A2 - FY98'!AL20+'Table A1 - FY99'!P20</f>
        <v>37356542</v>
      </c>
      <c r="Q20" s="121">
        <f>'Table A3 - FY97'!BG20+'Table A2 - FY98'!AM20+'Table A1 - FY99'!Q20</f>
        <v>76698693</v>
      </c>
    </row>
    <row r="21" spans="1:17" ht="15">
      <c r="A21" s="123" t="s">
        <v>43</v>
      </c>
      <c r="B21" s="120">
        <f>'Table A3 - FY97'!AR21+'Table A2 - FY98'!X21+'Table A1 - FY99'!B21</f>
        <v>57535858</v>
      </c>
      <c r="C21" s="120">
        <f>+'Table A3 - FY97'!AS21+'Table A2 - FY98'!Y21+'Table A1 - FY99'!C21</f>
        <v>5942332</v>
      </c>
      <c r="D21" s="120">
        <f>+'Table A3 - FY97'!AT21+'Table A2 - FY98'!Z21+'Table A1 - FY99'!D21</f>
        <v>500000</v>
      </c>
      <c r="E21" s="120">
        <f t="shared" si="0"/>
        <v>51093526</v>
      </c>
      <c r="G21" s="121">
        <f>'Table A3 - FY97'!AW21+'Table A2 - FY98'!AC21+'Table A1 - FY99'!G21</f>
        <v>43841838</v>
      </c>
      <c r="H21" s="121">
        <f>'Table A3 - FY97'!AX21+'Table A2 - FY98'!AD21+'Table A1 - FY99'!H21</f>
        <v>1539040</v>
      </c>
      <c r="I21" s="121">
        <f>'Table A3 - FY97'!AY21+'Table A2 - FY98'!AE21+'Table A1 - FY99'!I21</f>
        <v>0</v>
      </c>
      <c r="J21" s="121">
        <f>'Table A3 - FY97'!AZ21+'Table A2 - FY98'!AF21+'Table A1 - FY99'!J21</f>
        <v>2467996</v>
      </c>
      <c r="K21" s="121">
        <f>'Table A3 - FY97'!BA21+'Table A2 - FY98'!AG21+'Table A1 - FY99'!K21</f>
        <v>1243289</v>
      </c>
      <c r="L21" s="122">
        <f>'Table A3 - FY97'!BB21+'Table A2 - FY98'!AH21+'Table A1 - FY99'!L21</f>
        <v>0</v>
      </c>
      <c r="M21" s="121">
        <f>'Table A3 - FY97'!BC21+'Table A2 - FY98'!AI21+'Table A1 - FY99'!M21</f>
        <v>0</v>
      </c>
      <c r="N21" s="121">
        <f t="shared" si="1"/>
        <v>49092163</v>
      </c>
      <c r="P21" s="121">
        <f>'Table A3 - FY97'!BF21+'Table A2 - FY98'!AL21+'Table A1 - FY99'!P21</f>
        <v>843933</v>
      </c>
      <c r="Q21" s="121">
        <f>'Table A3 - FY97'!BG21+'Table A2 - FY98'!AM21+'Table A1 - FY99'!Q21</f>
        <v>1114748</v>
      </c>
    </row>
    <row r="22" spans="1:17" ht="15">
      <c r="A22" s="123" t="s">
        <v>276</v>
      </c>
      <c r="B22" s="120">
        <f>'Table A3 - FY97'!AR22+'Table A2 - FY98'!X22+'Table A1 - FY99'!B22</f>
        <v>44562952</v>
      </c>
      <c r="C22" s="120">
        <f>+'Table A3 - FY97'!AS22+'Table A2 - FY98'!Y22+'Table A1 - FY99'!C22</f>
        <v>0</v>
      </c>
      <c r="D22" s="120">
        <f>+'Table A3 - FY97'!AT22+'Table A2 - FY98'!Z22+'Table A1 - FY99'!D22</f>
        <v>1347417</v>
      </c>
      <c r="E22" s="120">
        <f t="shared" si="0"/>
        <v>43215535</v>
      </c>
      <c r="G22" s="121">
        <f>'Table A3 - FY97'!AW22+'Table A2 - FY98'!AC22+'Table A1 - FY99'!G22</f>
        <v>0</v>
      </c>
      <c r="H22" s="121">
        <f>'Table A3 - FY97'!AX22+'Table A2 - FY98'!AD22+'Table A1 - FY99'!H22</f>
        <v>0</v>
      </c>
      <c r="I22" s="121">
        <f>'Table A3 - FY97'!AY22+'Table A2 - FY98'!AE22+'Table A1 - FY99'!I22</f>
        <v>0</v>
      </c>
      <c r="J22" s="121">
        <f>'Table A3 - FY97'!AZ22+'Table A2 - FY98'!AF22+'Table A1 - FY99'!J22</f>
        <v>0</v>
      </c>
      <c r="K22" s="121">
        <f>'Table A3 - FY97'!BA22+'Table A2 - FY98'!AG22+'Table A1 - FY99'!K22</f>
        <v>0</v>
      </c>
      <c r="L22" s="122">
        <f>'Table A3 - FY97'!BB22+'Table A2 - FY98'!AH22+'Table A1 - FY99'!L22</f>
        <v>0</v>
      </c>
      <c r="M22" s="121">
        <f>'Table A3 - FY97'!BC22+'Table A2 - FY98'!AI22+'Table A1 - FY99'!M22</f>
        <v>0</v>
      </c>
      <c r="N22" s="121">
        <f t="shared" si="1"/>
        <v>0</v>
      </c>
      <c r="P22" s="121">
        <f>'Table A3 - FY97'!BF22+'Table A2 - FY98'!AL22+'Table A1 - FY99'!P22</f>
        <v>0</v>
      </c>
      <c r="Q22" s="121">
        <f>'Table A3 - FY97'!BG22+'Table A2 - FY98'!AM22+'Table A1 - FY99'!Q22</f>
        <v>43215535</v>
      </c>
    </row>
    <row r="23" spans="1:17" ht="15">
      <c r="A23" s="124" t="s">
        <v>45</v>
      </c>
      <c r="B23" s="120">
        <f>'Table A3 - FY97'!AR23+'Table A2 - FY98'!X23+'Table A1 - FY99'!B23</f>
        <v>292528480</v>
      </c>
      <c r="C23" s="120">
        <f>+'Table A3 - FY97'!AS23+'Table A2 - FY98'!Y23+'Table A1 - FY99'!C23</f>
        <v>60545385</v>
      </c>
      <c r="D23" s="120">
        <f>+'Table A3 - FY97'!AT23+'Table A2 - FY98'!Z23+'Table A1 - FY99'!D23</f>
        <v>8800000</v>
      </c>
      <c r="E23" s="120">
        <f t="shared" si="0"/>
        <v>223183095</v>
      </c>
      <c r="G23" s="121">
        <f>'Table A3 - FY97'!AW23+'Table A2 - FY98'!AC23+'Table A1 - FY99'!G23</f>
        <v>189518333</v>
      </c>
      <c r="H23" s="121">
        <f>'Table A3 - FY97'!AX23+'Table A2 - FY98'!AD23+'Table A1 - FY99'!H23</f>
        <v>86713</v>
      </c>
      <c r="I23" s="121">
        <f>'Table A3 - FY97'!AY23+'Table A2 - FY98'!AE23+'Table A1 - FY99'!I23</f>
        <v>0</v>
      </c>
      <c r="J23" s="121">
        <f>'Table A3 - FY97'!AZ23+'Table A2 - FY98'!AF23+'Table A1 - FY99'!J23</f>
        <v>31310406</v>
      </c>
      <c r="K23" s="121">
        <f>'Table A3 - FY97'!BA23+'Table A2 - FY98'!AG23+'Table A1 - FY99'!K23</f>
        <v>2300346</v>
      </c>
      <c r="L23" s="122">
        <f>'Table A3 - FY97'!BB23+'Table A2 - FY98'!AH23+'Table A1 - FY99'!L23</f>
        <v>0</v>
      </c>
      <c r="M23" s="121">
        <f>'Table A3 - FY97'!BC23+'Table A2 - FY98'!AI23+'Table A1 - FY99'!M23</f>
        <v>0</v>
      </c>
      <c r="N23" s="121">
        <f t="shared" si="1"/>
        <v>223215798</v>
      </c>
      <c r="P23" s="121">
        <f>'Table A3 - FY97'!BF23+'Table A2 - FY98'!AL23+'Table A1 - FY99'!P23</f>
        <v>0</v>
      </c>
      <c r="Q23" s="121">
        <f>'Table A3 - FY97'!BG23+'Table A2 - FY98'!AM23+'Table A1 - FY99'!Q23</f>
        <v>0</v>
      </c>
    </row>
    <row r="24" spans="1:17" ht="15">
      <c r="A24" s="124" t="s">
        <v>98</v>
      </c>
      <c r="B24" s="120">
        <f>'Table A3 - FY97'!AR24+'Table A2 - FY98'!X24+'Table A1 - FY99'!B24</f>
        <v>298719405</v>
      </c>
      <c r="C24" s="120">
        <f>+'Table A3 - FY97'!AS24+'Table A2 - FY98'!Y24+'Table A1 - FY99'!C24</f>
        <v>112078000</v>
      </c>
      <c r="D24" s="120">
        <f>+'Table A3 - FY97'!AT24+'Table A2 - FY98'!Z24+'Table A1 - FY99'!D24</f>
        <v>6000000</v>
      </c>
      <c r="E24" s="120">
        <f t="shared" si="0"/>
        <v>180641405</v>
      </c>
      <c r="G24" s="121">
        <f>'Table A3 - FY97'!AW24+'Table A2 - FY98'!AC24+'Table A1 - FY99'!G24</f>
        <v>23878224</v>
      </c>
      <c r="H24" s="121">
        <f>'Table A3 - FY97'!AX24+'Table A2 - FY98'!AD24+'Table A1 - FY99'!H24</f>
        <v>0</v>
      </c>
      <c r="I24" s="121">
        <f>'Table A3 - FY97'!AY24+'Table A2 - FY98'!AE24+'Table A1 - FY99'!I24</f>
        <v>0</v>
      </c>
      <c r="J24" s="121">
        <f>'Table A3 - FY97'!AZ24+'Table A2 - FY98'!AF24+'Table A1 - FY99'!J24</f>
        <v>4031169</v>
      </c>
      <c r="K24" s="121">
        <f>'Table A3 - FY97'!BA24+'Table A2 - FY98'!AG24+'Table A1 - FY99'!K24</f>
        <v>2875739</v>
      </c>
      <c r="L24" s="122">
        <f>'Table A3 - FY97'!BB24+'Table A2 - FY98'!AH24+'Table A1 - FY99'!L24</f>
        <v>0</v>
      </c>
      <c r="M24" s="121">
        <f>'Table A3 - FY97'!BC24+'Table A2 - FY98'!AI24+'Table A1 - FY99'!M24</f>
        <v>0</v>
      </c>
      <c r="N24" s="121">
        <f t="shared" si="1"/>
        <v>30785132</v>
      </c>
      <c r="P24" s="121">
        <f>'Table A3 - FY97'!BF24+'Table A2 - FY98'!AL24+'Table A1 - FY99'!P24</f>
        <v>149856273</v>
      </c>
      <c r="Q24" s="121">
        <f>'Table A3 - FY97'!BG24+'Table A2 - FY98'!AM24+'Table A1 - FY99'!Q24</f>
        <v>0</v>
      </c>
    </row>
    <row r="25" spans="1:17" ht="15">
      <c r="A25" s="124" t="s">
        <v>47</v>
      </c>
      <c r="B25" s="120">
        <f>'Table A3 - FY97'!AR25+'Table A2 - FY98'!X25+'Table A1 - FY99'!B25</f>
        <v>94975078</v>
      </c>
      <c r="C25" s="120">
        <f>+'Table A3 - FY97'!AS25+'Table A2 - FY98'!Y25+'Table A1 - FY99'!C25</f>
        <v>3784961</v>
      </c>
      <c r="D25" s="120">
        <f>+'Table A3 - FY97'!AT25+'Table A2 - FY98'!Z25+'Table A1 - FY99'!D25</f>
        <v>-754986</v>
      </c>
      <c r="E25" s="120">
        <f t="shared" si="0"/>
        <v>91945103</v>
      </c>
      <c r="G25" s="121">
        <f>'Table A3 - FY97'!AW25+'Table A2 - FY98'!AC25+'Table A1 - FY99'!G25</f>
        <v>26252668</v>
      </c>
      <c r="H25" s="121">
        <f>'Table A3 - FY97'!AX25+'Table A2 - FY98'!AD25+'Table A1 - FY99'!H25</f>
        <v>6629372</v>
      </c>
      <c r="I25" s="121">
        <f>'Table A3 - FY97'!AY25+'Table A2 - FY98'!AE25+'Table A1 - FY99'!I25</f>
        <v>0</v>
      </c>
      <c r="J25" s="121">
        <f>'Table A3 - FY97'!AZ25+'Table A2 - FY98'!AF25+'Table A1 - FY99'!J25</f>
        <v>6413086</v>
      </c>
      <c r="K25" s="121">
        <f>'Table A3 - FY97'!BA25+'Table A2 - FY98'!AG25+'Table A1 - FY99'!K25</f>
        <v>610541</v>
      </c>
      <c r="L25" s="122">
        <f>'Table A3 - FY97'!BB25+'Table A2 - FY98'!AH25+'Table A1 - FY99'!L25</f>
        <v>0</v>
      </c>
      <c r="M25" s="121">
        <f>'Table A3 - FY97'!BC25+'Table A2 - FY98'!AI25+'Table A1 - FY99'!M25</f>
        <v>13271831</v>
      </c>
      <c r="N25" s="121">
        <f t="shared" si="1"/>
        <v>53177498</v>
      </c>
      <c r="P25" s="121">
        <f>'Table A3 - FY97'!BF25+'Table A2 - FY98'!AL25+'Table A1 - FY99'!P25</f>
        <v>38767605</v>
      </c>
      <c r="Q25" s="121">
        <f>'Table A3 - FY97'!BG25+'Table A2 - FY98'!AM25+'Table A1 - FY99'!Q25</f>
        <v>0</v>
      </c>
    </row>
    <row r="26" spans="1:17" ht="15">
      <c r="A26" s="124" t="s">
        <v>48</v>
      </c>
      <c r="B26" s="120">
        <f>'Table A3 - FY97'!AR26+'Table A2 - FY98'!X26+'Table A1 - FY99'!B26</f>
        <v>123547668</v>
      </c>
      <c r="C26" s="120">
        <f>+'Table A3 - FY97'!AS26+'Table A2 - FY98'!Y26+'Table A1 - FY99'!C26</f>
        <v>712677</v>
      </c>
      <c r="D26" s="120">
        <f>+'Table A3 - FY97'!AT26+'Table A2 - FY98'!Z26+'Table A1 - FY99'!D26</f>
        <v>0</v>
      </c>
      <c r="E26" s="120">
        <f t="shared" si="0"/>
        <v>122834991</v>
      </c>
      <c r="G26" s="121">
        <f>'Table A3 - FY97'!AW26+'Table A2 - FY98'!AC26+'Table A1 - FY99'!G26</f>
        <v>0</v>
      </c>
      <c r="H26" s="121">
        <f>'Table A3 - FY97'!AX26+'Table A2 - FY98'!AD26+'Table A1 - FY99'!H26</f>
        <v>3676694</v>
      </c>
      <c r="I26" s="121">
        <f>'Table A3 - FY97'!AY26+'Table A2 - FY98'!AE26+'Table A1 - FY99'!I26</f>
        <v>0</v>
      </c>
      <c r="J26" s="121">
        <f>'Table A3 - FY97'!AZ26+'Table A2 - FY98'!AF26+'Table A1 - FY99'!J26</f>
        <v>3028425</v>
      </c>
      <c r="K26" s="121">
        <f>'Table A3 - FY97'!BA26+'Table A2 - FY98'!AG26+'Table A1 - FY99'!K26</f>
        <v>0</v>
      </c>
      <c r="L26" s="122">
        <f>'Table A3 - FY97'!BB26+'Table A2 - FY98'!AH26+'Table A1 - FY99'!L26</f>
        <v>0</v>
      </c>
      <c r="M26" s="121">
        <f>'Table A3 - FY97'!BC26+'Table A2 - FY98'!AI26+'Table A1 - FY99'!M26</f>
        <v>19356326</v>
      </c>
      <c r="N26" s="121">
        <f t="shared" si="1"/>
        <v>26061445</v>
      </c>
      <c r="P26" s="121">
        <f>'Table A3 - FY97'!BF26+'Table A2 - FY98'!AL26+'Table A1 - FY99'!P26</f>
        <v>0</v>
      </c>
      <c r="Q26" s="121">
        <f>'Table A3 - FY97'!BG26+'Table A2 - FY98'!AM26+'Table A1 - FY99'!Q26</f>
        <v>96773546</v>
      </c>
    </row>
    <row r="27" spans="1:17" ht="15">
      <c r="A27" s="124" t="s">
        <v>49</v>
      </c>
      <c r="B27" s="120">
        <f>'Table A3 - FY97'!AR27+'Table A2 - FY98'!X27+'Table A1 - FY99'!B27</f>
        <v>130191341</v>
      </c>
      <c r="C27" s="120">
        <f>+'Table A3 - FY97'!AS27+'Table A2 - FY98'!Y27+'Table A1 - FY99'!C27</f>
        <v>23133000</v>
      </c>
      <c r="D27" s="120">
        <f>+'Table A3 - FY97'!AT27+'Table A2 - FY98'!Z27+'Table A1 - FY99'!D27</f>
        <v>14600000</v>
      </c>
      <c r="E27" s="120">
        <f t="shared" si="0"/>
        <v>92458341</v>
      </c>
      <c r="G27" s="121">
        <f>'Table A3 - FY97'!AW27+'Table A2 - FY98'!AC27+'Table A1 - FY99'!G27</f>
        <v>39803218</v>
      </c>
      <c r="H27" s="121">
        <f>'Table A3 - FY97'!AX27+'Table A2 - FY98'!AD27+'Table A1 - FY99'!H27</f>
        <v>6108333</v>
      </c>
      <c r="I27" s="121">
        <f>'Table A3 - FY97'!AY27+'Table A2 - FY98'!AE27+'Table A1 - FY99'!I27</f>
        <v>6444146</v>
      </c>
      <c r="J27" s="121">
        <f>'Table A3 - FY97'!AZ27+'Table A2 - FY98'!AF27+'Table A1 - FY99'!J27</f>
        <v>5491226</v>
      </c>
      <c r="K27" s="121">
        <f>'Table A3 - FY97'!BA27+'Table A2 - FY98'!AG27+'Table A1 - FY99'!K27</f>
        <v>183706</v>
      </c>
      <c r="L27" s="122">
        <f>'Table A3 - FY97'!BB27+'Table A2 - FY98'!AH27+'Table A1 - FY99'!L27</f>
        <v>0</v>
      </c>
      <c r="M27" s="121">
        <f>'Table A3 - FY97'!BC27+'Table A2 - FY98'!AI27+'Table A1 - FY99'!M27</f>
        <v>3411377</v>
      </c>
      <c r="N27" s="121">
        <f t="shared" si="1"/>
        <v>61442006</v>
      </c>
      <c r="P27" s="121">
        <f>'Table A3 - FY97'!BF27+'Table A2 - FY98'!AL27+'Table A1 - FY99'!P27</f>
        <v>0</v>
      </c>
      <c r="Q27" s="121">
        <f>'Table A3 - FY97'!BG27+'Table A2 - FY98'!AM27+'Table A1 - FY99'!Q27</f>
        <v>31016335</v>
      </c>
    </row>
    <row r="28" spans="1:17" ht="15">
      <c r="A28" s="124" t="s">
        <v>50</v>
      </c>
      <c r="B28" s="120">
        <f>'Table A3 - FY97'!AR28+'Table A2 - FY98'!X28+'Table A1 - FY99'!B28</f>
        <v>152229744</v>
      </c>
      <c r="C28" s="120">
        <f>+'Table A3 - FY97'!AS28+'Table A2 - FY98'!Y28+'Table A1 - FY99'!C28</f>
        <v>59189629</v>
      </c>
      <c r="D28" s="120">
        <f>+'Table A3 - FY97'!AT28+'Table A2 - FY98'!Z28+'Table A1 - FY99'!D28</f>
        <v>0</v>
      </c>
      <c r="E28" s="120">
        <f t="shared" si="0"/>
        <v>93040115</v>
      </c>
      <c r="G28" s="121">
        <f>'Table A3 - FY97'!AW28+'Table A2 - FY98'!AC28+'Table A1 - FY99'!G28</f>
        <v>13391313</v>
      </c>
      <c r="H28" s="121">
        <f>'Table A3 - FY97'!AX28+'Table A2 - FY98'!AD28+'Table A1 - FY99'!H28</f>
        <v>9624213</v>
      </c>
      <c r="I28" s="121">
        <f>'Table A3 - FY97'!AY28+'Table A2 - FY98'!AE28+'Table A1 - FY99'!I28</f>
        <v>0</v>
      </c>
      <c r="J28" s="121">
        <f>'Table A3 - FY97'!AZ28+'Table A2 - FY98'!AF28+'Table A1 - FY99'!J28</f>
        <v>6608866</v>
      </c>
      <c r="K28" s="121">
        <f>'Table A3 - FY97'!BA28+'Table A2 - FY98'!AG28+'Table A1 - FY99'!K28</f>
        <v>2276176</v>
      </c>
      <c r="L28" s="122">
        <f>'Table A3 - FY97'!BB28+'Table A2 - FY98'!AH28+'Table A1 - FY99'!L28</f>
        <v>0</v>
      </c>
      <c r="M28" s="121">
        <f>'Table A3 - FY97'!BC28+'Table A2 - FY98'!AI28+'Table A1 - FY99'!M28</f>
        <v>11239264</v>
      </c>
      <c r="N28" s="121">
        <f t="shared" si="1"/>
        <v>43139832</v>
      </c>
      <c r="P28" s="121">
        <f>'Table A3 - FY97'!BF28+'Table A2 - FY98'!AL28+'Table A1 - FY99'!P28</f>
        <v>0</v>
      </c>
      <c r="Q28" s="121">
        <f>'Table A3 - FY97'!BG28+'Table A2 - FY98'!AM28+'Table A1 - FY99'!Q28</f>
        <v>49900283</v>
      </c>
    </row>
    <row r="29" spans="1:17" ht="15">
      <c r="A29" s="124" t="s">
        <v>51</v>
      </c>
      <c r="B29" s="120">
        <f>'Table A3 - FY97'!AR29+'Table A2 - FY98'!X29+'Table A1 - FY99'!B29</f>
        <v>33950176</v>
      </c>
      <c r="C29" s="120">
        <f>+'Table A3 - FY97'!AS29+'Table A2 - FY98'!Y29+'Table A1 - FY99'!C29</f>
        <v>3756183</v>
      </c>
      <c r="D29" s="120">
        <f>+'Table A3 - FY97'!AT29+'Table A2 - FY98'!Z29+'Table A1 - FY99'!D29</f>
        <v>1250000</v>
      </c>
      <c r="E29" s="120">
        <f t="shared" si="0"/>
        <v>28943993</v>
      </c>
      <c r="G29" s="121">
        <f>'Table A3 - FY97'!AW29+'Table A2 - FY98'!AC29+'Table A1 - FY99'!G29</f>
        <v>18174648</v>
      </c>
      <c r="H29" s="121">
        <f>'Table A3 - FY97'!AX29+'Table A2 - FY98'!AD29+'Table A1 - FY99'!H29</f>
        <v>5274557</v>
      </c>
      <c r="I29" s="121">
        <f>'Table A3 - FY97'!AY29+'Table A2 - FY98'!AE29+'Table A1 - FY99'!I29</f>
        <v>0</v>
      </c>
      <c r="J29" s="121">
        <f>'Table A3 - FY97'!AZ29+'Table A2 - FY98'!AF29+'Table A1 - FY99'!J29</f>
        <v>4341598</v>
      </c>
      <c r="K29" s="121">
        <f>'Table A3 - FY97'!BA29+'Table A2 - FY98'!AG29+'Table A1 - FY99'!K29</f>
        <v>798373</v>
      </c>
      <c r="L29" s="122">
        <f>'Table A3 - FY97'!BB29+'Table A2 - FY98'!AH29+'Table A1 - FY99'!L29</f>
        <v>0</v>
      </c>
      <c r="M29" s="121">
        <f>'Table A3 - FY97'!BC29+'Table A2 - FY98'!AI29+'Table A1 - FY99'!M29</f>
        <v>354817</v>
      </c>
      <c r="N29" s="121">
        <f t="shared" si="1"/>
        <v>28943993</v>
      </c>
      <c r="P29" s="121">
        <f>'Table A3 - FY97'!BF29+'Table A2 - FY98'!AL29+'Table A1 - FY99'!P29</f>
        <v>0</v>
      </c>
      <c r="Q29" s="121">
        <f>'Table A3 - FY97'!BG29+'Table A2 - FY98'!AM29+'Table A1 - FY99'!Q29</f>
        <v>0</v>
      </c>
    </row>
    <row r="30" spans="1:17" ht="15">
      <c r="A30" s="124" t="s">
        <v>52</v>
      </c>
      <c r="B30" s="120">
        <f>'Table A3 - FY97'!AR30+'Table A2 - FY98'!X30+'Table A1 - FY99'!B30</f>
        <v>261456349</v>
      </c>
      <c r="C30" s="120">
        <f>+'Table A3 - FY97'!AS30+'Table A2 - FY98'!Y30+'Table A1 - FY99'!C30</f>
        <v>0</v>
      </c>
      <c r="D30" s="120">
        <f>+'Table A3 - FY97'!AT30+'Table A2 - FY98'!Z30+'Table A1 - FY99'!D30</f>
        <v>0</v>
      </c>
      <c r="E30" s="120">
        <f t="shared" si="0"/>
        <v>261456349</v>
      </c>
      <c r="G30" s="121">
        <f>'Table A3 - FY97'!AW30+'Table A2 - FY98'!AC30+'Table A1 - FY99'!G30</f>
        <v>46203814</v>
      </c>
      <c r="H30" s="121">
        <f>'Table A3 - FY97'!AX30+'Table A2 - FY98'!AD30+'Table A1 - FY99'!H30</f>
        <v>18257066</v>
      </c>
      <c r="I30" s="121">
        <f>'Table A3 - FY97'!AY30+'Table A2 - FY98'!AE30+'Table A1 - FY99'!I30</f>
        <v>12611</v>
      </c>
      <c r="J30" s="121">
        <f>'Table A3 - FY97'!AZ30+'Table A2 - FY98'!AF30+'Table A1 - FY99'!J30</f>
        <v>10703019</v>
      </c>
      <c r="K30" s="121">
        <f>'Table A3 - FY97'!BA30+'Table A2 - FY98'!AG30+'Table A1 - FY99'!K30</f>
        <v>3396410</v>
      </c>
      <c r="L30" s="122">
        <f>'Table A3 - FY97'!BB30+'Table A2 - FY98'!AH30+'Table A1 - FY99'!L30</f>
        <v>0</v>
      </c>
      <c r="M30" s="121">
        <f>'Table A3 - FY97'!BC30+'Table A2 - FY98'!AI30+'Table A1 - FY99'!M30</f>
        <v>918805</v>
      </c>
      <c r="N30" s="121">
        <f t="shared" si="1"/>
        <v>79491725</v>
      </c>
      <c r="P30" s="121">
        <f>'Table A3 - FY97'!BF30+'Table A2 - FY98'!AL30+'Table A1 - FY99'!P30</f>
        <v>26039075</v>
      </c>
      <c r="Q30" s="121">
        <f>'Table A3 - FY97'!BG30+'Table A2 - FY98'!AM30+'Table A1 - FY99'!Q30</f>
        <v>155925550</v>
      </c>
    </row>
    <row r="31" spans="1:17" ht="15">
      <c r="A31" s="124" t="s">
        <v>53</v>
      </c>
      <c r="B31" s="120">
        <f>'Table A3 - FY97'!AR31+'Table A2 - FY98'!X31+'Table A1 - FY99'!B31</f>
        <v>229685558</v>
      </c>
      <c r="C31" s="120">
        <f>+'Table A3 - FY97'!AS31+'Table A2 - FY98'!Y31+'Table A1 - FY99'!C31</f>
        <v>45483064</v>
      </c>
      <c r="D31" s="120">
        <f>+'Table A3 - FY97'!AT31+'Table A2 - FY98'!Z31+'Table A1 - FY99'!D31</f>
        <v>8139468</v>
      </c>
      <c r="E31" s="120">
        <f t="shared" si="0"/>
        <v>176063026</v>
      </c>
      <c r="G31" s="121">
        <f>'Table A3 - FY97'!AW31+'Table A2 - FY98'!AC31+'Table A1 - FY99'!G31</f>
        <v>82027160</v>
      </c>
      <c r="H31" s="121">
        <f>'Table A3 - FY97'!AX31+'Table A2 - FY98'!AD31+'Table A1 - FY99'!H31</f>
        <v>1192127</v>
      </c>
      <c r="I31" s="121">
        <f>'Table A3 - FY97'!AY31+'Table A2 - FY98'!AE31+'Table A1 - FY99'!I31</f>
        <v>0</v>
      </c>
      <c r="J31" s="121">
        <f>'Table A3 - FY97'!AZ31+'Table A2 - FY98'!AF31+'Table A1 - FY99'!J31</f>
        <v>5688945</v>
      </c>
      <c r="K31" s="121">
        <f>'Table A3 - FY97'!BA31+'Table A2 - FY98'!AG31+'Table A1 - FY99'!K31</f>
        <v>9470716</v>
      </c>
      <c r="L31" s="122">
        <f>'Table A3 - FY97'!BB31+'Table A2 - FY98'!AH31+'Table A1 - FY99'!L31</f>
        <v>0</v>
      </c>
      <c r="M31" s="121">
        <f>'Table A3 - FY97'!BC31+'Table A2 - FY98'!AI31+'Table A1 - FY99'!M31</f>
        <v>2225097</v>
      </c>
      <c r="N31" s="121">
        <f t="shared" si="1"/>
        <v>100604045</v>
      </c>
      <c r="P31" s="121">
        <f>'Table A3 - FY97'!BF31+'Table A2 - FY98'!AL31+'Table A1 - FY99'!P31</f>
        <v>75458981</v>
      </c>
      <c r="Q31" s="121">
        <f>'Table A3 - FY97'!BG31+'Table A2 - FY98'!AM31+'Table A1 - FY99'!Q31</f>
        <v>0</v>
      </c>
    </row>
    <row r="32" spans="1:17" ht="15">
      <c r="A32" s="124" t="s">
        <v>54</v>
      </c>
      <c r="B32" s="120">
        <f>'Table A3 - FY97'!AR32+'Table A2 - FY98'!X32+'Table A1 - FY99'!B32</f>
        <v>491059346</v>
      </c>
      <c r="C32" s="120">
        <f>+'Table A3 - FY97'!AS32+'Table A2 - FY98'!Y32+'Table A1 - FY99'!C32</f>
        <v>77535286</v>
      </c>
      <c r="D32" s="120">
        <f>+'Table A3 - FY97'!AT32+'Table A2 - FY98'!Z32+'Table A1 - FY99'!D32</f>
        <v>36856517</v>
      </c>
      <c r="E32" s="120">
        <f t="shared" si="0"/>
        <v>376667543</v>
      </c>
      <c r="G32" s="121">
        <f>'Table A3 - FY97'!AW32+'Table A2 - FY98'!AC32+'Table A1 - FY99'!G32</f>
        <v>16976352</v>
      </c>
      <c r="H32" s="121">
        <f>'Table A3 - FY97'!AX32+'Table A2 - FY98'!AD32+'Table A1 - FY99'!H32</f>
        <v>28373685</v>
      </c>
      <c r="I32" s="121">
        <f>'Table A3 - FY97'!AY32+'Table A2 - FY98'!AE32+'Table A1 - FY99'!I32</f>
        <v>36659539</v>
      </c>
      <c r="J32" s="121">
        <f>'Table A3 - FY97'!AZ32+'Table A2 - FY98'!AF32+'Table A1 - FY99'!J32</f>
        <v>3327157</v>
      </c>
      <c r="K32" s="121">
        <f>'Table A3 - FY97'!BA32+'Table A2 - FY98'!AG32+'Table A1 - FY99'!K32</f>
        <v>7453076</v>
      </c>
      <c r="L32" s="122">
        <f>'Table A3 - FY97'!BB32+'Table A2 - FY98'!AH32+'Table A1 - FY99'!L32</f>
        <v>0</v>
      </c>
      <c r="M32" s="121">
        <f>'Table A3 - FY97'!BC32+'Table A2 - FY98'!AI32+'Table A1 - FY99'!M32</f>
        <v>17349513</v>
      </c>
      <c r="N32" s="121">
        <f t="shared" si="1"/>
        <v>110139322</v>
      </c>
      <c r="P32" s="121">
        <f>'Table A3 - FY97'!BF32+'Table A2 - FY98'!AL32+'Table A1 - FY99'!P32</f>
        <v>14122039</v>
      </c>
      <c r="Q32" s="121">
        <f>'Table A3 - FY97'!BG32+'Table A2 - FY98'!AM32+'Table A1 - FY99'!Q32</f>
        <v>252406182</v>
      </c>
    </row>
    <row r="33" spans="1:17" ht="15">
      <c r="A33" s="124" t="s">
        <v>55</v>
      </c>
      <c r="B33" s="120">
        <f>'Table A3 - FY97'!AR33+'Table A2 - FY98'!X33+'Table A1 - FY99'!B33</f>
        <v>270302314</v>
      </c>
      <c r="C33" s="120">
        <f>+'Table A3 - FY97'!AS33+'Table A2 - FY98'!Y33+'Table A1 - FY99'!C33</f>
        <v>0</v>
      </c>
      <c r="D33" s="120">
        <f>+'Table A3 - FY97'!AT33+'Table A2 - FY98'!Z33+'Table A1 - FY99'!D33</f>
        <v>791000</v>
      </c>
      <c r="E33" s="120">
        <f t="shared" si="0"/>
        <v>269511314</v>
      </c>
      <c r="G33" s="121">
        <f>'Table A3 - FY97'!AW33+'Table A2 - FY98'!AC33+'Table A1 - FY99'!G33</f>
        <v>61318090</v>
      </c>
      <c r="H33" s="121">
        <f>'Table A3 - FY97'!AX33+'Table A2 - FY98'!AD33+'Table A1 - FY99'!H33</f>
        <v>13380758</v>
      </c>
      <c r="I33" s="121">
        <f>'Table A3 - FY97'!AY33+'Table A2 - FY98'!AE33+'Table A1 - FY99'!I33</f>
        <v>0</v>
      </c>
      <c r="J33" s="121">
        <f>'Table A3 - FY97'!AZ33+'Table A2 - FY98'!AF33+'Table A1 - FY99'!J33</f>
        <v>13233119</v>
      </c>
      <c r="K33" s="121">
        <f>'Table A3 - FY97'!BA33+'Table A2 - FY98'!AG33+'Table A1 - FY99'!K33</f>
        <v>2053083</v>
      </c>
      <c r="L33" s="122">
        <f>'Table A3 - FY97'!BB33+'Table A2 - FY98'!AH33+'Table A1 - FY99'!L33</f>
        <v>0</v>
      </c>
      <c r="M33" s="121">
        <f>'Table A3 - FY97'!BC33+'Table A2 - FY98'!AI33+'Table A1 - FY99'!M33</f>
        <v>0</v>
      </c>
      <c r="N33" s="121">
        <f t="shared" si="1"/>
        <v>89985050</v>
      </c>
      <c r="P33" s="121">
        <f>'Table A3 - FY97'!BF33+'Table A2 - FY98'!AL33+'Table A1 - FY99'!P33</f>
        <v>0</v>
      </c>
      <c r="Q33" s="121">
        <f>'Table A3 - FY97'!BG33+'Table A2 - FY98'!AM33+'Table A1 - FY99'!Q33</f>
        <v>179526264</v>
      </c>
    </row>
    <row r="34" spans="1:17" ht="15">
      <c r="A34" s="124" t="s">
        <v>56</v>
      </c>
      <c r="B34" s="120">
        <f>'Table A3 - FY97'!AR34+'Table A2 - FY98'!X34+'Table A1 - FY99'!B34</f>
        <v>105199049</v>
      </c>
      <c r="C34" s="120">
        <f>+'Table A3 - FY97'!AS34+'Table A2 - FY98'!Y34+'Table A1 - FY99'!C34</f>
        <v>0</v>
      </c>
      <c r="D34" s="120">
        <f>+'Table A3 - FY97'!AT34+'Table A2 - FY98'!Z34+'Table A1 - FY99'!D34</f>
        <v>13015136</v>
      </c>
      <c r="E34" s="120">
        <f t="shared" si="0"/>
        <v>92183913</v>
      </c>
      <c r="G34" s="121">
        <f>'Table A3 - FY97'!AW34+'Table A2 - FY98'!AC34+'Table A1 - FY99'!G34</f>
        <v>9387207</v>
      </c>
      <c r="H34" s="121">
        <f>'Table A3 - FY97'!AX34+'Table A2 - FY98'!AD34+'Table A1 - FY99'!H34</f>
        <v>3259341</v>
      </c>
      <c r="I34" s="121">
        <f>'Table A3 - FY97'!AY34+'Table A2 - FY98'!AE34+'Table A1 - FY99'!I34</f>
        <v>0</v>
      </c>
      <c r="J34" s="121">
        <f>'Table A3 - FY97'!AZ34+'Table A2 - FY98'!AF34+'Table A1 - FY99'!J34</f>
        <v>1592491</v>
      </c>
      <c r="K34" s="121">
        <f>'Table A3 - FY97'!BA34+'Table A2 - FY98'!AG34+'Table A1 - FY99'!K34</f>
        <v>430747</v>
      </c>
      <c r="L34" s="122">
        <f>'Table A3 - FY97'!BB34+'Table A2 - FY98'!AH34+'Table A1 - FY99'!L34</f>
        <v>128033</v>
      </c>
      <c r="M34" s="121">
        <f>'Table A3 - FY97'!BC34+'Table A2 - FY98'!AI34+'Table A1 - FY99'!M34</f>
        <v>179998</v>
      </c>
      <c r="N34" s="121">
        <f t="shared" si="1"/>
        <v>14977817</v>
      </c>
      <c r="P34" s="121">
        <f>'Table A3 - FY97'!BF34+'Table A2 - FY98'!AL34+'Table A1 - FY99'!P34</f>
        <v>39331651</v>
      </c>
      <c r="Q34" s="121">
        <f>'Table A3 - FY97'!BG34+'Table A2 - FY98'!AM34+'Table A1 - FY99'!Q34</f>
        <v>48457571</v>
      </c>
    </row>
    <row r="35" spans="1:17" ht="15">
      <c r="A35" s="124" t="s">
        <v>57</v>
      </c>
      <c r="B35" s="120">
        <f>'Table A3 - FY97'!AR35+'Table A2 - FY98'!X35+'Table A1 - FY99'!B35</f>
        <v>171768200</v>
      </c>
      <c r="C35" s="120">
        <f>+'Table A3 - FY97'!AS35+'Table A2 - FY98'!Y35+'Table A1 - FY99'!C35</f>
        <v>0</v>
      </c>
      <c r="D35" s="120">
        <f>+'Table A3 - FY97'!AT35+'Table A2 - FY98'!Z35+'Table A1 - FY99'!D35</f>
        <v>21705174</v>
      </c>
      <c r="E35" s="120">
        <f t="shared" si="0"/>
        <v>150063026</v>
      </c>
      <c r="G35" s="121">
        <f>'Table A3 - FY97'!AW35+'Table A2 - FY98'!AC35+'Table A1 - FY99'!G35</f>
        <v>6468546</v>
      </c>
      <c r="H35" s="121">
        <f>'Table A3 - FY97'!AX35+'Table A2 - FY98'!AD35+'Table A1 - FY99'!H35</f>
        <v>8815736</v>
      </c>
      <c r="I35" s="121">
        <f>'Table A3 - FY97'!AY35+'Table A2 - FY98'!AE35+'Table A1 - FY99'!I35</f>
        <v>10861366</v>
      </c>
      <c r="J35" s="121">
        <f>'Table A3 - FY97'!AZ35+'Table A2 - FY98'!AF35+'Table A1 - FY99'!J35</f>
        <v>5415794</v>
      </c>
      <c r="K35" s="121">
        <f>'Table A3 - FY97'!BA35+'Table A2 - FY98'!AG35+'Table A1 - FY99'!K35</f>
        <v>1125828</v>
      </c>
      <c r="L35" s="122">
        <f>'Table A3 - FY97'!BB35+'Table A2 - FY98'!AH35+'Table A1 - FY99'!L35</f>
        <v>0</v>
      </c>
      <c r="M35" s="121">
        <f>'Table A3 - FY97'!BC35+'Table A2 - FY98'!AI35+'Table A1 - FY99'!M35</f>
        <v>5447822</v>
      </c>
      <c r="N35" s="121">
        <f t="shared" si="1"/>
        <v>38135092</v>
      </c>
      <c r="P35" s="121">
        <f>'Table A3 - FY97'!BF35+'Table A2 - FY98'!AL35+'Table A1 - FY99'!P35</f>
        <v>111927934</v>
      </c>
      <c r="Q35" s="121">
        <f>'Table A3 - FY97'!BG35+'Table A2 - FY98'!AM35+'Table A1 - FY99'!Q35</f>
        <v>0</v>
      </c>
    </row>
    <row r="36" spans="1:17" ht="15">
      <c r="A36" s="124" t="s">
        <v>58</v>
      </c>
      <c r="B36" s="120">
        <f>'Table A3 - FY97'!AR36+'Table A2 - FY98'!X36+'Table A1 - FY99'!B36</f>
        <v>52460034</v>
      </c>
      <c r="C36" s="120">
        <f>+'Table A3 - FY97'!AS36+'Table A2 - FY98'!Y36+'Table A1 - FY99'!C36</f>
        <v>0</v>
      </c>
      <c r="D36" s="120">
        <f>+'Table A3 - FY97'!AT36+'Table A2 - FY98'!Z36+'Table A1 - FY99'!D36</f>
        <v>0</v>
      </c>
      <c r="E36" s="120">
        <f t="shared" si="0"/>
        <v>52460034</v>
      </c>
      <c r="G36" s="121">
        <f>'Table A3 - FY97'!AW36+'Table A2 - FY98'!AC36+'Table A1 - FY99'!G36</f>
        <v>9494994</v>
      </c>
      <c r="H36" s="121">
        <f>'Table A3 - FY97'!AX36+'Table A2 - FY98'!AD36+'Table A1 - FY99'!H36</f>
        <v>2018894</v>
      </c>
      <c r="I36" s="121">
        <f>'Table A3 - FY97'!AY36+'Table A2 - FY98'!AE36+'Table A1 - FY99'!I36</f>
        <v>0</v>
      </c>
      <c r="J36" s="121">
        <f>'Table A3 - FY97'!AZ36+'Table A2 - FY98'!AF36+'Table A1 - FY99'!J36</f>
        <v>1249401</v>
      </c>
      <c r="K36" s="121">
        <f>'Table A3 - FY97'!BA36+'Table A2 - FY98'!AG36+'Table A1 - FY99'!K36</f>
        <v>432312</v>
      </c>
      <c r="L36" s="122">
        <f>'Table A3 - FY97'!BB36+'Table A2 - FY98'!AH36+'Table A1 - FY99'!L36</f>
        <v>0</v>
      </c>
      <c r="M36" s="121">
        <f>'Table A3 - FY97'!BC36+'Table A2 - FY98'!AI36+'Table A1 - FY99'!M36</f>
        <v>631993</v>
      </c>
      <c r="N36" s="121">
        <f t="shared" si="1"/>
        <v>13827594</v>
      </c>
      <c r="P36" s="121">
        <f>'Table A3 - FY97'!BF36+'Table A2 - FY98'!AL36+'Table A1 - FY99'!P36</f>
        <v>38632466</v>
      </c>
      <c r="Q36" s="121">
        <f>'Table A3 - FY97'!BG36+'Table A2 - FY98'!AM36+'Table A1 - FY99'!Q36</f>
        <v>0</v>
      </c>
    </row>
    <row r="37" spans="1:17" ht="15">
      <c r="A37" s="125" t="s">
        <v>59</v>
      </c>
      <c r="B37" s="120">
        <f>'Table A3 - FY97'!AR37+'Table A2 - FY98'!X37+'Table A1 - FY99'!B37</f>
        <v>65754919</v>
      </c>
      <c r="C37" s="120">
        <f>+'Table A3 - FY97'!AS37+'Table A2 - FY98'!Y37+'Table A1 - FY99'!C37</f>
        <v>0</v>
      </c>
      <c r="D37" s="120">
        <f>+'Table A3 - FY97'!AT37+'Table A2 - FY98'!Z37+'Table A1 - FY99'!D37</f>
        <v>0</v>
      </c>
      <c r="E37" s="120">
        <f t="shared" si="0"/>
        <v>65754919</v>
      </c>
      <c r="G37" s="121">
        <f>'Table A3 - FY97'!AW37+'Table A2 - FY98'!AC37+'Table A1 - FY99'!G37</f>
        <v>35568231</v>
      </c>
      <c r="H37" s="121">
        <f>'Table A3 - FY97'!AX37+'Table A2 - FY98'!AD37+'Table A1 - FY99'!H37</f>
        <v>12813314</v>
      </c>
      <c r="I37" s="121">
        <f>'Table A3 - FY97'!AY37+'Table A2 - FY98'!AE37+'Table A1 - FY99'!I37</f>
        <v>0</v>
      </c>
      <c r="J37" s="121">
        <f>'Table A3 - FY97'!AZ37+'Table A2 - FY98'!AF37+'Table A1 - FY99'!J37</f>
        <v>6996115</v>
      </c>
      <c r="K37" s="121">
        <f>'Table A3 - FY97'!BA37+'Table A2 - FY98'!AG37+'Table A1 - FY99'!K37</f>
        <v>5720929</v>
      </c>
      <c r="L37" s="122">
        <f>'Table A3 - FY97'!BB37+'Table A2 - FY98'!AH37+'Table A1 - FY99'!L37</f>
        <v>0</v>
      </c>
      <c r="M37" s="121">
        <f>'Table A3 - FY97'!BC37+'Table A2 - FY98'!AI37+'Table A1 - FY99'!M37</f>
        <v>0</v>
      </c>
      <c r="N37" s="121">
        <f t="shared" si="1"/>
        <v>61098589</v>
      </c>
      <c r="P37" s="121">
        <f>'Table A3 - FY97'!BF37+'Table A2 - FY98'!AL37+'Table A1 - FY99'!P37</f>
        <v>0</v>
      </c>
      <c r="Q37" s="121">
        <f>'Table A3 - FY97'!BG37+'Table A2 - FY98'!AM37+'Table A1 - FY99'!Q37</f>
        <v>4656330</v>
      </c>
    </row>
    <row r="38" spans="1:17" ht="15">
      <c r="A38" s="124" t="s">
        <v>60</v>
      </c>
      <c r="B38" s="120">
        <f>'Table A3 - FY97'!AR38+'Table A2 - FY98'!X38+'Table A1 - FY99'!B38</f>
        <v>37728789</v>
      </c>
      <c r="C38" s="120">
        <f>+'Table A3 - FY97'!AS38+'Table A2 - FY98'!Y38+'Table A1 - FY99'!C38</f>
        <v>0</v>
      </c>
      <c r="D38" s="120">
        <f>+'Table A3 - FY97'!AT38+'Table A2 - FY98'!Z38+'Table A1 - FY99'!D38</f>
        <v>0</v>
      </c>
      <c r="E38" s="120">
        <f t="shared" si="0"/>
        <v>37728789</v>
      </c>
      <c r="G38" s="121">
        <f>'Table A3 - FY97'!AW38+'Table A2 - FY98'!AC38+'Table A1 - FY99'!G38</f>
        <v>12539374</v>
      </c>
      <c r="H38" s="121">
        <f>'Table A3 - FY97'!AX38+'Table A2 - FY98'!AD38+'Table A1 - FY99'!H38</f>
        <v>300696</v>
      </c>
      <c r="I38" s="121">
        <f>'Table A3 - FY97'!AY38+'Table A2 - FY98'!AE38+'Table A1 - FY99'!I38</f>
        <v>0</v>
      </c>
      <c r="J38" s="121">
        <f>'Table A3 - FY97'!AZ38+'Table A2 - FY98'!AF38+'Table A1 - FY99'!J38</f>
        <v>2550761</v>
      </c>
      <c r="K38" s="121">
        <f>'Table A3 - FY97'!BA38+'Table A2 - FY98'!AG38+'Table A1 - FY99'!K38</f>
        <v>3247830</v>
      </c>
      <c r="L38" s="122">
        <f>'Table A3 - FY97'!BB38+'Table A2 - FY98'!AH38+'Table A1 - FY99'!L38</f>
        <v>0</v>
      </c>
      <c r="M38" s="121">
        <f>'Table A3 - FY97'!BC38+'Table A2 - FY98'!AI38+'Table A1 - FY99'!M38</f>
        <v>3426915</v>
      </c>
      <c r="N38" s="121">
        <f t="shared" si="1"/>
        <v>22065576</v>
      </c>
      <c r="P38" s="121">
        <f>'Table A3 - FY97'!BF38+'Table A2 - FY98'!AL38+'Table A1 - FY99'!P38</f>
        <v>8876742</v>
      </c>
      <c r="Q38" s="121">
        <f>'Table A3 - FY97'!BG38+'Table A2 - FY98'!AM38+'Table A1 - FY99'!Q38</f>
        <v>6786471</v>
      </c>
    </row>
    <row r="39" spans="1:17" ht="15">
      <c r="A39" s="124" t="s">
        <v>61</v>
      </c>
      <c r="B39" s="120">
        <f>'Table A3 - FY97'!AR39+'Table A2 - FY98'!X39+'Table A1 - FY99'!B39</f>
        <v>25233527</v>
      </c>
      <c r="C39" s="120">
        <f>+'Table A3 - FY97'!AS39+'Table A2 - FY98'!Y39+'Table A1 - FY99'!C39</f>
        <v>0</v>
      </c>
      <c r="D39" s="120">
        <f>+'Table A3 - FY97'!AT39+'Table A2 - FY98'!Z39+'Table A1 - FY99'!D39</f>
        <v>0</v>
      </c>
      <c r="E39" s="120">
        <f t="shared" si="0"/>
        <v>25233527</v>
      </c>
      <c r="G39" s="121">
        <f>'Table A3 - FY97'!AW39+'Table A2 - FY98'!AC39+'Table A1 - FY99'!G39</f>
        <v>5776479</v>
      </c>
      <c r="H39" s="121">
        <f>'Table A3 - FY97'!AX39+'Table A2 - FY98'!AD39+'Table A1 - FY99'!H39</f>
        <v>983882</v>
      </c>
      <c r="I39" s="121">
        <f>'Table A3 - FY97'!AY39+'Table A2 - FY98'!AE39+'Table A1 - FY99'!I39</f>
        <v>0</v>
      </c>
      <c r="J39" s="121">
        <f>'Table A3 - FY97'!AZ39+'Table A2 - FY98'!AF39+'Table A1 - FY99'!J39</f>
        <v>1070474</v>
      </c>
      <c r="K39" s="121">
        <f>'Table A3 - FY97'!BA39+'Table A2 - FY98'!AG39+'Table A1 - FY99'!K39</f>
        <v>1402758</v>
      </c>
      <c r="L39" s="122">
        <f>'Table A3 - FY97'!BB39+'Table A2 - FY98'!AH39+'Table A1 - FY99'!L39</f>
        <v>0</v>
      </c>
      <c r="M39" s="121">
        <f>'Table A3 - FY97'!BC39+'Table A2 - FY98'!AI39+'Table A1 - FY99'!M39</f>
        <v>1224951</v>
      </c>
      <c r="N39" s="121">
        <f t="shared" si="1"/>
        <v>10458544</v>
      </c>
      <c r="P39" s="121">
        <f>'Table A3 - FY97'!BF39+'Table A2 - FY98'!AL39+'Table A1 - FY99'!P39</f>
        <v>0</v>
      </c>
      <c r="Q39" s="121">
        <f>'Table A3 - FY97'!BG39+'Table A2 - FY98'!AM39+'Table A1 - FY99'!Q39</f>
        <v>14774983</v>
      </c>
    </row>
    <row r="40" spans="1:17" ht="15">
      <c r="A40" s="124" t="s">
        <v>62</v>
      </c>
      <c r="B40" s="120">
        <f>'Table A3 - FY97'!AR40+'Table A2 - FY98'!X40+'Table A1 - FY99'!B40</f>
        <v>319381208</v>
      </c>
      <c r="C40" s="120">
        <f>+'Table A3 - FY97'!AS40+'Table A2 - FY98'!Y40+'Table A1 - FY99'!C40</f>
        <v>32699968</v>
      </c>
      <c r="D40" s="120">
        <f>+'Table A3 - FY97'!AT40+'Table A2 - FY98'!Z40+'Table A1 - FY99'!D40</f>
        <v>20201742</v>
      </c>
      <c r="E40" s="120">
        <f t="shared" si="0"/>
        <v>266479498</v>
      </c>
      <c r="G40" s="121">
        <f>'Table A3 - FY97'!AW40+'Table A2 - FY98'!AC40+'Table A1 - FY99'!G40</f>
        <v>21969641</v>
      </c>
      <c r="H40" s="121">
        <f>'Table A3 - FY97'!AX40+'Table A2 - FY98'!AD40+'Table A1 - FY99'!H40</f>
        <v>3859594</v>
      </c>
      <c r="I40" s="121">
        <f>'Table A3 - FY97'!AY40+'Table A2 - FY98'!AE40+'Table A1 - FY99'!I40</f>
        <v>0</v>
      </c>
      <c r="J40" s="121">
        <f>'Table A3 - FY97'!AZ40+'Table A2 - FY98'!AF40+'Table A1 - FY99'!J40</f>
        <v>6697357</v>
      </c>
      <c r="K40" s="121">
        <f>'Table A3 - FY97'!BA40+'Table A2 - FY98'!AG40+'Table A1 - FY99'!K40</f>
        <v>942972</v>
      </c>
      <c r="L40" s="122">
        <f>'Table A3 - FY97'!BB40+'Table A2 - FY98'!AH40+'Table A1 - FY99'!L40</f>
        <v>0</v>
      </c>
      <c r="M40" s="121">
        <f>'Table A3 - FY97'!BC40+'Table A2 - FY98'!AI40+'Table A1 - FY99'!M40</f>
        <v>0</v>
      </c>
      <c r="N40" s="121">
        <f t="shared" si="1"/>
        <v>33469564</v>
      </c>
      <c r="P40" s="121">
        <f>'Table A3 - FY97'!BF40+'Table A2 - FY98'!AL40+'Table A1 - FY99'!P40</f>
        <v>0</v>
      </c>
      <c r="Q40" s="121">
        <f>'Table A3 - FY97'!BG40+'Table A2 - FY98'!AM40+'Table A1 - FY99'!Q40</f>
        <v>233009934</v>
      </c>
    </row>
    <row r="41" spans="1:17" ht="15">
      <c r="A41" s="124" t="s">
        <v>63</v>
      </c>
      <c r="B41" s="120">
        <f>'Table A3 - FY97'!AR41+'Table A2 - FY98'!X41+'Table A1 - FY99'!B41</f>
        <v>135134489</v>
      </c>
      <c r="C41" s="120">
        <f>+'Table A3 - FY97'!AS41+'Table A2 - FY98'!Y41+'Table A1 - FY99'!C41</f>
        <v>4773457</v>
      </c>
      <c r="D41" s="120">
        <f>+'Table A3 - FY97'!AT41+'Table A2 - FY98'!Z41+'Table A1 - FY99'!D41</f>
        <v>0</v>
      </c>
      <c r="E41" s="120">
        <f t="shared" si="0"/>
        <v>130361032</v>
      </c>
      <c r="G41" s="121">
        <f>'Table A3 - FY97'!AW41+'Table A2 - FY98'!AC41+'Table A1 - FY99'!G41</f>
        <v>50770689</v>
      </c>
      <c r="H41" s="121">
        <f>'Table A3 - FY97'!AX41+'Table A2 - FY98'!AD41+'Table A1 - FY99'!H41</f>
        <v>0</v>
      </c>
      <c r="I41" s="121">
        <f>'Table A3 - FY97'!AY41+'Table A2 - FY98'!AE41+'Table A1 - FY99'!I41</f>
        <v>0</v>
      </c>
      <c r="J41" s="121">
        <f>'Table A3 - FY97'!AZ41+'Table A2 - FY98'!AF41+'Table A1 - FY99'!J41</f>
        <v>1363467</v>
      </c>
      <c r="K41" s="121">
        <f>'Table A3 - FY97'!BA41+'Table A2 - FY98'!AG41+'Table A1 - FY99'!K41</f>
        <v>361034</v>
      </c>
      <c r="L41" s="122">
        <f>'Table A3 - FY97'!BB41+'Table A2 - FY98'!AH41+'Table A1 - FY99'!L41</f>
        <v>0</v>
      </c>
      <c r="M41" s="121">
        <f>'Table A3 - FY97'!BC41+'Table A2 - FY98'!AI41+'Table A1 - FY99'!M41</f>
        <v>3230145</v>
      </c>
      <c r="N41" s="121">
        <f t="shared" si="1"/>
        <v>55725335</v>
      </c>
      <c r="P41" s="121">
        <f>'Table A3 - FY97'!BF41+'Table A2 - FY98'!AL41+'Table A1 - FY99'!P41</f>
        <v>4924817</v>
      </c>
      <c r="Q41" s="121">
        <f>'Table A3 - FY97'!BG41+'Table A2 - FY98'!AM41+'Table A1 - FY99'!Q41</f>
        <v>69710880</v>
      </c>
    </row>
    <row r="42" spans="1:17" ht="15">
      <c r="A42" s="124" t="s">
        <v>64</v>
      </c>
      <c r="B42" s="120">
        <f>'Table A3 - FY97'!AR42+'Table A2 - FY98'!X42+'Table A1 - FY99'!B42</f>
        <v>1910520630</v>
      </c>
      <c r="C42" s="120">
        <f>+'Table A3 - FY97'!AS42+'Table A2 - FY98'!Y42+'Table A1 - FY99'!C42</f>
        <v>81600000</v>
      </c>
      <c r="D42" s="120">
        <f>+'Table A3 - FY97'!AT42+'Table A2 - FY98'!Z42+'Table A1 - FY99'!D42</f>
        <v>0</v>
      </c>
      <c r="E42" s="120">
        <f aca="true" t="shared" si="2" ref="E42:E60">B42-C42-D42</f>
        <v>1828920630</v>
      </c>
      <c r="G42" s="121">
        <f>'Table A3 - FY97'!AW42+'Table A2 - FY98'!AC42+'Table A1 - FY99'!G42</f>
        <v>577598605</v>
      </c>
      <c r="H42" s="121">
        <f>'Table A3 - FY97'!AX42+'Table A2 - FY98'!AD42+'Table A1 - FY99'!H42</f>
        <v>44434080</v>
      </c>
      <c r="I42" s="121">
        <f>'Table A3 - FY97'!AY42+'Table A2 - FY98'!AE42+'Table A1 - FY99'!I42</f>
        <v>0</v>
      </c>
      <c r="J42" s="121">
        <f>'Table A3 - FY97'!AZ42+'Table A2 - FY98'!AF42+'Table A1 - FY99'!J42</f>
        <v>134849386</v>
      </c>
      <c r="K42" s="121">
        <f>'Table A3 - FY97'!BA42+'Table A2 - FY98'!AG42+'Table A1 - FY99'!K42</f>
        <v>3301109</v>
      </c>
      <c r="L42" s="122">
        <f>'Table A3 - FY97'!BB42+'Table A2 - FY98'!AH42+'Table A1 - FY99'!L42</f>
        <v>0</v>
      </c>
      <c r="M42" s="121">
        <f>'Table A3 - FY97'!BC42+'Table A2 - FY98'!AI42+'Table A1 - FY99'!M42</f>
        <v>120533860</v>
      </c>
      <c r="N42" s="121">
        <f aca="true" t="shared" si="3" ref="N42:N60">SUM(G42:M42)</f>
        <v>880717040</v>
      </c>
      <c r="P42" s="121">
        <f>'Table A3 - FY97'!BF42+'Table A2 - FY98'!AL42+'Table A1 - FY99'!P42</f>
        <v>178959313</v>
      </c>
      <c r="Q42" s="121">
        <f>'Table A3 - FY97'!BG42+'Table A2 - FY98'!AM42+'Table A1 - FY99'!Q42</f>
        <v>769244277</v>
      </c>
    </row>
    <row r="43" spans="1:17" ht="15">
      <c r="A43" s="124" t="s">
        <v>65</v>
      </c>
      <c r="B43" s="120">
        <f>'Table A3 - FY97'!AR43+'Table A2 - FY98'!X43+'Table A1 - FY99'!B43</f>
        <v>253073401</v>
      </c>
      <c r="C43" s="120">
        <f>+'Table A3 - FY97'!AS43+'Table A2 - FY98'!Y43+'Table A1 - FY99'!C43</f>
        <v>35361517</v>
      </c>
      <c r="D43" s="120">
        <f>+'Table A3 - FY97'!AT43+'Table A2 - FY98'!Z43+'Table A1 - FY99'!D43</f>
        <v>2540805</v>
      </c>
      <c r="E43" s="120">
        <f t="shared" si="2"/>
        <v>215171079</v>
      </c>
      <c r="G43" s="121">
        <f>'Table A3 - FY97'!AW43+'Table A2 - FY98'!AC43+'Table A1 - FY99'!G43</f>
        <v>90496024</v>
      </c>
      <c r="H43" s="121">
        <f>'Table A3 - FY97'!AX43+'Table A2 - FY98'!AD43+'Table A1 - FY99'!H43</f>
        <v>382323</v>
      </c>
      <c r="I43" s="121">
        <f>'Table A3 - FY97'!AY43+'Table A2 - FY98'!AE43+'Table A1 - FY99'!I43</f>
        <v>472767</v>
      </c>
      <c r="J43" s="121">
        <f>'Table A3 - FY97'!AZ43+'Table A2 - FY98'!AF43+'Table A1 - FY99'!J43</f>
        <v>2479163</v>
      </c>
      <c r="K43" s="121">
        <f>'Table A3 - FY97'!BA43+'Table A2 - FY98'!AG43+'Table A1 - FY99'!K43</f>
        <v>-1789</v>
      </c>
      <c r="L43" s="122">
        <f>'Table A3 - FY97'!BB43+'Table A2 - FY98'!AH43+'Table A1 - FY99'!L43</f>
        <v>13392</v>
      </c>
      <c r="M43" s="121">
        <f>'Table A3 - FY97'!BC43+'Table A2 - FY98'!AI43+'Table A1 - FY99'!M43</f>
        <v>21328420</v>
      </c>
      <c r="N43" s="121">
        <f t="shared" si="3"/>
        <v>115170300</v>
      </c>
      <c r="P43" s="121">
        <f>'Table A3 - FY97'!BF43+'Table A2 - FY98'!AL43+'Table A1 - FY99'!P43</f>
        <v>0</v>
      </c>
      <c r="Q43" s="121">
        <f>'Table A3 - FY97'!BG43+'Table A2 - FY98'!AM43+'Table A1 - FY99'!Q43</f>
        <v>99998990</v>
      </c>
    </row>
    <row r="44" spans="1:17" ht="15">
      <c r="A44" s="124" t="s">
        <v>99</v>
      </c>
      <c r="B44" s="120">
        <f>'Table A3 - FY97'!AR44+'Table A2 - FY98'!X44+'Table A1 - FY99'!B44</f>
        <v>20258097</v>
      </c>
      <c r="C44" s="120">
        <f>+'Table A3 - FY97'!AS44+'Table A2 - FY98'!Y44+'Table A1 - FY99'!C44</f>
        <v>0</v>
      </c>
      <c r="D44" s="120">
        <f>+'Table A3 - FY97'!AT44+'Table A2 - FY98'!Z44+'Table A1 - FY99'!D44</f>
        <v>0</v>
      </c>
      <c r="E44" s="120">
        <f t="shared" si="2"/>
        <v>20258097</v>
      </c>
      <c r="G44" s="121">
        <f>'Table A3 - FY97'!AW44+'Table A2 - FY98'!AC44+'Table A1 - FY99'!G44</f>
        <v>6547840</v>
      </c>
      <c r="H44" s="121">
        <f>'Table A3 - FY97'!AX44+'Table A2 - FY98'!AD44+'Table A1 - FY99'!H44</f>
        <v>786221</v>
      </c>
      <c r="I44" s="121">
        <f>'Table A3 - FY97'!AY44+'Table A2 - FY98'!AE44+'Table A1 - FY99'!I44</f>
        <v>0</v>
      </c>
      <c r="J44" s="121">
        <f>'Table A3 - FY97'!AZ44+'Table A2 - FY98'!AF44+'Table A1 - FY99'!J44</f>
        <v>659425</v>
      </c>
      <c r="K44" s="121">
        <f>'Table A3 - FY97'!BA44+'Table A2 - FY98'!AG44+'Table A1 - FY99'!K44</f>
        <v>1587698</v>
      </c>
      <c r="L44" s="122">
        <f>'Table A3 - FY97'!BB44+'Table A2 - FY98'!AH44+'Table A1 - FY99'!L44</f>
        <v>0</v>
      </c>
      <c r="M44" s="121">
        <f>'Table A3 - FY97'!BC44+'Table A2 - FY98'!AI44+'Table A1 - FY99'!M44</f>
        <v>622764</v>
      </c>
      <c r="N44" s="121">
        <f t="shared" si="3"/>
        <v>10203948</v>
      </c>
      <c r="P44" s="121">
        <f>'Table A3 - FY97'!BF44+'Table A2 - FY98'!AL44+'Table A1 - FY99'!P44</f>
        <v>0</v>
      </c>
      <c r="Q44" s="121">
        <f>'Table A3 - FY97'!BG44+'Table A2 - FY98'!AM44+'Table A1 - FY99'!Q44</f>
        <v>10054149</v>
      </c>
    </row>
    <row r="45" spans="1:17" ht="15">
      <c r="A45" s="124" t="s">
        <v>67</v>
      </c>
      <c r="B45" s="120">
        <f>'Table A3 - FY97'!AR45+'Table A2 - FY98'!X45+'Table A1 - FY99'!B45</f>
        <v>648463254</v>
      </c>
      <c r="C45" s="120">
        <f>+'Table A3 - FY97'!AS45+'Table A2 - FY98'!Y45+'Table A1 - FY99'!C45</f>
        <v>0</v>
      </c>
      <c r="D45" s="120">
        <f>+'Table A3 - FY97'!AT45+'Table A2 - FY98'!Z45+'Table A1 - FY99'!D45</f>
        <v>145593652</v>
      </c>
      <c r="E45" s="120">
        <f t="shared" si="2"/>
        <v>502869602</v>
      </c>
      <c r="G45" s="121">
        <f>'Table A3 - FY97'!AW45+'Table A2 - FY98'!AC45+'Table A1 - FY99'!G45</f>
        <v>243239</v>
      </c>
      <c r="H45" s="121">
        <f>'Table A3 - FY97'!AX45+'Table A2 - FY98'!AD45+'Table A1 - FY99'!H45</f>
        <v>1668851</v>
      </c>
      <c r="I45" s="121">
        <f>'Table A3 - FY97'!AY45+'Table A2 - FY98'!AE45+'Table A1 - FY99'!I45</f>
        <v>2834693</v>
      </c>
      <c r="J45" s="121">
        <f>'Table A3 - FY97'!AZ45+'Table A2 - FY98'!AF45+'Table A1 - FY99'!J45</f>
        <v>17905262</v>
      </c>
      <c r="K45" s="121">
        <f>'Table A3 - FY97'!BA45+'Table A2 - FY98'!AG45+'Table A1 - FY99'!K45</f>
        <v>9600380</v>
      </c>
      <c r="L45" s="122">
        <f>'Table A3 - FY97'!BB45+'Table A2 - FY98'!AH45+'Table A1 - FY99'!L45</f>
        <v>0</v>
      </c>
      <c r="M45" s="121">
        <f>'Table A3 - FY97'!BC45+'Table A2 - FY98'!AI45+'Table A1 - FY99'!M45</f>
        <v>26045797</v>
      </c>
      <c r="N45" s="121">
        <f t="shared" si="3"/>
        <v>58298222</v>
      </c>
      <c r="P45" s="121">
        <f>'Table A3 - FY97'!BF45+'Table A2 - FY98'!AL45+'Table A1 - FY99'!P45</f>
        <v>444570956</v>
      </c>
      <c r="Q45" s="121">
        <f>'Table A3 - FY97'!BG45+'Table A2 - FY98'!AM45+'Table A1 - FY99'!Q45</f>
        <v>0</v>
      </c>
    </row>
    <row r="46" spans="1:17" ht="15">
      <c r="A46" s="124" t="s">
        <v>68</v>
      </c>
      <c r="B46" s="120">
        <f>'Table A3 - FY97'!AR46+'Table A2 - FY98'!X46+'Table A1 - FY99'!B46</f>
        <v>183784922</v>
      </c>
      <c r="C46" s="120">
        <f>+'Table A3 - FY97'!AS46+'Table A2 - FY98'!Y46+'Table A1 - FY99'!C46</f>
        <v>5355519</v>
      </c>
      <c r="D46" s="120">
        <f>+'Table A3 - FY97'!AT46+'Table A2 - FY98'!Z46+'Table A1 - FY99'!D46</f>
        <v>5200000</v>
      </c>
      <c r="E46" s="120">
        <f t="shared" si="2"/>
        <v>173229403</v>
      </c>
      <c r="G46" s="121">
        <f>'Table A3 - FY97'!AW46+'Table A2 - FY98'!AC46+'Table A1 - FY99'!G46</f>
        <v>19281812</v>
      </c>
      <c r="H46" s="121">
        <f>'Table A3 - FY97'!AX46+'Table A2 - FY98'!AD46+'Table A1 - FY99'!H46</f>
        <v>11142684</v>
      </c>
      <c r="I46" s="121">
        <f>'Table A3 - FY97'!AY46+'Table A2 - FY98'!AE46+'Table A1 - FY99'!I46</f>
        <v>2671085</v>
      </c>
      <c r="J46" s="121">
        <f>'Table A3 - FY97'!AZ46+'Table A2 - FY98'!AF46+'Table A1 - FY99'!J46</f>
        <v>1836682</v>
      </c>
      <c r="K46" s="121">
        <f>'Table A3 - FY97'!BA46+'Table A2 - FY98'!AG46+'Table A1 - FY99'!K46</f>
        <v>421505</v>
      </c>
      <c r="L46" s="122">
        <f>'Table A3 - FY97'!BB46+'Table A2 - FY98'!AH46+'Table A1 - FY99'!L46</f>
        <v>0</v>
      </c>
      <c r="M46" s="121">
        <f>'Table A3 - FY97'!BC46+'Table A2 - FY98'!AI46+'Table A1 - FY99'!M46</f>
        <v>5711317</v>
      </c>
      <c r="N46" s="121">
        <f t="shared" si="3"/>
        <v>41065085</v>
      </c>
      <c r="P46" s="121">
        <f>'Table A3 - FY97'!BF46+'Table A2 - FY98'!AL46+'Table A1 - FY99'!P46</f>
        <v>0</v>
      </c>
      <c r="Q46" s="121">
        <f>'Table A3 - FY97'!BG46+'Table A2 - FY98'!AM46+'Table A1 - FY99'!Q46</f>
        <v>132164316</v>
      </c>
    </row>
    <row r="47" spans="1:17" ht="15">
      <c r="A47" s="124" t="s">
        <v>100</v>
      </c>
      <c r="B47" s="120">
        <f>'Table A3 - FY97'!AR47+'Table A2 - FY98'!X47+'Table A1 - FY99'!B47</f>
        <v>219465666</v>
      </c>
      <c r="C47" s="120">
        <f>+'Table A3 - FY97'!AS47+'Table A2 - FY98'!Y47+'Table A1 - FY99'!C47</f>
        <v>0</v>
      </c>
      <c r="D47" s="120">
        <f>+'Table A3 - FY97'!AT47+'Table A2 - FY98'!Z47+'Table A1 - FY99'!D47</f>
        <v>0</v>
      </c>
      <c r="E47" s="120">
        <f t="shared" si="2"/>
        <v>219465666</v>
      </c>
      <c r="G47" s="121">
        <f>'Table A3 - FY97'!AW47+'Table A2 - FY98'!AC47+'Table A1 - FY99'!G47</f>
        <v>29904722</v>
      </c>
      <c r="H47" s="121">
        <f>'Table A3 - FY97'!AX47+'Table A2 - FY98'!AD47+'Table A1 - FY99'!H47</f>
        <v>8087815</v>
      </c>
      <c r="I47" s="121">
        <f>'Table A3 - FY97'!AY47+'Table A2 - FY98'!AE47+'Table A1 - FY99'!I47</f>
        <v>2882153</v>
      </c>
      <c r="J47" s="121">
        <f>'Table A3 - FY97'!AZ47+'Table A2 - FY98'!AF47+'Table A1 - FY99'!J47</f>
        <v>6922660</v>
      </c>
      <c r="K47" s="121">
        <f>'Table A3 - FY97'!BA47+'Table A2 - FY98'!AG47+'Table A1 - FY99'!K47</f>
        <v>2353832</v>
      </c>
      <c r="L47" s="122">
        <f>'Table A3 - FY97'!BB47+'Table A2 - FY98'!AH47+'Table A1 - FY99'!L47</f>
        <v>0</v>
      </c>
      <c r="M47" s="121">
        <f>'Table A3 - FY97'!BC47+'Table A2 - FY98'!AI47+'Table A1 - FY99'!M47</f>
        <v>368794</v>
      </c>
      <c r="N47" s="121">
        <f t="shared" si="3"/>
        <v>50519976</v>
      </c>
      <c r="P47" s="121">
        <f>'Table A3 - FY97'!BF47+'Table A2 - FY98'!AL47+'Table A1 - FY99'!P47</f>
        <v>168945690</v>
      </c>
      <c r="Q47" s="121">
        <f>'Table A3 - FY97'!BG47+'Table A2 - FY98'!AM47+'Table A1 - FY99'!Q47</f>
        <v>0</v>
      </c>
    </row>
    <row r="48" spans="1:17" ht="15">
      <c r="A48" s="124" t="s">
        <v>70</v>
      </c>
      <c r="B48" s="120">
        <f>'Table A3 - FY97'!AR48+'Table A2 - FY98'!X48+'Table A1 - FY99'!B48</f>
        <v>642674250</v>
      </c>
      <c r="C48" s="120">
        <f>+'Table A3 - FY97'!AS48+'Table A2 - FY98'!Y48+'Table A1 - FY99'!C48</f>
        <v>33368000</v>
      </c>
      <c r="D48" s="120">
        <f>+'Table A3 - FY97'!AT48+'Table A2 - FY98'!Z48+'Table A1 - FY99'!D48</f>
        <v>0</v>
      </c>
      <c r="E48" s="120">
        <f t="shared" si="2"/>
        <v>609306250</v>
      </c>
      <c r="G48" s="121">
        <f>'Table A3 - FY97'!AW48+'Table A2 - FY98'!AC48+'Table A1 - FY99'!G48</f>
        <v>218880289</v>
      </c>
      <c r="H48" s="121">
        <f>'Table A3 - FY97'!AX48+'Table A2 - FY98'!AD48+'Table A1 - FY99'!H48</f>
        <v>10087444</v>
      </c>
      <c r="I48" s="121">
        <f>'Table A3 - FY97'!AY48+'Table A2 - FY98'!AE48+'Table A1 - FY99'!I48</f>
        <v>0</v>
      </c>
      <c r="J48" s="121">
        <f>'Table A3 - FY97'!AZ48+'Table A2 - FY98'!AF48+'Table A1 - FY99'!J48</f>
        <v>25953461</v>
      </c>
      <c r="K48" s="121">
        <f>'Table A3 - FY97'!BA48+'Table A2 - FY98'!AG48+'Table A1 - FY99'!K48</f>
        <v>1578805</v>
      </c>
      <c r="L48" s="122">
        <f>'Table A3 - FY97'!BB48+'Table A2 - FY98'!AH48+'Table A1 - FY99'!L48</f>
        <v>0</v>
      </c>
      <c r="M48" s="121">
        <f>'Table A3 - FY97'!BC48+'Table A2 - FY98'!AI48+'Table A1 - FY99'!M48</f>
        <v>117792203</v>
      </c>
      <c r="N48" s="121">
        <f t="shared" si="3"/>
        <v>374292202</v>
      </c>
      <c r="P48" s="121">
        <f>'Table A3 - FY97'!BF48+'Table A2 - FY98'!AL48+'Table A1 - FY99'!P48</f>
        <v>82750684</v>
      </c>
      <c r="Q48" s="121">
        <f>'Table A3 - FY97'!BG48+'Table A2 - FY98'!AM48+'Table A1 - FY99'!Q48</f>
        <v>152263364</v>
      </c>
    </row>
    <row r="49" spans="1:17" ht="15">
      <c r="A49" s="124" t="s">
        <v>71</v>
      </c>
      <c r="B49" s="120">
        <f>'Table A3 - FY97'!AR49+'Table A2 - FY98'!X49+'Table A1 - FY99'!B49</f>
        <v>61943764</v>
      </c>
      <c r="C49" s="120">
        <f>+'Table A3 - FY97'!AS49+'Table A2 - FY98'!Y49+'Table A1 - FY99'!C49</f>
        <v>0</v>
      </c>
      <c r="D49" s="120">
        <f>+'Table A3 - FY97'!AT49+'Table A2 - FY98'!Z49+'Table A1 - FY99'!D49</f>
        <v>0</v>
      </c>
      <c r="E49" s="120">
        <f t="shared" si="2"/>
        <v>61943764</v>
      </c>
      <c r="G49" s="121">
        <f>'Table A3 - FY97'!AW49+'Table A2 - FY98'!AC49+'Table A1 - FY99'!G49</f>
        <v>33426908</v>
      </c>
      <c r="H49" s="121">
        <f>'Table A3 - FY97'!AX49+'Table A2 - FY98'!AD49+'Table A1 - FY99'!H49</f>
        <v>2315228</v>
      </c>
      <c r="I49" s="121">
        <f>'Table A3 - FY97'!AY49+'Table A2 - FY98'!AE49+'Table A1 - FY99'!I49</f>
        <v>0</v>
      </c>
      <c r="J49" s="121">
        <f>'Table A3 - FY97'!AZ49+'Table A2 - FY98'!AF49+'Table A1 - FY99'!J49</f>
        <v>5148685</v>
      </c>
      <c r="K49" s="121">
        <f>'Table A3 - FY97'!BA49+'Table A2 - FY98'!AG49+'Table A1 - FY99'!K49</f>
        <v>585798</v>
      </c>
      <c r="L49" s="122">
        <f>'Table A3 - FY97'!BB49+'Table A2 - FY98'!AH49+'Table A1 - FY99'!L49</f>
        <v>0</v>
      </c>
      <c r="M49" s="121">
        <f>'Table A3 - FY97'!BC49+'Table A2 - FY98'!AI49+'Table A1 - FY99'!M49</f>
        <v>0</v>
      </c>
      <c r="N49" s="121">
        <f t="shared" si="3"/>
        <v>41476619</v>
      </c>
      <c r="P49" s="121">
        <f>'Table A3 - FY97'!BF49+'Table A2 - FY98'!AL49+'Table A1 - FY99'!P49</f>
        <v>0</v>
      </c>
      <c r="Q49" s="121">
        <f>'Table A3 - FY97'!BG49+'Table A2 - FY98'!AM49+'Table A1 - FY99'!Q49</f>
        <v>20467145</v>
      </c>
    </row>
    <row r="50" spans="1:17" ht="15">
      <c r="A50" s="124" t="s">
        <v>72</v>
      </c>
      <c r="B50" s="120">
        <f>'Table A3 - FY97'!AR50+'Table A2 - FY98'!X50+'Table A1 - FY99'!B50</f>
        <v>84710273</v>
      </c>
      <c r="C50" s="120">
        <f>+'Table A3 - FY97'!AS50+'Table A2 - FY98'!Y50+'Table A1 - FY99'!C50</f>
        <v>0</v>
      </c>
      <c r="D50" s="120">
        <f>+'Table A3 - FY97'!AT50+'Table A2 - FY98'!Z50+'Table A1 - FY99'!D50</f>
        <v>4384067</v>
      </c>
      <c r="E50" s="120">
        <f t="shared" si="2"/>
        <v>80326206</v>
      </c>
      <c r="G50" s="121">
        <f>'Table A3 - FY97'!AW50+'Table A2 - FY98'!AC50+'Table A1 - FY99'!G50</f>
        <v>11358138</v>
      </c>
      <c r="H50" s="121">
        <f>'Table A3 - FY97'!AX50+'Table A2 - FY98'!AD50+'Table A1 - FY99'!H50</f>
        <v>6955836</v>
      </c>
      <c r="I50" s="121">
        <f>'Table A3 - FY97'!AY50+'Table A2 - FY98'!AE50+'Table A1 - FY99'!I50</f>
        <v>0</v>
      </c>
      <c r="J50" s="121">
        <f>'Table A3 - FY97'!AZ50+'Table A2 - FY98'!AF50+'Table A1 - FY99'!J50</f>
        <v>3810837</v>
      </c>
      <c r="K50" s="121">
        <f>'Table A3 - FY97'!BA50+'Table A2 - FY98'!AG50+'Table A1 - FY99'!K50</f>
        <v>1451330</v>
      </c>
      <c r="L50" s="122">
        <f>'Table A3 - FY97'!BB50+'Table A2 - FY98'!AH50+'Table A1 - FY99'!L50</f>
        <v>0</v>
      </c>
      <c r="M50" s="121">
        <f>'Table A3 - FY97'!BC50+'Table A2 - FY98'!AI50+'Table A1 - FY99'!M50</f>
        <v>5396665</v>
      </c>
      <c r="N50" s="121">
        <f t="shared" si="3"/>
        <v>28972806</v>
      </c>
      <c r="P50" s="121">
        <f>'Table A3 - FY97'!BF50+'Table A2 - FY98'!AL50+'Table A1 - FY99'!P50</f>
        <v>0</v>
      </c>
      <c r="Q50" s="121">
        <f>'Table A3 - FY97'!BG50+'Table A2 - FY98'!AM50+'Table A1 - FY99'!Q50</f>
        <v>51353400</v>
      </c>
    </row>
    <row r="51" spans="1:17" ht="15">
      <c r="A51" s="124" t="s">
        <v>73</v>
      </c>
      <c r="B51" s="120">
        <f>'Table A3 - FY97'!AR51+'Table A2 - FY98'!X51+'Table A1 - FY99'!B51</f>
        <v>22540874</v>
      </c>
      <c r="C51" s="120">
        <f>+'Table A3 - FY97'!AS51+'Table A2 - FY98'!Y51+'Table A1 - FY99'!C51</f>
        <v>0</v>
      </c>
      <c r="D51" s="120">
        <f>+'Table A3 - FY97'!AT51+'Table A2 - FY98'!Z51+'Table A1 - FY99'!D51</f>
        <v>0</v>
      </c>
      <c r="E51" s="120">
        <f t="shared" si="2"/>
        <v>22540874</v>
      </c>
      <c r="G51" s="121">
        <f>'Table A3 - FY97'!AW51+'Table A2 - FY98'!AC51+'Table A1 - FY99'!G51</f>
        <v>3040456</v>
      </c>
      <c r="H51" s="121">
        <f>'Table A3 - FY97'!AX51+'Table A2 - FY98'!AD51+'Table A1 - FY99'!H51</f>
        <v>685783</v>
      </c>
      <c r="I51" s="121">
        <f>'Table A3 - FY97'!AY51+'Table A2 - FY98'!AE51+'Table A1 - FY99'!I51</f>
        <v>0</v>
      </c>
      <c r="J51" s="121">
        <f>'Table A3 - FY97'!AZ51+'Table A2 - FY98'!AF51+'Table A1 - FY99'!J51</f>
        <v>559023</v>
      </c>
      <c r="K51" s="121">
        <f>'Table A3 - FY97'!BA51+'Table A2 - FY98'!AG51+'Table A1 - FY99'!K51</f>
        <v>18918</v>
      </c>
      <c r="L51" s="122">
        <f>'Table A3 - FY97'!BB51+'Table A2 - FY98'!AH51+'Table A1 - FY99'!L51</f>
        <v>0</v>
      </c>
      <c r="M51" s="121">
        <f>'Table A3 - FY97'!BC51+'Table A2 - FY98'!AI51+'Table A1 - FY99'!M51</f>
        <v>1917529</v>
      </c>
      <c r="N51" s="121">
        <f t="shared" si="3"/>
        <v>6221709</v>
      </c>
      <c r="P51" s="121">
        <f>'Table A3 - FY97'!BF51+'Table A2 - FY98'!AL51+'Table A1 - FY99'!P51</f>
        <v>3365964</v>
      </c>
      <c r="Q51" s="121">
        <f>'Table A3 - FY97'!BG51+'Table A2 - FY98'!AM51+'Table A1 - FY99'!Q51</f>
        <v>12953201</v>
      </c>
    </row>
    <row r="52" spans="1:17" ht="15">
      <c r="A52" s="124" t="s">
        <v>101</v>
      </c>
      <c r="B52" s="120">
        <f>'Table A3 - FY97'!AR52+'Table A2 - FY98'!X52+'Table A1 - FY99'!B52</f>
        <v>244348409</v>
      </c>
      <c r="C52" s="120">
        <f>+'Table A3 - FY97'!AS52+'Table A2 - FY98'!Y52+'Table A1 - FY99'!C52</f>
        <v>15900869</v>
      </c>
      <c r="D52" s="120">
        <f>+'Table A3 - FY97'!AT52+'Table A2 - FY98'!Z52+'Table A1 - FY99'!D52</f>
        <v>0</v>
      </c>
      <c r="E52" s="120">
        <f t="shared" si="2"/>
        <v>228447540</v>
      </c>
      <c r="G52" s="121">
        <f>'Table A3 - FY97'!AW52+'Table A2 - FY98'!AC52+'Table A1 - FY99'!G52</f>
        <v>39416473</v>
      </c>
      <c r="H52" s="121">
        <f>'Table A3 - FY97'!AX52+'Table A2 - FY98'!AD52+'Table A1 - FY99'!H52</f>
        <v>6699628</v>
      </c>
      <c r="I52" s="121">
        <f>'Table A3 - FY97'!AY52+'Table A2 - FY98'!AE52+'Table A1 - FY99'!I52</f>
        <v>2780855</v>
      </c>
      <c r="J52" s="121">
        <f>'Table A3 - FY97'!AZ52+'Table A2 - FY98'!AF52+'Table A1 - FY99'!J52</f>
        <v>3033367</v>
      </c>
      <c r="K52" s="121">
        <f>'Table A3 - FY97'!BA52+'Table A2 - FY98'!AG52+'Table A1 - FY99'!K52</f>
        <v>2051664</v>
      </c>
      <c r="L52" s="122">
        <f>'Table A3 - FY97'!BB52+'Table A2 - FY98'!AH52+'Table A1 - FY99'!L52</f>
        <v>0</v>
      </c>
      <c r="M52" s="121">
        <f>'Table A3 - FY97'!BC52+'Table A2 - FY98'!AI52+'Table A1 - FY99'!M52</f>
        <v>2708082</v>
      </c>
      <c r="N52" s="121">
        <f t="shared" si="3"/>
        <v>56690069</v>
      </c>
      <c r="P52" s="121">
        <f>'Table A3 - FY97'!BF52+'Table A2 - FY98'!AL52+'Table A1 - FY99'!P52</f>
        <v>36911784</v>
      </c>
      <c r="Q52" s="121">
        <f>'Table A3 - FY97'!BG52+'Table A2 - FY98'!AM52+'Table A1 - FY99'!Q52</f>
        <v>134845687</v>
      </c>
    </row>
    <row r="53" spans="1:17" ht="15">
      <c r="A53" s="124" t="s">
        <v>75</v>
      </c>
      <c r="B53" s="120">
        <f>'Table A3 - FY97'!AR53+'Table A2 - FY98'!X53+'Table A1 - FY99'!B53</f>
        <v>427790112</v>
      </c>
      <c r="C53" s="120">
        <f>+'Table A3 - FY97'!AS53+'Table A2 - FY98'!Y53+'Table A1 - FY99'!C53</f>
        <v>0</v>
      </c>
      <c r="D53" s="120">
        <f>+'Table A3 - FY97'!AT53+'Table A2 - FY98'!Z53+'Table A1 - FY99'!D53</f>
        <v>10052759</v>
      </c>
      <c r="E53" s="120">
        <f t="shared" si="2"/>
        <v>417737353</v>
      </c>
      <c r="G53" s="121">
        <f>'Table A3 - FY97'!AW53+'Table A2 - FY98'!AC53+'Table A1 - FY99'!G53</f>
        <v>69849659</v>
      </c>
      <c r="H53" s="121">
        <f>'Table A3 - FY97'!AX53+'Table A2 - FY98'!AD53+'Table A1 - FY99'!H53</f>
        <v>27790940</v>
      </c>
      <c r="I53" s="121">
        <f>'Table A3 - FY97'!AY53+'Table A2 - FY98'!AE53+'Table A1 - FY99'!I53</f>
        <v>0</v>
      </c>
      <c r="J53" s="121">
        <f>'Table A3 - FY97'!AZ53+'Table A2 - FY98'!AF53+'Table A1 - FY99'!J53</f>
        <v>20963763</v>
      </c>
      <c r="K53" s="121">
        <f>'Table A3 - FY97'!BA53+'Table A2 - FY98'!AG53+'Table A1 - FY99'!K53</f>
        <v>5116366</v>
      </c>
      <c r="L53" s="122">
        <f>'Table A3 - FY97'!BB53+'Table A2 - FY98'!AH53+'Table A1 - FY99'!L53</f>
        <v>0</v>
      </c>
      <c r="M53" s="121">
        <f>'Table A3 - FY97'!BC53+'Table A2 - FY98'!AI53+'Table A1 - FY99'!M53</f>
        <v>75367273</v>
      </c>
      <c r="N53" s="121">
        <f t="shared" si="3"/>
        <v>199088001</v>
      </c>
      <c r="P53" s="121">
        <f>'Table A3 - FY97'!BF53+'Table A2 - FY98'!AL53+'Table A1 - FY99'!P53</f>
        <v>218649352</v>
      </c>
      <c r="Q53" s="121">
        <f>'Table A3 - FY97'!BG53+'Table A2 - FY98'!AM53+'Table A1 - FY99'!Q53</f>
        <v>0</v>
      </c>
    </row>
    <row r="54" spans="1:17" ht="15">
      <c r="A54" s="124" t="s">
        <v>76</v>
      </c>
      <c r="B54" s="120">
        <f>'Table A3 - FY97'!AR54+'Table A2 - FY98'!X54+'Table A1 - FY99'!B54</f>
        <v>54610112</v>
      </c>
      <c r="C54" s="120">
        <f>+'Table A3 - FY97'!AS54+'Table A2 - FY98'!Y54+'Table A1 - FY99'!C54</f>
        <v>0</v>
      </c>
      <c r="D54" s="120">
        <f>+'Table A3 - FY97'!AT54+'Table A2 - FY98'!Z54+'Table A1 - FY99'!D54</f>
        <v>0</v>
      </c>
      <c r="E54" s="120">
        <f t="shared" si="2"/>
        <v>54610112</v>
      </c>
      <c r="G54" s="121">
        <f>'Table A3 - FY97'!AW54+'Table A2 - FY98'!AC54+'Table A1 - FY99'!G54</f>
        <v>12157769</v>
      </c>
      <c r="H54" s="121">
        <f>'Table A3 - FY97'!AX54+'Table A2 - FY98'!AD54+'Table A1 - FY99'!H54</f>
        <v>6743804</v>
      </c>
      <c r="I54" s="121">
        <f>'Table A3 - FY97'!AY54+'Table A2 - FY98'!AE54+'Table A1 - FY99'!I54</f>
        <v>0</v>
      </c>
      <c r="J54" s="121">
        <f>'Table A3 - FY97'!AZ54+'Table A2 - FY98'!AF54+'Table A1 - FY99'!J54</f>
        <v>2154856</v>
      </c>
      <c r="K54" s="121">
        <f>'Table A3 - FY97'!BA54+'Table A2 - FY98'!AG54+'Table A1 - FY99'!K54</f>
        <v>223044</v>
      </c>
      <c r="L54" s="122">
        <f>'Table A3 - FY97'!BB54+'Table A2 - FY98'!AH54+'Table A1 - FY99'!L54</f>
        <v>13210</v>
      </c>
      <c r="M54" s="121">
        <f>'Table A3 - FY97'!BC54+'Table A2 - FY98'!AI54+'Table A1 - FY99'!M54</f>
        <v>0</v>
      </c>
      <c r="N54" s="121">
        <f t="shared" si="3"/>
        <v>21292683</v>
      </c>
      <c r="P54" s="121">
        <f>'Table A3 - FY97'!BF54+'Table A2 - FY98'!AL54+'Table A1 - FY99'!P54</f>
        <v>0</v>
      </c>
      <c r="Q54" s="121">
        <f>'Table A3 - FY97'!BG54+'Table A2 - FY98'!AM54+'Table A1 - FY99'!Q54</f>
        <v>33317429</v>
      </c>
    </row>
    <row r="55" spans="1:17" ht="15">
      <c r="A55" s="124" t="s">
        <v>77</v>
      </c>
      <c r="B55" s="120">
        <f>'Table A3 - FY97'!AR55+'Table A2 - FY98'!X55+'Table A1 - FY99'!B55</f>
        <v>34776002</v>
      </c>
      <c r="C55" s="120">
        <f>+'Table A3 - FY97'!AS55+'Table A2 - FY98'!Y55+'Table A1 - FY99'!C55</f>
        <v>3244022</v>
      </c>
      <c r="D55" s="120">
        <f>+'Table A3 - FY97'!AT55+'Table A2 - FY98'!Z55+'Table A1 - FY99'!D55</f>
        <v>2367659</v>
      </c>
      <c r="E55" s="120">
        <f t="shared" si="2"/>
        <v>29164321</v>
      </c>
      <c r="G55" s="121">
        <f>'Table A3 - FY97'!AW55+'Table A2 - FY98'!AC55+'Table A1 - FY99'!G55</f>
        <v>13254534</v>
      </c>
      <c r="H55" s="121">
        <f>'Table A3 - FY97'!AX55+'Table A2 - FY98'!AD55+'Table A1 - FY99'!H55</f>
        <v>44780</v>
      </c>
      <c r="I55" s="121">
        <f>'Table A3 - FY97'!AY55+'Table A2 - FY98'!AE55+'Table A1 - FY99'!I55</f>
        <v>140226</v>
      </c>
      <c r="J55" s="121">
        <f>'Table A3 - FY97'!AZ55+'Table A2 - FY98'!AF55+'Table A1 - FY99'!J55</f>
        <v>2265514</v>
      </c>
      <c r="K55" s="121">
        <f>'Table A3 - FY97'!BA55+'Table A2 - FY98'!AG55+'Table A1 - FY99'!K55</f>
        <v>158846</v>
      </c>
      <c r="L55" s="122">
        <f>'Table A3 - FY97'!BB55+'Table A2 - FY98'!AH55+'Table A1 - FY99'!L55</f>
        <v>0</v>
      </c>
      <c r="M55" s="121">
        <f>'Table A3 - FY97'!BC55+'Table A2 - FY98'!AI55+'Table A1 - FY99'!M55</f>
        <v>0</v>
      </c>
      <c r="N55" s="121">
        <f t="shared" si="3"/>
        <v>15863900</v>
      </c>
      <c r="P55" s="121">
        <f>'Table A3 - FY97'!BF55+'Table A2 - FY98'!AL55+'Table A1 - FY99'!P55</f>
        <v>0</v>
      </c>
      <c r="Q55" s="121">
        <f>'Table A3 - FY97'!BG55+'Table A2 - FY98'!AM55+'Table A1 - FY99'!Q55</f>
        <v>13300422</v>
      </c>
    </row>
    <row r="56" spans="1:17" ht="15">
      <c r="A56" s="124" t="s">
        <v>78</v>
      </c>
      <c r="B56" s="120">
        <f>'Table A3 - FY97'!AR56+'Table A2 - FY98'!X56+'Table A1 - FY99'!B56</f>
        <v>88562524</v>
      </c>
      <c r="C56" s="120">
        <f>+'Table A3 - FY97'!AS56+'Table A2 - FY98'!Y56+'Table A1 - FY99'!C56</f>
        <v>0</v>
      </c>
      <c r="D56" s="120">
        <f>+'Table A3 - FY97'!AT56+'Table A2 - FY98'!Z56+'Table A1 - FY99'!D56</f>
        <v>0</v>
      </c>
      <c r="E56" s="120">
        <f t="shared" si="2"/>
        <v>88562524</v>
      </c>
      <c r="G56" s="121">
        <f>'Table A3 - FY97'!AW56+'Table A2 - FY98'!AC56+'Table A1 - FY99'!G56</f>
        <v>31177592</v>
      </c>
      <c r="H56" s="121">
        <f>'Table A3 - FY97'!AX56+'Table A2 - FY98'!AD56+'Table A1 - FY99'!H56</f>
        <v>13461381</v>
      </c>
      <c r="I56" s="121">
        <f>'Table A3 - FY97'!AY56+'Table A2 - FY98'!AE56+'Table A1 - FY99'!I56</f>
        <v>1160557</v>
      </c>
      <c r="J56" s="121">
        <f>'Table A3 - FY97'!AZ56+'Table A2 - FY98'!AF56+'Table A1 - FY99'!J56</f>
        <v>8432531</v>
      </c>
      <c r="K56" s="121">
        <f>'Table A3 - FY97'!BA56+'Table A2 - FY98'!AG56+'Table A1 - FY99'!K56</f>
        <v>2220745</v>
      </c>
      <c r="L56" s="122">
        <f>'Table A3 - FY97'!BB56+'Table A2 - FY98'!AH56+'Table A1 - FY99'!L56</f>
        <v>66680</v>
      </c>
      <c r="M56" s="121">
        <f>'Table A3 - FY97'!BC56+'Table A2 - FY98'!AI56+'Table A1 - FY99'!M56</f>
        <v>243</v>
      </c>
      <c r="N56" s="121">
        <f t="shared" si="3"/>
        <v>56519729</v>
      </c>
      <c r="P56" s="121">
        <f>'Table A3 - FY97'!BF56+'Table A2 - FY98'!AL56+'Table A1 - FY99'!P56</f>
        <v>32042796</v>
      </c>
      <c r="Q56" s="121">
        <f>'Table A3 - FY97'!BG56+'Table A2 - FY98'!AM56+'Table A1 - FY99'!Q56</f>
        <v>0</v>
      </c>
    </row>
    <row r="57" spans="1:17" ht="15">
      <c r="A57" s="124" t="s">
        <v>102</v>
      </c>
      <c r="B57" s="120">
        <f>'Table A3 - FY97'!AR57+'Table A2 - FY98'!X57+'Table A1 - FY99'!B57</f>
        <v>325703671</v>
      </c>
      <c r="C57" s="120">
        <f>+'Table A3 - FY97'!AS57+'Table A2 - FY98'!Y57+'Table A1 - FY99'!C57</f>
        <v>0</v>
      </c>
      <c r="D57" s="120">
        <f>+'Table A3 - FY97'!AT57+'Table A2 - FY98'!Z57+'Table A1 - FY99'!D57</f>
        <v>0</v>
      </c>
      <c r="E57" s="120">
        <f t="shared" si="2"/>
        <v>325703671</v>
      </c>
      <c r="G57" s="121">
        <f>'Table A3 - FY97'!AW57+'Table A2 - FY98'!AC57+'Table A1 - FY99'!G57</f>
        <v>96496571</v>
      </c>
      <c r="H57" s="121">
        <f>'Table A3 - FY97'!AX57+'Table A2 - FY98'!AD57+'Table A1 - FY99'!H57</f>
        <v>19464855</v>
      </c>
      <c r="I57" s="121">
        <f>'Table A3 - FY97'!AY57+'Table A2 - FY98'!AE57+'Table A1 - FY99'!I57</f>
        <v>0</v>
      </c>
      <c r="J57" s="121">
        <f>'Table A3 - FY97'!AZ57+'Table A2 - FY98'!AF57+'Table A1 - FY99'!J57</f>
        <v>17498281</v>
      </c>
      <c r="K57" s="121">
        <f>'Table A3 - FY97'!BA57+'Table A2 - FY98'!AG57+'Table A1 - FY99'!K57</f>
        <v>2341914</v>
      </c>
      <c r="L57" s="122">
        <f>'Table A3 - FY97'!BB57+'Table A2 - FY98'!AH57+'Table A1 - FY99'!L57</f>
        <v>0</v>
      </c>
      <c r="M57" s="121">
        <f>'Table A3 - FY97'!BC57+'Table A2 - FY98'!AI57+'Table A1 - FY99'!M57</f>
        <v>21975827</v>
      </c>
      <c r="N57" s="121">
        <f t="shared" si="3"/>
        <v>157777448</v>
      </c>
      <c r="P57" s="121">
        <f>'Table A3 - FY97'!BF57+'Table A2 - FY98'!AL57+'Table A1 - FY99'!P57</f>
        <v>0</v>
      </c>
      <c r="Q57" s="121">
        <f>'Table A3 - FY97'!BG57+'Table A2 - FY98'!AM57+'Table A1 - FY99'!Q57</f>
        <v>167926193</v>
      </c>
    </row>
    <row r="58" spans="1:17" ht="15">
      <c r="A58" s="124" t="s">
        <v>80</v>
      </c>
      <c r="B58" s="120">
        <f>'Table A3 - FY97'!AR58+'Table A2 - FY98'!X58+'Table A1 - FY99'!B58</f>
        <v>135805587</v>
      </c>
      <c r="C58" s="120">
        <f>+'Table A3 - FY97'!AS58+'Table A2 - FY98'!Y58+'Table A1 - FY99'!C58</f>
        <v>10000000</v>
      </c>
      <c r="D58" s="120">
        <f>+'Table A3 - FY97'!AT58+'Table A2 - FY98'!Z58+'Table A1 - FY99'!D58</f>
        <v>9000000</v>
      </c>
      <c r="E58" s="120">
        <f t="shared" si="2"/>
        <v>116805587</v>
      </c>
      <c r="G58" s="121">
        <f>'Table A3 - FY97'!AW58+'Table A2 - FY98'!AC58+'Table A1 - FY99'!G58</f>
        <v>3622210</v>
      </c>
      <c r="H58" s="121">
        <f>'Table A3 - FY97'!AX58+'Table A2 - FY98'!AD58+'Table A1 - FY99'!H58</f>
        <v>129428</v>
      </c>
      <c r="I58" s="121">
        <f>'Table A3 - FY97'!AY58+'Table A2 - FY98'!AE58+'Table A1 - FY99'!I58</f>
        <v>0</v>
      </c>
      <c r="J58" s="121">
        <f>'Table A3 - FY97'!AZ58+'Table A2 - FY98'!AF58+'Table A1 - FY99'!J58</f>
        <v>3531855</v>
      </c>
      <c r="K58" s="121">
        <f>'Table A3 - FY97'!BA58+'Table A2 - FY98'!AG58+'Table A1 - FY99'!K58</f>
        <v>598424</v>
      </c>
      <c r="L58" s="122">
        <f>'Table A3 - FY97'!BB58+'Table A2 - FY98'!AH58+'Table A1 - FY99'!L58</f>
        <v>0</v>
      </c>
      <c r="M58" s="121">
        <f>'Table A3 - FY97'!BC58+'Table A2 - FY98'!AI58+'Table A1 - FY99'!M58</f>
        <v>477584</v>
      </c>
      <c r="N58" s="121">
        <f t="shared" si="3"/>
        <v>8359501</v>
      </c>
      <c r="P58" s="121">
        <f>'Table A3 - FY97'!BF58+'Table A2 - FY98'!AL58+'Table A1 - FY99'!P58</f>
        <v>0</v>
      </c>
      <c r="Q58" s="121">
        <f>'Table A3 - FY97'!BG58+'Table A2 - FY98'!AM58+'Table A1 - FY99'!Q58</f>
        <v>108446085</v>
      </c>
    </row>
    <row r="59" spans="1:17" ht="15">
      <c r="A59" s="124" t="s">
        <v>103</v>
      </c>
      <c r="B59" s="120">
        <f>'Table A3 - FY97'!AR59+'Table A2 - FY98'!X59+'Table A1 - FY99'!B59</f>
        <v>476610952</v>
      </c>
      <c r="C59" s="120">
        <f>+'Table A3 - FY97'!AS59+'Table A2 - FY98'!Y59+'Table A1 - FY99'!C59</f>
        <v>7836989</v>
      </c>
      <c r="D59" s="120">
        <f>+'Table A3 - FY97'!AT59+'Table A2 - FY98'!Z59+'Table A1 - FY99'!D59</f>
        <v>15950000</v>
      </c>
      <c r="E59" s="120">
        <f t="shared" si="2"/>
        <v>452823963</v>
      </c>
      <c r="G59" s="121">
        <f>'Table A3 - FY97'!AW59+'Table A2 - FY98'!AC59+'Table A1 - FY99'!G59</f>
        <v>30108741</v>
      </c>
      <c r="H59" s="121">
        <f>'Table A3 - FY97'!AX59+'Table A2 - FY98'!AD59+'Table A1 - FY99'!H59</f>
        <v>-7947135</v>
      </c>
      <c r="I59" s="121">
        <f>'Table A3 - FY97'!AY59+'Table A2 - FY98'!AE59+'Table A1 - FY99'!I59</f>
        <v>0</v>
      </c>
      <c r="J59" s="121">
        <f>'Table A3 - FY97'!AZ59+'Table A2 - FY98'!AF59+'Table A1 - FY99'!J59</f>
        <v>5292837</v>
      </c>
      <c r="K59" s="121">
        <f>'Table A3 - FY97'!BA59+'Table A2 - FY98'!AG59+'Table A1 - FY99'!K59</f>
        <v>4664904</v>
      </c>
      <c r="L59" s="122">
        <f>'Table A3 - FY97'!BB59+'Table A2 - FY98'!AH59+'Table A1 - FY99'!L59</f>
        <v>0</v>
      </c>
      <c r="M59" s="121">
        <f>'Table A3 - FY97'!BC59+'Table A2 - FY98'!AI59+'Table A1 - FY99'!M59</f>
        <v>17813366</v>
      </c>
      <c r="N59" s="121">
        <f t="shared" si="3"/>
        <v>49932713</v>
      </c>
      <c r="P59" s="121">
        <f>'Table A3 - FY97'!BF59+'Table A2 - FY98'!AL59+'Table A1 - FY99'!P59</f>
        <v>166107641</v>
      </c>
      <c r="Q59" s="121">
        <f>'Table A3 - FY97'!BG59+'Table A2 - FY98'!AM59+'Table A1 - FY99'!Q59</f>
        <v>236783609</v>
      </c>
    </row>
    <row r="60" spans="1:17" ht="15">
      <c r="A60" s="126" t="s">
        <v>104</v>
      </c>
      <c r="B60" s="120">
        <f>'Table A3 - FY97'!AR60+'Table A2 - FY98'!X60+'Table A1 - FY99'!B60</f>
        <v>42166562</v>
      </c>
      <c r="C60" s="120">
        <f>+'Table A3 - FY97'!AS60+'Table A2 - FY98'!Y60+'Table A1 - FY99'!C60</f>
        <v>0</v>
      </c>
      <c r="D60" s="120">
        <f>+'Table A3 - FY97'!AT60+'Table A2 - FY98'!Z60+'Table A1 - FY99'!D60</f>
        <v>0</v>
      </c>
      <c r="E60" s="120">
        <f t="shared" si="2"/>
        <v>42166562</v>
      </c>
      <c r="G60" s="121">
        <f>'Table A3 - FY97'!AW60+'Table A2 - FY98'!AC60+'Table A1 - FY99'!G60</f>
        <v>581805</v>
      </c>
      <c r="H60" s="121">
        <f>'Table A3 - FY97'!AX60+'Table A2 - FY98'!AD60+'Table A1 - FY99'!H60</f>
        <v>0</v>
      </c>
      <c r="I60" s="121">
        <f>'Table A3 - FY97'!AY60+'Table A2 - FY98'!AE60+'Table A1 - FY99'!I60</f>
        <v>0</v>
      </c>
      <c r="J60" s="121">
        <f>'Table A3 - FY97'!AZ60+'Table A2 - FY98'!AF60+'Table A1 - FY99'!J60</f>
        <v>71106</v>
      </c>
      <c r="K60" s="121">
        <f>'Table A3 - FY97'!BA60+'Table A2 - FY98'!AG60+'Table A1 - FY99'!K60</f>
        <v>0</v>
      </c>
      <c r="L60" s="122">
        <f>'Table A3 - FY97'!BB60+'Table A2 - FY98'!AH60+'Table A1 - FY99'!L60</f>
        <v>0</v>
      </c>
      <c r="M60" s="121">
        <f>'Table A3 - FY97'!BC60+'Table A2 - FY98'!AI60+'Table A1 - FY99'!M60</f>
        <v>0</v>
      </c>
      <c r="N60" s="121">
        <f t="shared" si="3"/>
        <v>652911</v>
      </c>
      <c r="P60" s="121">
        <f>'Table A3 - FY97'!BF60+'Table A2 - FY98'!AL60+'Table A1 - FY99'!P60</f>
        <v>41513631</v>
      </c>
      <c r="Q60" s="121">
        <f>'Table A3 - FY97'!BG60+'Table A2 - FY98'!AM60+'Table A1 - FY99'!Q60</f>
        <v>0</v>
      </c>
    </row>
    <row r="61" spans="1:14" ht="15">
      <c r="A61" s="124"/>
      <c r="B61" s="124"/>
      <c r="C61" s="124"/>
      <c r="D61" s="124"/>
      <c r="E61" s="124"/>
      <c r="F61" s="111"/>
      <c r="G61" s="111"/>
      <c r="H61" s="111"/>
      <c r="I61" s="111"/>
      <c r="J61" s="111"/>
      <c r="K61" s="111"/>
      <c r="L61" s="111"/>
      <c r="M61" s="111"/>
      <c r="N61" s="111"/>
    </row>
    <row r="62" spans="1:17" ht="15">
      <c r="A62" s="119" t="s">
        <v>83</v>
      </c>
      <c r="B62" s="127">
        <f>SUM(B10:B60)</f>
        <v>14321172893</v>
      </c>
      <c r="C62" s="127">
        <f>SUM(C10:C60)</f>
        <v>735875900</v>
      </c>
      <c r="D62" s="127">
        <f>SUM(D10:D60)</f>
        <v>419528912</v>
      </c>
      <c r="E62" s="127">
        <f>SUM(E10:E60)</f>
        <v>13165768081</v>
      </c>
      <c r="F62" s="111"/>
      <c r="G62" s="11">
        <f aca="true" t="shared" si="4" ref="G62:N62">SUM(G10:G60)</f>
        <v>3380447927</v>
      </c>
      <c r="H62" s="11">
        <f t="shared" si="4"/>
        <v>523122124</v>
      </c>
      <c r="I62" s="11">
        <f t="shared" si="4"/>
        <v>248324764</v>
      </c>
      <c r="J62" s="11">
        <f t="shared" si="4"/>
        <v>551969038</v>
      </c>
      <c r="K62" s="11">
        <f t="shared" si="4"/>
        <v>135388413</v>
      </c>
      <c r="L62" s="11">
        <f t="shared" si="4"/>
        <v>5436485</v>
      </c>
      <c r="M62" s="11">
        <f t="shared" si="4"/>
        <v>703866349</v>
      </c>
      <c r="N62" s="11">
        <f t="shared" si="4"/>
        <v>5548555100</v>
      </c>
      <c r="P62" s="11">
        <f>SUM(P10:P60)</f>
        <v>3400284697</v>
      </c>
      <c r="Q62" s="11">
        <f>SUM(Q10:Q60)</f>
        <v>4225320654</v>
      </c>
    </row>
    <row r="63" spans="1:17" ht="15">
      <c r="A63" s="119"/>
      <c r="B63" s="128" t="s">
        <v>249</v>
      </c>
      <c r="C63" s="119"/>
      <c r="D63" s="119"/>
      <c r="E63" s="119"/>
      <c r="F63" s="111"/>
      <c r="G63" s="36">
        <f>G62/N62</f>
        <v>0.6092483297138024</v>
      </c>
      <c r="H63" s="36">
        <f>H62/N62</f>
        <v>0.09428078383866098</v>
      </c>
      <c r="I63" s="36">
        <f>I62/N62</f>
        <v>0.04475485230380068</v>
      </c>
      <c r="J63" s="36">
        <f>J62/N62</f>
        <v>0.09947977951953654</v>
      </c>
      <c r="K63" s="36">
        <f>K62/N62</f>
        <v>0.024400661173933372</v>
      </c>
      <c r="L63" s="36">
        <f>L62/N62</f>
        <v>0.0009798019307765368</v>
      </c>
      <c r="M63" s="36">
        <f>M62/N62</f>
        <v>0.12685579151948947</v>
      </c>
      <c r="N63" s="36">
        <f>N62/N62</f>
        <v>1</v>
      </c>
      <c r="P63" s="11"/>
      <c r="Q63" s="11"/>
    </row>
    <row r="64" spans="1:17" ht="15">
      <c r="A64" s="85" t="s">
        <v>277</v>
      </c>
      <c r="C64" s="36">
        <f>C62/B62</f>
        <v>0.05138377320754827</v>
      </c>
      <c r="D64" s="36">
        <f>D62/B62</f>
        <v>0.029294312353777965</v>
      </c>
      <c r="E64" s="36">
        <f>E62/B62</f>
        <v>0.9193219144386737</v>
      </c>
      <c r="N64" s="36">
        <f>N62/E62</f>
        <v>0.421438009986468</v>
      </c>
      <c r="O64" s="41"/>
      <c r="P64" s="80">
        <f>P62/E62</f>
        <v>0.2582670966160398</v>
      </c>
      <c r="Q64" s="80">
        <f>Q62/E62</f>
        <v>0.32093233209065214</v>
      </c>
    </row>
    <row r="66" spans="1:16" ht="15">
      <c r="A66" s="107" t="s">
        <v>87</v>
      </c>
      <c r="P66" s="103" t="s">
        <v>249</v>
      </c>
    </row>
    <row r="67" ht="15">
      <c r="A67" s="107" t="s">
        <v>384</v>
      </c>
    </row>
    <row r="68" ht="15">
      <c r="A68" s="107" t="s">
        <v>320</v>
      </c>
    </row>
    <row r="69" ht="15">
      <c r="A69" s="107" t="s">
        <v>88</v>
      </c>
    </row>
    <row r="70" ht="15">
      <c r="A70" s="107" t="s">
        <v>89</v>
      </c>
    </row>
  </sheetData>
  <printOptions gridLines="1" horizontalCentered="1"/>
  <pageMargins left="0.2" right="0" top="0.36" bottom="0.25" header="0.24" footer="0"/>
  <pageSetup fitToHeight="1" fitToWidth="1" horizontalDpi="300" verticalDpi="300" orientation="landscape" scale="50" r:id="rId1"/>
  <headerFooter alignWithMargins="0">
    <oddHeader>&amp;C&amp;A&amp;R&amp;9&amp;D</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T211"/>
  <sheetViews>
    <sheetView zoomScale="75" zoomScaleNormal="75" workbookViewId="0" topLeftCell="A1">
      <pane xSplit="1" ySplit="8" topLeftCell="B9" activePane="bottomRight" state="frozen"/>
      <selection pane="topLeft" activeCell="A3" sqref="A3"/>
      <selection pane="topRight" activeCell="A3" sqref="A3"/>
      <selection pane="bottomLeft" activeCell="A3" sqref="A3"/>
      <selection pane="bottomRight" activeCell="B9" sqref="B9"/>
    </sheetView>
  </sheetViews>
  <sheetFormatPr defaultColWidth="9.140625" defaultRowHeight="12.75"/>
  <cols>
    <col min="1" max="1" width="20.421875" style="0" customWidth="1"/>
    <col min="2" max="2" width="17.00390625" style="0" customWidth="1"/>
    <col min="3" max="3" width="14.7109375" style="0" customWidth="1"/>
    <col min="4" max="4" width="15.28125" style="0" customWidth="1"/>
    <col min="5" max="5" width="18.28125" style="0" bestFit="1" customWidth="1"/>
    <col min="6" max="6" width="0.9921875" style="0" customWidth="1"/>
    <col min="7" max="7" width="19.57421875" style="0" customWidth="1"/>
    <col min="8" max="8" width="14.8515625" style="0" customWidth="1"/>
    <col min="9" max="9" width="15.140625" style="0" bestFit="1" customWidth="1"/>
    <col min="10" max="10" width="20.00390625" style="0" bestFit="1" customWidth="1"/>
    <col min="11" max="11" width="14.00390625" style="0" bestFit="1" customWidth="1"/>
    <col min="12" max="12" width="17.140625" style="0" bestFit="1" customWidth="1"/>
    <col min="13" max="13" width="16.28125" style="0" customWidth="1"/>
    <col min="14" max="14" width="17.7109375" style="0" bestFit="1" customWidth="1"/>
    <col min="15" max="15" width="1.1484375" style="0" customWidth="1"/>
    <col min="16" max="16" width="14.8515625" style="0" customWidth="1"/>
    <col min="17" max="17" width="16.8515625" style="0" bestFit="1" customWidth="1"/>
    <col min="18" max="18" width="14.8515625" style="0" customWidth="1"/>
    <col min="19" max="19" width="17.140625" style="0" customWidth="1"/>
    <col min="20" max="20" width="17.8515625" style="0" customWidth="1"/>
  </cols>
  <sheetData>
    <row r="1" spans="1:7" ht="15.75">
      <c r="A1" s="29" t="s">
        <v>249</v>
      </c>
      <c r="B1" s="1"/>
      <c r="C1" s="1"/>
      <c r="D1" s="1"/>
      <c r="E1" s="1"/>
      <c r="F1" s="1"/>
      <c r="G1" s="174" t="s">
        <v>351</v>
      </c>
    </row>
    <row r="2" spans="1:17" ht="15.75">
      <c r="A2" s="2" t="s">
        <v>0</v>
      </c>
      <c r="B2" s="3"/>
      <c r="C2" s="3"/>
      <c r="D2" s="3"/>
      <c r="E2" s="3"/>
      <c r="F2" s="3"/>
      <c r="G2" s="3"/>
      <c r="H2" s="3"/>
      <c r="I2" s="3"/>
      <c r="J2" s="3"/>
      <c r="K2" s="3"/>
      <c r="L2" s="3"/>
      <c r="M2" s="3"/>
      <c r="N2" s="3"/>
      <c r="O2" s="3"/>
      <c r="P2" s="3"/>
      <c r="Q2" s="3"/>
    </row>
    <row r="3" spans="1:17" ht="12.75">
      <c r="A3" s="3" t="s">
        <v>250</v>
      </c>
      <c r="B3" s="3"/>
      <c r="C3" s="3"/>
      <c r="D3" s="3"/>
      <c r="E3" s="3"/>
      <c r="F3" s="3"/>
      <c r="G3" s="3"/>
      <c r="H3" s="3"/>
      <c r="I3" s="3"/>
      <c r="J3" s="3"/>
      <c r="K3" s="3"/>
      <c r="L3" s="3"/>
      <c r="M3" s="3"/>
      <c r="N3" s="3"/>
      <c r="O3" s="3"/>
      <c r="P3" s="3"/>
      <c r="Q3" s="3"/>
    </row>
    <row r="4" spans="1:17" ht="12.75">
      <c r="A4" s="4" t="s">
        <v>1</v>
      </c>
      <c r="B4" s="3"/>
      <c r="C4" s="3"/>
      <c r="D4" s="3"/>
      <c r="E4" s="3"/>
      <c r="F4" s="3"/>
      <c r="G4" s="3"/>
      <c r="H4" s="3"/>
      <c r="I4" s="3"/>
      <c r="J4" s="3"/>
      <c r="K4" s="3"/>
      <c r="L4" s="3"/>
      <c r="M4" s="3"/>
      <c r="N4" s="3"/>
      <c r="O4" s="3"/>
      <c r="P4" s="3"/>
      <c r="Q4" s="3"/>
    </row>
    <row r="5" spans="1:17" ht="12.75">
      <c r="A5" t="s">
        <v>2</v>
      </c>
      <c r="B5" s="3"/>
      <c r="C5" s="3"/>
      <c r="D5" s="3"/>
      <c r="E5" s="3"/>
      <c r="F5" s="3"/>
      <c r="G5" s="3"/>
      <c r="H5" s="3"/>
      <c r="I5" s="3"/>
      <c r="J5" s="3"/>
      <c r="K5" s="3"/>
      <c r="L5" s="3"/>
      <c r="M5" s="3"/>
      <c r="N5" s="3"/>
      <c r="O5" s="3"/>
      <c r="P5" s="3"/>
      <c r="Q5" s="3"/>
    </row>
    <row r="6" spans="1:20" ht="15.75">
      <c r="A6" s="5" t="s">
        <v>3</v>
      </c>
      <c r="B6" s="6">
        <v>1</v>
      </c>
      <c r="C6" s="6">
        <v>2</v>
      </c>
      <c r="D6" s="6">
        <v>3</v>
      </c>
      <c r="E6" s="6">
        <v>4</v>
      </c>
      <c r="F6" s="5"/>
      <c r="G6" s="6">
        <v>5</v>
      </c>
      <c r="H6" s="6">
        <v>6</v>
      </c>
      <c r="I6" s="6">
        <v>7</v>
      </c>
      <c r="J6" s="6">
        <v>8</v>
      </c>
      <c r="K6" s="6" t="s">
        <v>4</v>
      </c>
      <c r="L6" s="6">
        <v>9</v>
      </c>
      <c r="M6" s="6">
        <v>10</v>
      </c>
      <c r="N6" s="6">
        <v>11</v>
      </c>
      <c r="O6" s="6"/>
      <c r="P6" s="6">
        <v>12</v>
      </c>
      <c r="Q6" s="6">
        <v>13</v>
      </c>
      <c r="S6" t="s">
        <v>5</v>
      </c>
      <c r="T6" t="s">
        <v>5</v>
      </c>
    </row>
    <row r="7" spans="1:20" ht="12.75">
      <c r="A7" s="5"/>
      <c r="B7" s="7" t="s">
        <v>6</v>
      </c>
      <c r="C7" s="7" t="s">
        <v>7</v>
      </c>
      <c r="D7" s="7" t="s">
        <v>7</v>
      </c>
      <c r="E7" s="7" t="s">
        <v>8</v>
      </c>
      <c r="F7" s="7"/>
      <c r="G7" s="7" t="s">
        <v>9</v>
      </c>
      <c r="H7" s="7" t="s">
        <v>10</v>
      </c>
      <c r="I7" s="7" t="s">
        <v>11</v>
      </c>
      <c r="J7" s="7" t="s">
        <v>12</v>
      </c>
      <c r="K7" s="7" t="s">
        <v>13</v>
      </c>
      <c r="L7" s="7" t="s">
        <v>14</v>
      </c>
      <c r="M7" s="7" t="s">
        <v>15</v>
      </c>
      <c r="N7" s="7" t="s">
        <v>16</v>
      </c>
      <c r="O7" s="7"/>
      <c r="P7" s="7" t="s">
        <v>17</v>
      </c>
      <c r="Q7" s="7" t="s">
        <v>18</v>
      </c>
      <c r="S7" t="s">
        <v>19</v>
      </c>
      <c r="T7" t="s">
        <v>19</v>
      </c>
    </row>
    <row r="8" spans="1:20" ht="12.75">
      <c r="A8" s="5"/>
      <c r="B8" s="8" t="s">
        <v>348</v>
      </c>
      <c r="C8" s="9" t="s">
        <v>21</v>
      </c>
      <c r="D8" s="9" t="s">
        <v>22</v>
      </c>
      <c r="E8" s="9" t="s">
        <v>23</v>
      </c>
      <c r="F8" s="9"/>
      <c r="G8" s="9" t="s">
        <v>24</v>
      </c>
      <c r="H8" s="9" t="s">
        <v>25</v>
      </c>
      <c r="I8" s="9" t="s">
        <v>26</v>
      </c>
      <c r="J8" s="9"/>
      <c r="K8" s="9"/>
      <c r="L8" s="9" t="s">
        <v>27</v>
      </c>
      <c r="M8" s="9" t="s">
        <v>28</v>
      </c>
      <c r="N8" s="9" t="s">
        <v>28</v>
      </c>
      <c r="O8" s="9"/>
      <c r="P8" s="9" t="s">
        <v>29</v>
      </c>
      <c r="Q8" s="9" t="s">
        <v>30</v>
      </c>
      <c r="S8" t="s">
        <v>28</v>
      </c>
      <c r="T8" t="s">
        <v>31</v>
      </c>
    </row>
    <row r="9" spans="1:17" ht="12.75">
      <c r="A9" s="5"/>
      <c r="B9" s="145"/>
      <c r="C9" s="38"/>
      <c r="D9" s="38"/>
      <c r="E9" s="38"/>
      <c r="F9" s="38"/>
      <c r="G9" s="38"/>
      <c r="H9" s="38"/>
      <c r="I9" s="38"/>
      <c r="J9" s="38"/>
      <c r="K9" s="38"/>
      <c r="L9" s="38"/>
      <c r="M9" s="38"/>
      <c r="N9" s="38"/>
      <c r="O9" s="38"/>
      <c r="P9" s="38"/>
      <c r="Q9" s="38"/>
    </row>
    <row r="10" spans="1:20" ht="12.75">
      <c r="A10" s="10" t="s">
        <v>32</v>
      </c>
      <c r="B10" s="11">
        <v>74943571</v>
      </c>
      <c r="C10" s="11">
        <v>0</v>
      </c>
      <c r="D10" s="11">
        <v>0</v>
      </c>
      <c r="E10" s="11">
        <f aca="true" t="shared" si="0" ref="E10:E41">B10-(C10+D10)</f>
        <v>74943571</v>
      </c>
      <c r="F10" s="11"/>
      <c r="G10" s="11">
        <v>12685596</v>
      </c>
      <c r="H10" s="11">
        <v>4117933</v>
      </c>
      <c r="I10" s="11">
        <v>14368</v>
      </c>
      <c r="J10" s="11">
        <v>1680246</v>
      </c>
      <c r="K10" s="11">
        <v>170494</v>
      </c>
      <c r="L10" s="11">
        <v>0</v>
      </c>
      <c r="M10" s="11">
        <v>3896014</v>
      </c>
      <c r="N10" s="11">
        <f aca="true" t="shared" si="1" ref="N10:N41">SUM(G10:M10)</f>
        <v>22564651</v>
      </c>
      <c r="O10" s="11"/>
      <c r="P10" s="11">
        <v>0</v>
      </c>
      <c r="Q10" s="11">
        <v>52378920</v>
      </c>
      <c r="R10" s="33">
        <f>E10-(N10+P10+Q10)</f>
        <v>0</v>
      </c>
      <c r="S10" s="12">
        <f aca="true" t="shared" si="2" ref="S10:S34">+J10/N10</f>
        <v>0.07446363783778442</v>
      </c>
      <c r="T10" s="12">
        <f>J10/E10</f>
        <v>0.02242014862088704</v>
      </c>
    </row>
    <row r="11" spans="1:20" ht="12.75">
      <c r="A11" s="13" t="s">
        <v>33</v>
      </c>
      <c r="B11" s="14">
        <v>27415411</v>
      </c>
      <c r="C11" s="17">
        <f>52658</f>
        <v>52658</v>
      </c>
      <c r="D11" s="17">
        <v>0</v>
      </c>
      <c r="E11" s="14">
        <f t="shared" si="0"/>
        <v>27362753</v>
      </c>
      <c r="F11" s="14"/>
      <c r="G11" s="14">
        <v>16325209</v>
      </c>
      <c r="H11" s="14">
        <v>3116411</v>
      </c>
      <c r="I11" s="14">
        <v>2490064</v>
      </c>
      <c r="J11" s="14">
        <v>1848513</v>
      </c>
      <c r="K11" s="14">
        <v>546367</v>
      </c>
      <c r="L11" s="14">
        <v>0</v>
      </c>
      <c r="M11" s="14">
        <v>153219</v>
      </c>
      <c r="N11" s="14">
        <f t="shared" si="1"/>
        <v>24479783</v>
      </c>
      <c r="O11" s="14"/>
      <c r="P11" s="14">
        <v>2882970</v>
      </c>
      <c r="Q11" s="14">
        <v>0</v>
      </c>
      <c r="R11" s="33">
        <f aca="true" t="shared" si="3" ref="R11:R60">E11-(N11+P11+Q11)</f>
        <v>0</v>
      </c>
      <c r="S11" s="12">
        <f t="shared" si="2"/>
        <v>0.07551182132619394</v>
      </c>
      <c r="T11" s="12">
        <f aca="true" t="shared" si="4" ref="T11:T60">J11/E11</f>
        <v>0.06755581209244552</v>
      </c>
    </row>
    <row r="12" spans="1:20" ht="12.75">
      <c r="A12" s="10" t="s">
        <v>34</v>
      </c>
      <c r="B12" s="11">
        <v>117199317</v>
      </c>
      <c r="C12" s="11">
        <v>0</v>
      </c>
      <c r="D12" s="11">
        <v>0</v>
      </c>
      <c r="E12" s="11">
        <f t="shared" si="0"/>
        <v>117199317</v>
      </c>
      <c r="F12" s="11"/>
      <c r="G12" s="11">
        <v>40511253</v>
      </c>
      <c r="H12" s="11">
        <v>4288726</v>
      </c>
      <c r="I12" s="11">
        <v>0</v>
      </c>
      <c r="J12" s="11">
        <v>7390592</v>
      </c>
      <c r="K12" s="11">
        <v>174724</v>
      </c>
      <c r="L12" s="11">
        <v>0</v>
      </c>
      <c r="M12" s="11">
        <v>14700093</v>
      </c>
      <c r="N12" s="11">
        <f t="shared" si="1"/>
        <v>67065388</v>
      </c>
      <c r="O12" s="11"/>
      <c r="P12" s="11">
        <v>17723445</v>
      </c>
      <c r="Q12" s="11">
        <v>32410484</v>
      </c>
      <c r="R12" s="33">
        <f t="shared" si="3"/>
        <v>0</v>
      </c>
      <c r="S12" s="12">
        <f t="shared" si="2"/>
        <v>0.11019979486288814</v>
      </c>
      <c r="T12" s="12">
        <f t="shared" si="4"/>
        <v>0.06306002619452125</v>
      </c>
    </row>
    <row r="13" spans="1:20" ht="12.75">
      <c r="A13" s="10" t="s">
        <v>35</v>
      </c>
      <c r="B13" s="11">
        <v>28199429</v>
      </c>
      <c r="C13" s="11">
        <v>0</v>
      </c>
      <c r="D13" s="11">
        <v>0</v>
      </c>
      <c r="E13" s="11">
        <f t="shared" si="0"/>
        <v>28199429</v>
      </c>
      <c r="F13" s="11"/>
      <c r="G13" s="11">
        <v>0</v>
      </c>
      <c r="H13" s="11">
        <v>0</v>
      </c>
      <c r="I13" s="11">
        <v>0</v>
      </c>
      <c r="J13" s="11">
        <v>0</v>
      </c>
      <c r="K13" s="11">
        <v>0</v>
      </c>
      <c r="L13" s="11">
        <v>0</v>
      </c>
      <c r="M13" s="11">
        <v>0</v>
      </c>
      <c r="N13" s="11">
        <f t="shared" si="1"/>
        <v>0</v>
      </c>
      <c r="O13" s="11"/>
      <c r="P13" s="11">
        <v>28199429</v>
      </c>
      <c r="Q13" s="11">
        <v>0</v>
      </c>
      <c r="R13" s="33">
        <f t="shared" si="3"/>
        <v>0</v>
      </c>
      <c r="S13" s="12" t="e">
        <f t="shared" si="2"/>
        <v>#DIV/0!</v>
      </c>
      <c r="T13" s="12">
        <f t="shared" si="4"/>
        <v>0</v>
      </c>
    </row>
    <row r="14" spans="1:20" ht="12.75">
      <c r="A14" s="10" t="s">
        <v>36</v>
      </c>
      <c r="B14" s="11">
        <v>1864943624</v>
      </c>
      <c r="C14" s="11">
        <v>0</v>
      </c>
      <c r="D14" s="11">
        <v>0</v>
      </c>
      <c r="E14" s="11">
        <f t="shared" si="0"/>
        <v>1864943624</v>
      </c>
      <c r="F14" s="11"/>
      <c r="G14" s="11">
        <v>957800504</v>
      </c>
      <c r="H14" s="11">
        <v>75065547</v>
      </c>
      <c r="I14" s="11">
        <v>86947560</v>
      </c>
      <c r="J14" s="11">
        <v>60399485</v>
      </c>
      <c r="K14" s="11">
        <v>18203142</v>
      </c>
      <c r="L14" s="11">
        <v>645770</v>
      </c>
      <c r="M14" s="11">
        <f>122537116</f>
        <v>122537116</v>
      </c>
      <c r="N14" s="11">
        <f t="shared" si="1"/>
        <v>1321599124</v>
      </c>
      <c r="O14" s="11"/>
      <c r="P14" s="11">
        <v>17993637</v>
      </c>
      <c r="Q14" s="11">
        <v>525350863</v>
      </c>
      <c r="R14" s="33">
        <f t="shared" si="3"/>
        <v>0</v>
      </c>
      <c r="S14" s="12">
        <f t="shared" si="2"/>
        <v>0.0457018197902498</v>
      </c>
      <c r="T14" s="12">
        <f t="shared" si="4"/>
        <v>0.03238676184240516</v>
      </c>
    </row>
    <row r="15" spans="1:20" ht="12.75">
      <c r="A15" s="10" t="s">
        <v>37</v>
      </c>
      <c r="B15" s="11">
        <v>65757779</v>
      </c>
      <c r="C15" s="11">
        <v>0</v>
      </c>
      <c r="D15" s="11">
        <v>0</v>
      </c>
      <c r="E15" s="11">
        <f t="shared" si="0"/>
        <v>65757779</v>
      </c>
      <c r="F15" s="11"/>
      <c r="G15" s="11">
        <v>4779568</v>
      </c>
      <c r="H15" s="11">
        <v>1749407</v>
      </c>
      <c r="I15" s="11">
        <v>0</v>
      </c>
      <c r="J15" s="11">
        <v>2035245</v>
      </c>
      <c r="K15" s="11">
        <v>1127094</v>
      </c>
      <c r="L15" s="11">
        <v>0</v>
      </c>
      <c r="M15" s="11">
        <v>4935023</v>
      </c>
      <c r="N15" s="11">
        <f t="shared" si="1"/>
        <v>14626337</v>
      </c>
      <c r="O15" s="11"/>
      <c r="P15" s="11">
        <v>51131442</v>
      </c>
      <c r="Q15" s="11">
        <v>0</v>
      </c>
      <c r="R15" s="33">
        <f t="shared" si="3"/>
        <v>0</v>
      </c>
      <c r="S15" s="12">
        <f t="shared" si="2"/>
        <v>0.13914933041676805</v>
      </c>
      <c r="T15" s="12">
        <f t="shared" si="4"/>
        <v>0.030950634753038116</v>
      </c>
    </row>
    <row r="16" spans="1:20" ht="12.75">
      <c r="A16" s="10" t="s">
        <v>38</v>
      </c>
      <c r="B16" s="11">
        <v>123352504</v>
      </c>
      <c r="C16" s="11">
        <v>0</v>
      </c>
      <c r="D16" s="11">
        <v>11992516</v>
      </c>
      <c r="E16" s="11">
        <f t="shared" si="0"/>
        <v>111359988</v>
      </c>
      <c r="F16" s="11"/>
      <c r="G16" s="11">
        <v>76474085</v>
      </c>
      <c r="H16" s="11">
        <v>0</v>
      </c>
      <c r="I16" s="11">
        <v>20695469</v>
      </c>
      <c r="J16" s="11">
        <v>12770319</v>
      </c>
      <c r="K16" s="11">
        <v>0</v>
      </c>
      <c r="L16" s="11">
        <v>0</v>
      </c>
      <c r="M16" s="11">
        <v>1788071</v>
      </c>
      <c r="N16" s="11">
        <f t="shared" si="1"/>
        <v>111727944</v>
      </c>
      <c r="O16" s="11"/>
      <c r="P16" s="11">
        <v>0</v>
      </c>
      <c r="Q16" s="11">
        <v>-367956</v>
      </c>
      <c r="R16" s="33">
        <f t="shared" si="3"/>
        <v>0</v>
      </c>
      <c r="S16" s="12">
        <f t="shared" si="2"/>
        <v>0.11429834419937057</v>
      </c>
      <c r="T16" s="12">
        <f t="shared" si="4"/>
        <v>0.11467600912456995</v>
      </c>
    </row>
    <row r="17" spans="1:20" ht="12.75">
      <c r="A17" s="10" t="s">
        <v>39</v>
      </c>
      <c r="B17" s="11">
        <v>16145490</v>
      </c>
      <c r="C17" s="11">
        <v>0</v>
      </c>
      <c r="D17" s="11">
        <v>0</v>
      </c>
      <c r="E17" s="11">
        <f t="shared" si="0"/>
        <v>16145490</v>
      </c>
      <c r="F17" s="11"/>
      <c r="G17" s="11">
        <v>8696334</v>
      </c>
      <c r="H17" s="11">
        <v>2825697</v>
      </c>
      <c r="I17" s="11">
        <v>0</v>
      </c>
      <c r="J17" s="11">
        <v>1323893</v>
      </c>
      <c r="K17" s="11">
        <v>3371762</v>
      </c>
      <c r="L17" s="11">
        <v>0</v>
      </c>
      <c r="M17" s="11">
        <v>0</v>
      </c>
      <c r="N17" s="11">
        <f t="shared" si="1"/>
        <v>16217686</v>
      </c>
      <c r="O17" s="11"/>
      <c r="P17" s="11">
        <v>-72196</v>
      </c>
      <c r="Q17" s="11">
        <v>0</v>
      </c>
      <c r="R17" s="33">
        <f t="shared" si="3"/>
        <v>0</v>
      </c>
      <c r="S17" s="12">
        <f t="shared" si="2"/>
        <v>0.08163266942028598</v>
      </c>
      <c r="T17" s="12">
        <f t="shared" si="4"/>
        <v>0.08199769718974154</v>
      </c>
    </row>
    <row r="18" spans="1:20" ht="12.75">
      <c r="A18" s="10" t="s">
        <v>40</v>
      </c>
      <c r="B18" s="11">
        <v>46304908</v>
      </c>
      <c r="C18" s="11">
        <v>9260980</v>
      </c>
      <c r="D18" s="11">
        <v>4630490</v>
      </c>
      <c r="E18" s="11">
        <f t="shared" si="0"/>
        <v>32413438</v>
      </c>
      <c r="F18" s="11"/>
      <c r="G18" s="11">
        <v>16159257</v>
      </c>
      <c r="H18" s="11">
        <v>5624101</v>
      </c>
      <c r="I18" s="11">
        <v>0</v>
      </c>
      <c r="J18" s="11">
        <v>2052471</v>
      </c>
      <c r="K18" s="11">
        <v>278882</v>
      </c>
      <c r="L18" s="11">
        <v>0</v>
      </c>
      <c r="M18" s="11">
        <v>165000</v>
      </c>
      <c r="N18" s="11">
        <f t="shared" si="1"/>
        <v>24279711</v>
      </c>
      <c r="O18" s="11"/>
      <c r="P18" s="11">
        <v>8133727</v>
      </c>
      <c r="Q18" s="11">
        <v>0</v>
      </c>
      <c r="R18" s="33">
        <f t="shared" si="3"/>
        <v>0</v>
      </c>
      <c r="S18" s="12">
        <f t="shared" si="2"/>
        <v>0.08453440817314506</v>
      </c>
      <c r="T18" s="12">
        <f t="shared" si="4"/>
        <v>0.06332160753820684</v>
      </c>
    </row>
    <row r="19" spans="1:20" ht="12.75">
      <c r="A19" s="10" t="s">
        <v>41</v>
      </c>
      <c r="B19" s="11">
        <v>299535351</v>
      </c>
      <c r="C19" s="11">
        <v>59907070</v>
      </c>
      <c r="D19" s="11">
        <v>29953535</v>
      </c>
      <c r="E19" s="11">
        <f t="shared" si="0"/>
        <v>209674746</v>
      </c>
      <c r="F19" s="11"/>
      <c r="G19" s="11">
        <v>0</v>
      </c>
      <c r="H19" s="11">
        <v>68409</v>
      </c>
      <c r="I19" s="11">
        <v>38287394</v>
      </c>
      <c r="J19" s="11">
        <v>19279880</v>
      </c>
      <c r="K19" s="11">
        <v>3018026</v>
      </c>
      <c r="L19" s="11">
        <v>315968</v>
      </c>
      <c r="M19" s="11">
        <v>12259816</v>
      </c>
      <c r="N19" s="11">
        <f t="shared" si="1"/>
        <v>73229493</v>
      </c>
      <c r="O19" s="11"/>
      <c r="P19" s="11">
        <v>0</v>
      </c>
      <c r="Q19" s="11">
        <v>136445253</v>
      </c>
      <c r="R19" s="33">
        <f t="shared" si="3"/>
        <v>0</v>
      </c>
      <c r="S19" s="12">
        <f t="shared" si="2"/>
        <v>0.2632802605911801</v>
      </c>
      <c r="T19" s="12">
        <f t="shared" si="4"/>
        <v>0.09195136928888899</v>
      </c>
    </row>
    <row r="20" spans="1:20" ht="12.75">
      <c r="A20" s="10" t="s">
        <v>42</v>
      </c>
      <c r="B20" s="11">
        <v>175583877</v>
      </c>
      <c r="C20" s="11">
        <v>15765125</v>
      </c>
      <c r="D20" s="11">
        <v>10621051</v>
      </c>
      <c r="E20" s="11">
        <f t="shared" si="0"/>
        <v>149197701</v>
      </c>
      <c r="F20" s="11"/>
      <c r="G20" s="11">
        <v>10719279</v>
      </c>
      <c r="H20" s="11">
        <v>8514089</v>
      </c>
      <c r="I20" s="11">
        <v>0</v>
      </c>
      <c r="J20" s="11">
        <v>14729260</v>
      </c>
      <c r="K20" s="11">
        <v>4064296</v>
      </c>
      <c r="L20" s="11">
        <v>0</v>
      </c>
      <c r="M20" s="11">
        <v>10374023</v>
      </c>
      <c r="N20" s="11">
        <f t="shared" si="1"/>
        <v>48400947</v>
      </c>
      <c r="O20" s="11"/>
      <c r="P20" s="11">
        <v>24098061</v>
      </c>
      <c r="Q20" s="11">
        <v>76698693</v>
      </c>
      <c r="R20" s="33">
        <f t="shared" si="3"/>
        <v>0</v>
      </c>
      <c r="S20" s="12">
        <f t="shared" si="2"/>
        <v>0.304317599405648</v>
      </c>
      <c r="T20" s="12">
        <f t="shared" si="4"/>
        <v>0.09872310297864442</v>
      </c>
    </row>
    <row r="21" spans="1:20" ht="12.75">
      <c r="A21" s="10" t="s">
        <v>43</v>
      </c>
      <c r="B21" s="11">
        <v>49452394</v>
      </c>
      <c r="C21" s="11">
        <v>0</v>
      </c>
      <c r="D21" s="11">
        <v>0</v>
      </c>
      <c r="E21" s="11">
        <f t="shared" si="0"/>
        <v>49452394</v>
      </c>
      <c r="F21" s="11"/>
      <c r="G21" s="11">
        <v>43841838</v>
      </c>
      <c r="H21" s="11">
        <v>1973276</v>
      </c>
      <c r="I21" s="11">
        <v>0</v>
      </c>
      <c r="J21" s="11">
        <v>2392746</v>
      </c>
      <c r="K21" s="11">
        <v>493361</v>
      </c>
      <c r="L21" s="11">
        <v>0</v>
      </c>
      <c r="M21" s="11">
        <v>0</v>
      </c>
      <c r="N21" s="11">
        <f t="shared" si="1"/>
        <v>48701221</v>
      </c>
      <c r="O21" s="11"/>
      <c r="P21" s="11">
        <v>751173</v>
      </c>
      <c r="Q21" s="11">
        <v>0</v>
      </c>
      <c r="R21" s="33">
        <f t="shared" si="3"/>
        <v>0</v>
      </c>
      <c r="S21" s="12">
        <f t="shared" si="2"/>
        <v>0.049131129587079554</v>
      </c>
      <c r="T21" s="12">
        <f t="shared" si="4"/>
        <v>0.0483848365359218</v>
      </c>
    </row>
    <row r="22" spans="1:20" ht="12.75">
      <c r="A22" s="10" t="s">
        <v>44</v>
      </c>
      <c r="B22" s="11">
        <v>13474179</v>
      </c>
      <c r="C22" s="11">
        <v>0</v>
      </c>
      <c r="D22" s="11">
        <v>1347417</v>
      </c>
      <c r="E22" s="11">
        <f t="shared" si="0"/>
        <v>12126762</v>
      </c>
      <c r="F22" s="11"/>
      <c r="G22" s="11">
        <v>0</v>
      </c>
      <c r="H22" s="11">
        <v>0</v>
      </c>
      <c r="I22" s="11">
        <v>0</v>
      </c>
      <c r="J22" s="11">
        <v>0</v>
      </c>
      <c r="K22" s="11">
        <v>0</v>
      </c>
      <c r="L22" s="11">
        <v>0</v>
      </c>
      <c r="M22" s="11">
        <v>0</v>
      </c>
      <c r="N22" s="11">
        <f t="shared" si="1"/>
        <v>0</v>
      </c>
      <c r="O22" s="11"/>
      <c r="P22" s="11">
        <v>0</v>
      </c>
      <c r="Q22" s="11">
        <v>12126762</v>
      </c>
      <c r="R22" s="33">
        <f t="shared" si="3"/>
        <v>0</v>
      </c>
      <c r="S22" s="12" t="e">
        <f t="shared" si="2"/>
        <v>#DIV/0!</v>
      </c>
      <c r="T22" s="12">
        <f t="shared" si="4"/>
        <v>0</v>
      </c>
    </row>
    <row r="23" spans="1:20" ht="12.75">
      <c r="A23" s="16" t="s">
        <v>45</v>
      </c>
      <c r="B23" s="14">
        <v>292528480</v>
      </c>
      <c r="C23" s="17">
        <v>60545385</v>
      </c>
      <c r="D23" s="17">
        <v>8800000</v>
      </c>
      <c r="E23" s="14">
        <f t="shared" si="0"/>
        <v>223183095</v>
      </c>
      <c r="F23" s="17"/>
      <c r="G23" s="17">
        <v>189518333</v>
      </c>
      <c r="H23" s="17">
        <v>86713</v>
      </c>
      <c r="I23" s="17">
        <v>0</v>
      </c>
      <c r="J23" s="17">
        <v>31310406</v>
      </c>
      <c r="K23" s="17">
        <v>2300346</v>
      </c>
      <c r="L23" s="17">
        <v>0</v>
      </c>
      <c r="M23" s="17">
        <v>0</v>
      </c>
      <c r="N23" s="17">
        <f t="shared" si="1"/>
        <v>223215798</v>
      </c>
      <c r="O23" s="17"/>
      <c r="P23" s="17">
        <v>0</v>
      </c>
      <c r="Q23" s="17">
        <v>0</v>
      </c>
      <c r="R23" s="33" t="s">
        <v>256</v>
      </c>
      <c r="S23" s="12">
        <f t="shared" si="2"/>
        <v>0.14026966854738482</v>
      </c>
      <c r="T23" s="12">
        <f t="shared" si="4"/>
        <v>0.140290222250032</v>
      </c>
    </row>
    <row r="24" spans="1:20" ht="12.75">
      <c r="A24" s="16" t="s">
        <v>46</v>
      </c>
      <c r="B24" s="14">
        <v>103399554</v>
      </c>
      <c r="C24" s="17">
        <v>56039000</v>
      </c>
      <c r="D24" s="17">
        <v>6000000</v>
      </c>
      <c r="E24" s="14">
        <f t="shared" si="0"/>
        <v>41360554</v>
      </c>
      <c r="F24" s="17"/>
      <c r="G24" s="17">
        <v>0</v>
      </c>
      <c r="H24" s="17">
        <v>0</v>
      </c>
      <c r="I24" s="17">
        <v>0</v>
      </c>
      <c r="J24" s="17">
        <v>3926330</v>
      </c>
      <c r="K24" s="17">
        <v>777305</v>
      </c>
      <c r="L24" s="17">
        <v>0</v>
      </c>
      <c r="M24" s="17">
        <v>0</v>
      </c>
      <c r="N24" s="17">
        <f t="shared" si="1"/>
        <v>4703635</v>
      </c>
      <c r="O24" s="17"/>
      <c r="P24" s="17">
        <v>36656919</v>
      </c>
      <c r="Q24" s="17">
        <v>0</v>
      </c>
      <c r="R24" s="33">
        <f t="shared" si="3"/>
        <v>0</v>
      </c>
      <c r="S24" s="12">
        <f t="shared" si="2"/>
        <v>0.8347437673203809</v>
      </c>
      <c r="T24" s="12">
        <f t="shared" si="4"/>
        <v>0.09492933774533098</v>
      </c>
    </row>
    <row r="25" spans="1:20" ht="12.75">
      <c r="A25" s="16" t="s">
        <v>47</v>
      </c>
      <c r="B25" s="11">
        <v>59715564</v>
      </c>
      <c r="C25" s="11">
        <v>3784961</v>
      </c>
      <c r="D25" s="11">
        <v>0</v>
      </c>
      <c r="E25" s="11">
        <f t="shared" si="0"/>
        <v>55930603</v>
      </c>
      <c r="F25" s="11"/>
      <c r="G25" s="11">
        <v>4975546</v>
      </c>
      <c r="H25" s="11">
        <v>2496415</v>
      </c>
      <c r="I25" s="11">
        <v>0</v>
      </c>
      <c r="J25" s="11">
        <v>3013569</v>
      </c>
      <c r="K25" s="11">
        <v>410060</v>
      </c>
      <c r="L25" s="11">
        <v>0</v>
      </c>
      <c r="M25" s="11">
        <v>6267408</v>
      </c>
      <c r="N25" s="11">
        <f t="shared" si="1"/>
        <v>17162998</v>
      </c>
      <c r="O25" s="11"/>
      <c r="P25" s="11">
        <v>38767605</v>
      </c>
      <c r="Q25" s="11">
        <v>0</v>
      </c>
      <c r="R25" s="33">
        <f t="shared" si="3"/>
        <v>0</v>
      </c>
      <c r="S25" s="12">
        <f t="shared" si="2"/>
        <v>0.1755852328363611</v>
      </c>
      <c r="T25" s="12">
        <f t="shared" si="4"/>
        <v>0.05388050259354436</v>
      </c>
    </row>
    <row r="26" spans="1:20" ht="12.75">
      <c r="A26" s="16" t="s">
        <v>48</v>
      </c>
      <c r="B26" s="14">
        <v>101931061</v>
      </c>
      <c r="C26" s="17">
        <v>712677</v>
      </c>
      <c r="D26" s="17">
        <v>0</v>
      </c>
      <c r="E26" s="14">
        <f t="shared" si="0"/>
        <v>101218384</v>
      </c>
      <c r="F26" s="17"/>
      <c r="G26" s="17">
        <v>0</v>
      </c>
      <c r="H26" s="17">
        <v>3676694</v>
      </c>
      <c r="I26" s="17">
        <v>0</v>
      </c>
      <c r="J26" s="17">
        <v>3028425</v>
      </c>
      <c r="K26" s="17">
        <v>0</v>
      </c>
      <c r="L26" s="17">
        <v>0</v>
      </c>
      <c r="M26" s="17">
        <v>19356326</v>
      </c>
      <c r="N26" s="17">
        <f t="shared" si="1"/>
        <v>26061445</v>
      </c>
      <c r="O26" s="17"/>
      <c r="P26" s="17">
        <v>0</v>
      </c>
      <c r="Q26" s="17">
        <v>75156939</v>
      </c>
      <c r="R26" s="33">
        <f t="shared" si="3"/>
        <v>0</v>
      </c>
      <c r="S26" s="12">
        <f t="shared" si="2"/>
        <v>0.11620326501466055</v>
      </c>
      <c r="T26" s="12">
        <f t="shared" si="4"/>
        <v>0.029919713003914387</v>
      </c>
    </row>
    <row r="27" spans="1:20" ht="12.75">
      <c r="A27" s="16" t="s">
        <v>49</v>
      </c>
      <c r="B27" s="11">
        <v>85321917</v>
      </c>
      <c r="C27" s="11">
        <v>23133000</v>
      </c>
      <c r="D27" s="11">
        <v>14600000</v>
      </c>
      <c r="E27" s="11">
        <f t="shared" si="0"/>
        <v>47588917</v>
      </c>
      <c r="F27" s="11"/>
      <c r="G27" s="11">
        <v>39803218</v>
      </c>
      <c r="H27" s="11">
        <v>6108333</v>
      </c>
      <c r="I27" s="11">
        <v>6444146</v>
      </c>
      <c r="J27" s="11">
        <v>5491226</v>
      </c>
      <c r="K27" s="11">
        <v>183706</v>
      </c>
      <c r="L27" s="11">
        <v>0</v>
      </c>
      <c r="M27" s="11">
        <v>3411377</v>
      </c>
      <c r="N27" s="11">
        <f t="shared" si="1"/>
        <v>61442006</v>
      </c>
      <c r="O27" s="11"/>
      <c r="P27" s="11">
        <v>0</v>
      </c>
      <c r="Q27" s="11">
        <v>-13853089</v>
      </c>
      <c r="R27" s="33">
        <f t="shared" si="3"/>
        <v>0</v>
      </c>
      <c r="S27" s="12">
        <f t="shared" si="2"/>
        <v>0.08937250518806303</v>
      </c>
      <c r="T27" s="12">
        <f t="shared" si="4"/>
        <v>0.11538875742854161</v>
      </c>
    </row>
    <row r="28" spans="1:20" ht="12.75">
      <c r="A28" s="16" t="s">
        <v>50</v>
      </c>
      <c r="B28" s="11">
        <v>29226371</v>
      </c>
      <c r="C28" s="11">
        <v>8767911</v>
      </c>
      <c r="D28" s="11">
        <v>0</v>
      </c>
      <c r="E28" s="11">
        <f t="shared" si="0"/>
        <v>20458460</v>
      </c>
      <c r="F28" s="11"/>
      <c r="G28" s="11">
        <v>0</v>
      </c>
      <c r="H28" s="11">
        <v>0</v>
      </c>
      <c r="I28" s="11">
        <v>0</v>
      </c>
      <c r="J28" s="11">
        <v>7298948</v>
      </c>
      <c r="K28" s="11">
        <v>2276176</v>
      </c>
      <c r="L28" s="11">
        <v>0</v>
      </c>
      <c r="M28" s="11">
        <v>10883336</v>
      </c>
      <c r="N28" s="11">
        <f t="shared" si="1"/>
        <v>20458460</v>
      </c>
      <c r="O28" s="11"/>
      <c r="P28" s="11">
        <v>0</v>
      </c>
      <c r="Q28" s="11">
        <v>0</v>
      </c>
      <c r="R28" s="33">
        <f t="shared" si="3"/>
        <v>0</v>
      </c>
      <c r="S28" s="12">
        <f t="shared" si="2"/>
        <v>0.35676918008491354</v>
      </c>
      <c r="T28" s="12">
        <f t="shared" si="4"/>
        <v>0.35676918008491354</v>
      </c>
    </row>
    <row r="29" spans="1:20" ht="12.75">
      <c r="A29" s="16" t="s">
        <v>51</v>
      </c>
      <c r="B29" s="11">
        <v>33950176</v>
      </c>
      <c r="C29" s="11">
        <v>3756183</v>
      </c>
      <c r="D29" s="11">
        <v>1250000</v>
      </c>
      <c r="E29" s="11">
        <f t="shared" si="0"/>
        <v>28943993</v>
      </c>
      <c r="F29" s="11"/>
      <c r="G29" s="11">
        <v>18174648</v>
      </c>
      <c r="H29" s="11">
        <v>5274557</v>
      </c>
      <c r="I29" s="11">
        <v>0</v>
      </c>
      <c r="J29" s="11">
        <v>4341598</v>
      </c>
      <c r="K29" s="11">
        <v>798373</v>
      </c>
      <c r="L29" s="11">
        <v>0</v>
      </c>
      <c r="M29" s="11">
        <v>354817</v>
      </c>
      <c r="N29" s="11">
        <f t="shared" si="1"/>
        <v>28943993</v>
      </c>
      <c r="O29" s="11">
        <v>1246000</v>
      </c>
      <c r="P29" s="11">
        <v>0</v>
      </c>
      <c r="Q29" s="11">
        <v>0</v>
      </c>
      <c r="R29" s="33" t="s">
        <v>255</v>
      </c>
      <c r="S29" s="12">
        <f t="shared" si="2"/>
        <v>0.14999996717799097</v>
      </c>
      <c r="T29" s="12">
        <f t="shared" si="4"/>
        <v>0.14999996717799097</v>
      </c>
    </row>
    <row r="30" spans="1:20" ht="12.75">
      <c r="A30" s="16" t="s">
        <v>52</v>
      </c>
      <c r="B30" s="11">
        <v>114549016</v>
      </c>
      <c r="C30" s="11">
        <v>0</v>
      </c>
      <c r="D30" s="11">
        <v>0</v>
      </c>
      <c r="E30" s="11">
        <f t="shared" si="0"/>
        <v>114549016</v>
      </c>
      <c r="F30" s="11"/>
      <c r="G30" s="11">
        <v>36931840</v>
      </c>
      <c r="H30" s="11">
        <v>8720407</v>
      </c>
      <c r="I30" s="11">
        <v>12611</v>
      </c>
      <c r="J30" s="11">
        <v>9792808</v>
      </c>
      <c r="K30" s="11">
        <v>3167888</v>
      </c>
      <c r="L30" s="11">
        <v>0</v>
      </c>
      <c r="M30" s="11">
        <v>834836</v>
      </c>
      <c r="N30" s="11">
        <f t="shared" si="1"/>
        <v>59460390</v>
      </c>
      <c r="O30" s="11"/>
      <c r="P30" s="11"/>
      <c r="Q30" s="11">
        <v>55088626</v>
      </c>
      <c r="R30" s="33">
        <f t="shared" si="3"/>
        <v>0</v>
      </c>
      <c r="S30" s="12">
        <f t="shared" si="2"/>
        <v>0.16469464798330452</v>
      </c>
      <c r="T30" s="12">
        <f t="shared" si="4"/>
        <v>0.08549011019003429</v>
      </c>
    </row>
    <row r="31" spans="1:20" ht="12.75">
      <c r="A31" s="16" t="s">
        <v>53</v>
      </c>
      <c r="B31" s="14">
        <v>229685558</v>
      </c>
      <c r="C31" s="14">
        <v>45483064</v>
      </c>
      <c r="D31" s="14">
        <v>8139468</v>
      </c>
      <c r="E31" s="14">
        <f t="shared" si="0"/>
        <v>176063026</v>
      </c>
      <c r="F31" s="17"/>
      <c r="G31" s="17">
        <v>82027160</v>
      </c>
      <c r="H31" s="17">
        <v>1192127</v>
      </c>
      <c r="I31" s="17">
        <v>0</v>
      </c>
      <c r="J31" s="17">
        <v>5688945</v>
      </c>
      <c r="K31" s="17">
        <v>9470716</v>
      </c>
      <c r="L31" s="17">
        <v>0</v>
      </c>
      <c r="M31" s="17">
        <v>2225097</v>
      </c>
      <c r="N31" s="17">
        <f t="shared" si="1"/>
        <v>100604045</v>
      </c>
      <c r="O31" s="17"/>
      <c r="P31" s="17">
        <v>75458981</v>
      </c>
      <c r="Q31" s="17">
        <v>0</v>
      </c>
      <c r="R31" s="33">
        <f t="shared" si="3"/>
        <v>0</v>
      </c>
      <c r="S31" s="12">
        <f t="shared" si="2"/>
        <v>0.05654787538612389</v>
      </c>
      <c r="T31" s="12">
        <f t="shared" si="4"/>
        <v>0.03231198014283817</v>
      </c>
    </row>
    <row r="32" spans="1:20" ht="12.75">
      <c r="A32" s="16" t="s">
        <v>54</v>
      </c>
      <c r="B32" s="14">
        <v>387676430</v>
      </c>
      <c r="C32" s="14">
        <v>77535286</v>
      </c>
      <c r="D32" s="14">
        <v>36856517</v>
      </c>
      <c r="E32" s="14">
        <f t="shared" si="0"/>
        <v>273284627</v>
      </c>
      <c r="F32" s="17"/>
      <c r="G32" s="17">
        <v>16976352</v>
      </c>
      <c r="H32" s="17">
        <v>28373685</v>
      </c>
      <c r="I32" s="17">
        <v>36659539</v>
      </c>
      <c r="J32" s="17">
        <v>3327157</v>
      </c>
      <c r="K32" s="17">
        <v>7453076</v>
      </c>
      <c r="L32" s="17">
        <v>0</v>
      </c>
      <c r="M32" s="17">
        <v>17349513</v>
      </c>
      <c r="N32" s="17">
        <f t="shared" si="1"/>
        <v>110139322</v>
      </c>
      <c r="O32" s="17"/>
      <c r="P32" s="17">
        <v>0</v>
      </c>
      <c r="Q32" s="17">
        <v>163145305</v>
      </c>
      <c r="R32" s="33">
        <f t="shared" si="3"/>
        <v>0</v>
      </c>
      <c r="S32" s="12">
        <f t="shared" si="2"/>
        <v>0.030208620677726707</v>
      </c>
      <c r="T32" s="12">
        <f t="shared" si="4"/>
        <v>0.012174695066180945</v>
      </c>
    </row>
    <row r="33" spans="1:20" ht="12.75">
      <c r="A33" s="16" t="s">
        <v>55</v>
      </c>
      <c r="B33" s="11">
        <v>133374788</v>
      </c>
      <c r="C33" s="11">
        <v>0</v>
      </c>
      <c r="D33" s="11">
        <v>0</v>
      </c>
      <c r="E33" s="11">
        <f t="shared" si="0"/>
        <v>133374788</v>
      </c>
      <c r="F33" s="11"/>
      <c r="G33" s="11">
        <v>0</v>
      </c>
      <c r="H33" s="11">
        <v>0</v>
      </c>
      <c r="I33" s="11">
        <v>0</v>
      </c>
      <c r="J33" s="11">
        <v>267000</v>
      </c>
      <c r="K33" s="11">
        <v>0</v>
      </c>
      <c r="L33" s="11">
        <v>0</v>
      </c>
      <c r="M33" s="11">
        <v>0</v>
      </c>
      <c r="N33" s="11">
        <f t="shared" si="1"/>
        <v>267000</v>
      </c>
      <c r="O33" s="11"/>
      <c r="P33" s="11">
        <v>0</v>
      </c>
      <c r="Q33" s="11">
        <v>133107788</v>
      </c>
      <c r="R33" s="33">
        <f t="shared" si="3"/>
        <v>0</v>
      </c>
      <c r="S33" s="12">
        <f t="shared" si="2"/>
        <v>1</v>
      </c>
      <c r="T33" s="12">
        <f t="shared" si="4"/>
        <v>0.002001877596236554</v>
      </c>
    </row>
    <row r="34" spans="1:20" ht="12.75">
      <c r="A34" s="16" t="s">
        <v>56</v>
      </c>
      <c r="B34" s="11">
        <v>43954977</v>
      </c>
      <c r="C34" s="11">
        <v>0</v>
      </c>
      <c r="D34" s="11">
        <f>4338378</f>
        <v>4338378</v>
      </c>
      <c r="E34" s="11">
        <f t="shared" si="0"/>
        <v>39616599</v>
      </c>
      <c r="F34" s="11"/>
      <c r="G34" s="11">
        <v>9818164</v>
      </c>
      <c r="H34" s="11">
        <v>1882696</v>
      </c>
      <c r="I34" s="11">
        <v>0</v>
      </c>
      <c r="J34" s="11">
        <v>1640900</v>
      </c>
      <c r="K34" s="11">
        <v>320806</v>
      </c>
      <c r="L34" s="11">
        <v>128033</v>
      </c>
      <c r="M34" s="11">
        <v>82260</v>
      </c>
      <c r="N34" s="11">
        <f t="shared" si="1"/>
        <v>13872859</v>
      </c>
      <c r="O34" s="11"/>
      <c r="P34" s="11">
        <v>6155319</v>
      </c>
      <c r="Q34" s="11">
        <v>19588421</v>
      </c>
      <c r="R34" s="33">
        <f t="shared" si="3"/>
        <v>0</v>
      </c>
      <c r="S34" s="12">
        <f t="shared" si="2"/>
        <v>0.11828131461582649</v>
      </c>
      <c r="T34" s="12">
        <f t="shared" si="4"/>
        <v>0.041419507010180254</v>
      </c>
    </row>
    <row r="35" spans="1:20" ht="12.75">
      <c r="A35" s="16" t="s">
        <v>57</v>
      </c>
      <c r="B35" s="18">
        <v>108525870</v>
      </c>
      <c r="C35" s="18">
        <v>0</v>
      </c>
      <c r="D35" s="18">
        <v>21705174</v>
      </c>
      <c r="E35" s="11">
        <f t="shared" si="0"/>
        <v>86820696</v>
      </c>
      <c r="F35" s="11"/>
      <c r="G35" s="18">
        <v>6468546</v>
      </c>
      <c r="H35" s="18">
        <v>8815736</v>
      </c>
      <c r="I35" s="11">
        <v>10861366</v>
      </c>
      <c r="J35" s="18">
        <v>5415794</v>
      </c>
      <c r="K35" s="18">
        <v>1125828</v>
      </c>
      <c r="L35" s="11">
        <v>0</v>
      </c>
      <c r="M35" s="18">
        <v>5447822</v>
      </c>
      <c r="N35" s="11">
        <f t="shared" si="1"/>
        <v>38135092</v>
      </c>
      <c r="O35" s="11"/>
      <c r="P35" s="18">
        <v>48685604</v>
      </c>
      <c r="Q35" s="11">
        <v>0</v>
      </c>
      <c r="R35" s="33">
        <f t="shared" si="3"/>
        <v>0</v>
      </c>
      <c r="S35" s="12">
        <f>+J36/N35</f>
        <v>0.02795836968218144</v>
      </c>
      <c r="T35" s="12">
        <f t="shared" si="4"/>
        <v>0.06237906685290798</v>
      </c>
    </row>
    <row r="36" spans="1:20" ht="12.75">
      <c r="A36" s="16" t="s">
        <v>58</v>
      </c>
      <c r="B36" s="11">
        <v>22417111</v>
      </c>
      <c r="C36" s="11">
        <v>0</v>
      </c>
      <c r="D36" s="11">
        <v>0</v>
      </c>
      <c r="E36" s="11">
        <f t="shared" si="0"/>
        <v>22417111</v>
      </c>
      <c r="F36" s="11"/>
      <c r="G36" s="11">
        <v>8763613</v>
      </c>
      <c r="H36" s="11">
        <v>1613810</v>
      </c>
      <c r="I36" s="11">
        <v>0</v>
      </c>
      <c r="J36" s="11">
        <v>1066195</v>
      </c>
      <c r="K36" s="11">
        <v>276036</v>
      </c>
      <c r="L36" s="11">
        <v>0</v>
      </c>
      <c r="M36" s="11">
        <v>568353</v>
      </c>
      <c r="N36" s="11">
        <f t="shared" si="1"/>
        <v>12288007</v>
      </c>
      <c r="O36" s="11"/>
      <c r="P36" s="11">
        <v>10129104</v>
      </c>
      <c r="Q36" s="11">
        <v>0</v>
      </c>
      <c r="R36" s="33">
        <f t="shared" si="3"/>
        <v>0</v>
      </c>
      <c r="S36" s="12">
        <f>+J37/N36</f>
        <v>0.30699974373386996</v>
      </c>
      <c r="T36" s="12">
        <f t="shared" si="4"/>
        <v>0.047561659484132456</v>
      </c>
    </row>
    <row r="37" spans="1:20" ht="12.75">
      <c r="A37" s="13" t="s">
        <v>59</v>
      </c>
      <c r="B37" s="14">
        <v>29014290</v>
      </c>
      <c r="C37" s="14">
        <v>0</v>
      </c>
      <c r="D37" s="14">
        <v>0</v>
      </c>
      <c r="E37" s="14">
        <f t="shared" si="0"/>
        <v>29014290</v>
      </c>
      <c r="F37" s="14"/>
      <c r="G37" s="14">
        <v>14056569</v>
      </c>
      <c r="H37" s="14">
        <v>4813759</v>
      </c>
      <c r="I37" s="14">
        <v>0</v>
      </c>
      <c r="J37" s="14">
        <v>3772415</v>
      </c>
      <c r="K37" s="14">
        <v>1715217</v>
      </c>
      <c r="L37" s="14">
        <v>0</v>
      </c>
      <c r="M37" s="14">
        <v>0</v>
      </c>
      <c r="N37" s="14">
        <f t="shared" si="1"/>
        <v>24357960</v>
      </c>
      <c r="O37" s="14"/>
      <c r="P37" s="14">
        <v>0</v>
      </c>
      <c r="Q37" s="14">
        <v>4656330</v>
      </c>
      <c r="R37" s="33">
        <f t="shared" si="3"/>
        <v>0</v>
      </c>
      <c r="S37" s="12">
        <f aca="true" t="shared" si="5" ref="S37:S60">+J37/N37</f>
        <v>0.1548740124378232</v>
      </c>
      <c r="T37" s="12">
        <f t="shared" si="4"/>
        <v>0.13001920777658182</v>
      </c>
    </row>
    <row r="38" spans="1:20" ht="12.75">
      <c r="A38" s="16" t="s">
        <v>60</v>
      </c>
      <c r="B38" s="11">
        <v>22898715</v>
      </c>
      <c r="C38" s="11">
        <v>0</v>
      </c>
      <c r="D38" s="11">
        <v>0</v>
      </c>
      <c r="E38" s="11">
        <f t="shared" si="0"/>
        <v>22898715</v>
      </c>
      <c r="F38" s="11"/>
      <c r="G38" s="11">
        <v>9233491</v>
      </c>
      <c r="H38" s="11">
        <v>300696</v>
      </c>
      <c r="I38" s="11">
        <v>0</v>
      </c>
      <c r="J38" s="11">
        <v>1277562</v>
      </c>
      <c r="K38" s="11">
        <v>1297046</v>
      </c>
      <c r="L38" s="11">
        <v>0</v>
      </c>
      <c r="M38" s="11">
        <v>2313742</v>
      </c>
      <c r="N38" s="11">
        <f t="shared" si="1"/>
        <v>14422537</v>
      </c>
      <c r="O38" s="11"/>
      <c r="P38" s="11">
        <v>8476178</v>
      </c>
      <c r="Q38" s="11">
        <v>0</v>
      </c>
      <c r="R38" s="33">
        <f t="shared" si="3"/>
        <v>0</v>
      </c>
      <c r="S38" s="12">
        <f t="shared" si="5"/>
        <v>0.08858094799826133</v>
      </c>
      <c r="T38" s="12">
        <f t="shared" si="4"/>
        <v>0.05579186430330261</v>
      </c>
    </row>
    <row r="39" spans="1:20" ht="12.75">
      <c r="A39" s="16" t="s">
        <v>61</v>
      </c>
      <c r="B39" s="11">
        <v>19280315</v>
      </c>
      <c r="C39" s="11">
        <v>0</v>
      </c>
      <c r="D39" s="11">
        <v>0</v>
      </c>
      <c r="E39" s="11">
        <f t="shared" si="0"/>
        <v>19280315</v>
      </c>
      <c r="F39" s="11"/>
      <c r="G39" s="11">
        <v>5776479</v>
      </c>
      <c r="H39" s="11">
        <v>983882</v>
      </c>
      <c r="I39" s="11">
        <v>0</v>
      </c>
      <c r="J39" s="11">
        <v>1070474</v>
      </c>
      <c r="K39" s="11">
        <v>1402758</v>
      </c>
      <c r="L39" s="11">
        <v>0</v>
      </c>
      <c r="M39" s="11">
        <v>1224951</v>
      </c>
      <c r="N39" s="11">
        <f t="shared" si="1"/>
        <v>10458544</v>
      </c>
      <c r="O39" s="11"/>
      <c r="P39" s="11">
        <v>0</v>
      </c>
      <c r="Q39" s="11">
        <v>8821771</v>
      </c>
      <c r="R39" s="33">
        <f t="shared" si="3"/>
        <v>0</v>
      </c>
      <c r="S39" s="12">
        <f t="shared" si="5"/>
        <v>0.10235401792065894</v>
      </c>
      <c r="T39" s="12">
        <f t="shared" si="4"/>
        <v>0.05552160325181409</v>
      </c>
    </row>
    <row r="40" spans="1:20" ht="12.75">
      <c r="A40" s="16" t="s">
        <v>62</v>
      </c>
      <c r="B40" s="11">
        <v>96283081</v>
      </c>
      <c r="C40" s="11">
        <v>32699968</v>
      </c>
      <c r="D40" s="11">
        <v>20201742</v>
      </c>
      <c r="E40" s="11">
        <f t="shared" si="0"/>
        <v>43381371</v>
      </c>
      <c r="F40" s="11"/>
      <c r="G40" s="11">
        <v>21969641</v>
      </c>
      <c r="H40" s="11">
        <v>3859594</v>
      </c>
      <c r="I40" s="11">
        <v>0</v>
      </c>
      <c r="J40" s="11">
        <v>6697357</v>
      </c>
      <c r="K40" s="11">
        <v>942972</v>
      </c>
      <c r="L40" s="11">
        <v>0</v>
      </c>
      <c r="M40" s="11">
        <v>0</v>
      </c>
      <c r="N40" s="11">
        <f t="shared" si="1"/>
        <v>33469564</v>
      </c>
      <c r="O40" s="11"/>
      <c r="P40" s="11">
        <v>0</v>
      </c>
      <c r="Q40" s="11">
        <v>9911807</v>
      </c>
      <c r="R40" s="33">
        <f t="shared" si="3"/>
        <v>0</v>
      </c>
      <c r="S40" s="12">
        <f t="shared" si="5"/>
        <v>0.2001029054337248</v>
      </c>
      <c r="T40" s="12">
        <f t="shared" si="4"/>
        <v>0.1543832489756951</v>
      </c>
    </row>
    <row r="41" spans="1:20" ht="12.75">
      <c r="A41" s="16" t="s">
        <v>63</v>
      </c>
      <c r="B41" s="11">
        <v>65357300</v>
      </c>
      <c r="C41" s="11">
        <v>4773457</v>
      </c>
      <c r="D41" s="11">
        <v>0</v>
      </c>
      <c r="E41" s="11">
        <f t="shared" si="0"/>
        <v>60583843</v>
      </c>
      <c r="F41" s="11"/>
      <c r="G41" s="11">
        <v>50770689</v>
      </c>
      <c r="H41" s="11">
        <v>0</v>
      </c>
      <c r="I41" s="11">
        <v>0</v>
      </c>
      <c r="J41" s="11">
        <v>1363467</v>
      </c>
      <c r="K41" s="11">
        <v>361034</v>
      </c>
      <c r="L41" s="11">
        <v>0</v>
      </c>
      <c r="M41" s="11">
        <v>3230145</v>
      </c>
      <c r="N41" s="11">
        <f t="shared" si="1"/>
        <v>55725335</v>
      </c>
      <c r="O41" s="11"/>
      <c r="P41" s="11">
        <v>0</v>
      </c>
      <c r="Q41" s="11">
        <v>4858508</v>
      </c>
      <c r="R41" s="33">
        <f t="shared" si="3"/>
        <v>0</v>
      </c>
      <c r="S41" s="12">
        <f t="shared" si="5"/>
        <v>0.02446763218202277</v>
      </c>
      <c r="T41" s="12">
        <f t="shared" si="4"/>
        <v>0.022505455786289423</v>
      </c>
    </row>
    <row r="42" spans="1:20" ht="12.75">
      <c r="A42" s="16" t="s">
        <v>64</v>
      </c>
      <c r="B42" s="11">
        <v>1221465300</v>
      </c>
      <c r="C42" s="11">
        <v>5000000</v>
      </c>
      <c r="D42" s="11">
        <v>0</v>
      </c>
      <c r="E42" s="11">
        <f aca="true" t="shared" si="6" ref="E42:E60">B42-(C42+D42)</f>
        <v>1216465300</v>
      </c>
      <c r="F42" s="11"/>
      <c r="G42" s="11">
        <v>488334769</v>
      </c>
      <c r="H42" s="11">
        <v>34705050</v>
      </c>
      <c r="I42" s="11">
        <v>0</v>
      </c>
      <c r="J42" s="11">
        <v>116280935</v>
      </c>
      <c r="K42" s="11">
        <v>0</v>
      </c>
      <c r="L42" s="11">
        <v>0</v>
      </c>
      <c r="M42" s="11">
        <v>98337258</v>
      </c>
      <c r="N42" s="11">
        <f aca="true" t="shared" si="7" ref="N42:N60">SUM(G42:M42)</f>
        <v>737658012</v>
      </c>
      <c r="O42" s="11"/>
      <c r="P42" s="11">
        <v>0</v>
      </c>
      <c r="Q42" s="11">
        <v>478807288</v>
      </c>
      <c r="R42" s="33">
        <f t="shared" si="3"/>
        <v>0</v>
      </c>
      <c r="S42" s="12">
        <f t="shared" si="5"/>
        <v>0.15763529048471855</v>
      </c>
      <c r="T42" s="12">
        <f t="shared" si="4"/>
        <v>0.09558919189885647</v>
      </c>
    </row>
    <row r="43" spans="1:20" ht="12.75">
      <c r="A43" s="16" t="s">
        <v>65</v>
      </c>
      <c r="B43" s="11">
        <v>159924420</v>
      </c>
      <c r="C43" s="11">
        <v>34861517</v>
      </c>
      <c r="D43" s="11">
        <v>2503305</v>
      </c>
      <c r="E43" s="11">
        <f t="shared" si="6"/>
        <v>122559598</v>
      </c>
      <c r="F43" s="11"/>
      <c r="G43" s="11">
        <v>9110312</v>
      </c>
      <c r="H43" s="11">
        <v>190791</v>
      </c>
      <c r="I43" s="11">
        <v>403687</v>
      </c>
      <c r="J43" s="11">
        <v>1422636</v>
      </c>
      <c r="K43" s="11">
        <v>0</v>
      </c>
      <c r="L43" s="11">
        <v>3003</v>
      </c>
      <c r="M43" s="11">
        <v>11430179</v>
      </c>
      <c r="N43" s="11">
        <f t="shared" si="7"/>
        <v>22560608</v>
      </c>
      <c r="O43" s="11"/>
      <c r="P43" s="11">
        <v>0</v>
      </c>
      <c r="Q43" s="11">
        <v>99998990</v>
      </c>
      <c r="R43" s="33">
        <f t="shared" si="3"/>
        <v>0</v>
      </c>
      <c r="S43" s="12">
        <f t="shared" si="5"/>
        <v>0.06305840693655064</v>
      </c>
      <c r="T43" s="12">
        <f t="shared" si="4"/>
        <v>0.011607707786378346</v>
      </c>
    </row>
    <row r="44" spans="1:20" ht="12.75">
      <c r="A44" s="16" t="s">
        <v>66</v>
      </c>
      <c r="B44" s="11">
        <v>12173252</v>
      </c>
      <c r="C44" s="11">
        <v>0</v>
      </c>
      <c r="D44" s="11">
        <v>0</v>
      </c>
      <c r="E44" s="11">
        <f t="shared" si="6"/>
        <v>12173252</v>
      </c>
      <c r="F44" s="11"/>
      <c r="G44" s="11">
        <v>739366</v>
      </c>
      <c r="H44" s="11">
        <v>786221</v>
      </c>
      <c r="I44" s="11">
        <v>0</v>
      </c>
      <c r="J44" s="11">
        <v>659425</v>
      </c>
      <c r="K44" s="11">
        <v>1587698</v>
      </c>
      <c r="L44" s="11">
        <v>0</v>
      </c>
      <c r="M44" s="11">
        <v>622764</v>
      </c>
      <c r="N44" s="11">
        <f t="shared" si="7"/>
        <v>4395474</v>
      </c>
      <c r="O44" s="11"/>
      <c r="P44" s="11">
        <v>0</v>
      </c>
      <c r="Q44" s="11">
        <v>7777778</v>
      </c>
      <c r="R44" s="33">
        <f t="shared" si="3"/>
        <v>0</v>
      </c>
      <c r="S44" s="12">
        <f t="shared" si="5"/>
        <v>0.1500236379512198</v>
      </c>
      <c r="T44" s="12">
        <f t="shared" si="4"/>
        <v>0.05416999500215719</v>
      </c>
    </row>
    <row r="45" spans="1:20" ht="12.75">
      <c r="A45" s="16" t="s">
        <v>67</v>
      </c>
      <c r="B45" s="11">
        <v>226039325</v>
      </c>
      <c r="C45" s="11">
        <v>0</v>
      </c>
      <c r="D45" s="11">
        <v>72796826</v>
      </c>
      <c r="E45" s="11">
        <f t="shared" si="6"/>
        <v>153242499</v>
      </c>
      <c r="F45" s="11"/>
      <c r="G45" s="11">
        <v>233071</v>
      </c>
      <c r="H45" s="11">
        <v>1644500</v>
      </c>
      <c r="I45" s="11">
        <v>0</v>
      </c>
      <c r="J45" s="11">
        <v>16746877</v>
      </c>
      <c r="K45" s="11">
        <v>9600380</v>
      </c>
      <c r="L45" s="11">
        <v>0</v>
      </c>
      <c r="M45" s="11">
        <v>11069043</v>
      </c>
      <c r="N45" s="11">
        <f t="shared" si="7"/>
        <v>39293871</v>
      </c>
      <c r="O45" s="11"/>
      <c r="P45" s="11">
        <v>113948628</v>
      </c>
      <c r="Q45" s="11">
        <v>0</v>
      </c>
      <c r="R45" s="33">
        <f t="shared" si="3"/>
        <v>0</v>
      </c>
      <c r="S45" s="12">
        <f t="shared" si="5"/>
        <v>0.4261956527520539</v>
      </c>
      <c r="T45" s="12">
        <f t="shared" si="4"/>
        <v>0.10928350235269917</v>
      </c>
    </row>
    <row r="46" spans="1:20" ht="12.75">
      <c r="A46" s="16" t="s">
        <v>68</v>
      </c>
      <c r="B46" s="11">
        <v>73546442</v>
      </c>
      <c r="C46" s="11">
        <v>5355519</v>
      </c>
      <c r="D46" s="11">
        <v>0</v>
      </c>
      <c r="E46" s="11">
        <f t="shared" si="6"/>
        <v>68190923</v>
      </c>
      <c r="F46" s="11"/>
      <c r="G46" s="11">
        <v>0</v>
      </c>
      <c r="H46" s="11">
        <v>0</v>
      </c>
      <c r="I46" s="11">
        <v>0</v>
      </c>
      <c r="J46" s="11">
        <v>0</v>
      </c>
      <c r="K46" s="11">
        <v>0</v>
      </c>
      <c r="L46" s="11">
        <v>0</v>
      </c>
      <c r="M46" s="11">
        <v>0</v>
      </c>
      <c r="N46" s="11">
        <f t="shared" si="7"/>
        <v>0</v>
      </c>
      <c r="O46" s="11"/>
      <c r="P46" s="11">
        <v>0</v>
      </c>
      <c r="Q46" s="11">
        <v>68190923</v>
      </c>
      <c r="R46" s="33">
        <f t="shared" si="3"/>
        <v>0</v>
      </c>
      <c r="S46" s="12" t="e">
        <f t="shared" si="5"/>
        <v>#DIV/0!</v>
      </c>
      <c r="T46" s="12">
        <f t="shared" si="4"/>
        <v>0</v>
      </c>
    </row>
    <row r="47" spans="1:20" ht="12.75">
      <c r="A47" s="16" t="s">
        <v>69</v>
      </c>
      <c r="B47" s="14">
        <v>167808448</v>
      </c>
      <c r="C47" s="15">
        <v>0</v>
      </c>
      <c r="D47" s="15">
        <v>0</v>
      </c>
      <c r="E47" s="14">
        <f t="shared" si="6"/>
        <v>167808448</v>
      </c>
      <c r="F47" s="17"/>
      <c r="G47" s="17">
        <v>29904722</v>
      </c>
      <c r="H47" s="17">
        <v>8087815</v>
      </c>
      <c r="I47" s="17">
        <v>2882153</v>
      </c>
      <c r="J47" s="17">
        <v>6922660</v>
      </c>
      <c r="K47" s="17">
        <v>2353832</v>
      </c>
      <c r="L47" s="17">
        <v>0</v>
      </c>
      <c r="M47" s="17">
        <v>368794</v>
      </c>
      <c r="N47" s="17">
        <f t="shared" si="7"/>
        <v>50519976</v>
      </c>
      <c r="O47" s="17"/>
      <c r="P47" s="17">
        <v>117288472</v>
      </c>
      <c r="Q47" s="17">
        <v>0</v>
      </c>
      <c r="R47" s="33">
        <f t="shared" si="3"/>
        <v>0</v>
      </c>
      <c r="S47" s="12">
        <f t="shared" si="5"/>
        <v>0.1370281727766458</v>
      </c>
      <c r="T47" s="12">
        <f t="shared" si="4"/>
        <v>0.04125334619625348</v>
      </c>
    </row>
    <row r="48" spans="1:20" ht="12.75">
      <c r="A48" s="16" t="s">
        <v>70</v>
      </c>
      <c r="B48" s="11">
        <v>359749826</v>
      </c>
      <c r="C48" s="11">
        <v>33368000</v>
      </c>
      <c r="D48" s="11">
        <v>0</v>
      </c>
      <c r="E48" s="11">
        <f t="shared" si="6"/>
        <v>326381826</v>
      </c>
      <c r="F48" s="11"/>
      <c r="G48" s="11">
        <v>145824018</v>
      </c>
      <c r="H48" s="11">
        <v>1879285</v>
      </c>
      <c r="I48" s="11">
        <v>0</v>
      </c>
      <c r="J48" s="11">
        <v>560793</v>
      </c>
      <c r="K48" s="11">
        <v>302351</v>
      </c>
      <c r="L48" s="11">
        <v>0</v>
      </c>
      <c r="M48" s="11">
        <v>113723245</v>
      </c>
      <c r="N48" s="11">
        <f t="shared" si="7"/>
        <v>262289692</v>
      </c>
      <c r="O48" s="11"/>
      <c r="P48" s="11">
        <v>64092134</v>
      </c>
      <c r="Q48" s="11">
        <v>0</v>
      </c>
      <c r="R48" s="33">
        <f t="shared" si="3"/>
        <v>0</v>
      </c>
      <c r="S48" s="12">
        <f t="shared" si="5"/>
        <v>0.0021380672481783997</v>
      </c>
      <c r="T48" s="12">
        <f t="shared" si="4"/>
        <v>0.0017182114790913635</v>
      </c>
    </row>
    <row r="49" spans="1:20" ht="12.75">
      <c r="A49" s="16" t="s">
        <v>71</v>
      </c>
      <c r="B49" s="14">
        <v>46255397</v>
      </c>
      <c r="C49" s="15">
        <v>0</v>
      </c>
      <c r="D49" s="15">
        <v>0</v>
      </c>
      <c r="E49" s="14">
        <f t="shared" si="6"/>
        <v>46255397</v>
      </c>
      <c r="F49" s="17"/>
      <c r="G49" s="17">
        <v>20957476</v>
      </c>
      <c r="H49" s="17">
        <v>2257482</v>
      </c>
      <c r="I49" s="17">
        <v>0</v>
      </c>
      <c r="J49" s="17">
        <v>1987496</v>
      </c>
      <c r="K49" s="17">
        <v>585798</v>
      </c>
      <c r="L49" s="17">
        <v>0</v>
      </c>
      <c r="M49" s="17">
        <v>0</v>
      </c>
      <c r="N49" s="17">
        <f t="shared" si="7"/>
        <v>25788252</v>
      </c>
      <c r="O49" s="17"/>
      <c r="P49" s="17">
        <v>0</v>
      </c>
      <c r="Q49" s="17">
        <v>20467145</v>
      </c>
      <c r="R49" s="33">
        <f t="shared" si="3"/>
        <v>0</v>
      </c>
      <c r="S49" s="12">
        <f t="shared" si="5"/>
        <v>0.07706982233615524</v>
      </c>
      <c r="T49" s="12">
        <f t="shared" si="4"/>
        <v>0.04296787248415574</v>
      </c>
    </row>
    <row r="50" spans="1:20" ht="12.75">
      <c r="A50" s="16" t="s">
        <v>72</v>
      </c>
      <c r="B50" s="11">
        <v>49983912</v>
      </c>
      <c r="C50" s="11">
        <v>0</v>
      </c>
      <c r="D50" s="11">
        <v>0</v>
      </c>
      <c r="E50" s="11">
        <f t="shared" si="6"/>
        <v>49983912</v>
      </c>
      <c r="F50" s="11"/>
      <c r="G50" s="11">
        <v>11358138</v>
      </c>
      <c r="H50" s="11">
        <v>6955836</v>
      </c>
      <c r="I50" s="11">
        <v>0</v>
      </c>
      <c r="J50" s="11">
        <v>3810837</v>
      </c>
      <c r="K50" s="11">
        <v>1451330</v>
      </c>
      <c r="L50" s="11">
        <v>0</v>
      </c>
      <c r="M50" s="11">
        <v>5396665</v>
      </c>
      <c r="N50" s="11">
        <f t="shared" si="7"/>
        <v>28972806</v>
      </c>
      <c r="O50" s="11"/>
      <c r="P50" s="11">
        <v>0</v>
      </c>
      <c r="Q50" s="11">
        <v>21011106</v>
      </c>
      <c r="R50" s="33">
        <f t="shared" si="3"/>
        <v>0</v>
      </c>
      <c r="S50" s="12">
        <f t="shared" si="5"/>
        <v>0.13153151268813934</v>
      </c>
      <c r="T50" s="12">
        <f t="shared" si="4"/>
        <v>0.07624127139148293</v>
      </c>
    </row>
    <row r="51" spans="1:20" ht="12.75">
      <c r="A51" s="16" t="s">
        <v>73</v>
      </c>
      <c r="B51" s="11">
        <v>11193274</v>
      </c>
      <c r="C51" s="11">
        <v>0</v>
      </c>
      <c r="D51" s="11">
        <v>0</v>
      </c>
      <c r="E51" s="11">
        <f t="shared" si="6"/>
        <v>11193274</v>
      </c>
      <c r="F51" s="11"/>
      <c r="G51" s="11">
        <v>3040456</v>
      </c>
      <c r="H51" s="11">
        <v>685783</v>
      </c>
      <c r="I51" s="11">
        <v>0</v>
      </c>
      <c r="J51" s="11">
        <v>559023</v>
      </c>
      <c r="K51" s="11">
        <v>18918</v>
      </c>
      <c r="L51" s="11">
        <v>0</v>
      </c>
      <c r="M51" s="11">
        <v>1917529</v>
      </c>
      <c r="N51" s="11">
        <f t="shared" si="7"/>
        <v>6221709</v>
      </c>
      <c r="O51" s="11"/>
      <c r="P51" s="11">
        <v>0</v>
      </c>
      <c r="Q51" s="11">
        <v>4971565</v>
      </c>
      <c r="R51" s="33">
        <f t="shared" si="3"/>
        <v>0</v>
      </c>
      <c r="S51" s="12">
        <f t="shared" si="5"/>
        <v>0.0898503931958245</v>
      </c>
      <c r="T51" s="12">
        <f t="shared" si="4"/>
        <v>0.049942760268354015</v>
      </c>
    </row>
    <row r="52" spans="1:20" ht="12.75">
      <c r="A52" s="16" t="s">
        <v>74</v>
      </c>
      <c r="B52" s="14">
        <v>152821447</v>
      </c>
      <c r="C52" s="14">
        <v>15900869</v>
      </c>
      <c r="D52" s="14">
        <v>0</v>
      </c>
      <c r="E52" s="14">
        <f t="shared" si="6"/>
        <v>136920578</v>
      </c>
      <c r="F52" s="17"/>
      <c r="G52" s="17">
        <v>39416473</v>
      </c>
      <c r="H52" s="17">
        <v>6699628</v>
      </c>
      <c r="I52" s="17">
        <v>2780855</v>
      </c>
      <c r="J52" s="17">
        <v>3033367</v>
      </c>
      <c r="K52" s="17">
        <v>2051664</v>
      </c>
      <c r="L52" s="17">
        <v>0</v>
      </c>
      <c r="M52" s="17">
        <v>2708082</v>
      </c>
      <c r="N52" s="17">
        <f t="shared" si="7"/>
        <v>56690069</v>
      </c>
      <c r="O52" s="17"/>
      <c r="P52" s="17">
        <v>22386416</v>
      </c>
      <c r="Q52" s="17">
        <v>57844093</v>
      </c>
      <c r="R52" s="33">
        <f t="shared" si="3"/>
        <v>0</v>
      </c>
      <c r="S52" s="12">
        <f t="shared" si="5"/>
        <v>0.05350790806058112</v>
      </c>
      <c r="T52" s="12">
        <f t="shared" si="4"/>
        <v>0.022154208259331187</v>
      </c>
    </row>
    <row r="53" spans="1:20" ht="12.75">
      <c r="A53" s="16" t="s">
        <v>75</v>
      </c>
      <c r="B53" s="11">
        <v>216402639</v>
      </c>
      <c r="C53" s="11">
        <v>0</v>
      </c>
      <c r="D53" s="11">
        <v>10052759</v>
      </c>
      <c r="E53" s="11">
        <f t="shared" si="6"/>
        <v>206349880</v>
      </c>
      <c r="F53" s="11"/>
      <c r="G53" s="11">
        <v>57083477</v>
      </c>
      <c r="H53" s="11">
        <v>1534386</v>
      </c>
      <c r="I53" s="11">
        <v>0</v>
      </c>
      <c r="J53" s="11">
        <v>8935666</v>
      </c>
      <c r="K53" s="11">
        <v>4629460</v>
      </c>
      <c r="L53" s="11">
        <v>0</v>
      </c>
      <c r="M53" s="11">
        <v>61276178</v>
      </c>
      <c r="N53" s="11">
        <f t="shared" si="7"/>
        <v>133459167</v>
      </c>
      <c r="O53" s="11"/>
      <c r="P53" s="11">
        <v>72890713</v>
      </c>
      <c r="Q53" s="11">
        <v>0</v>
      </c>
      <c r="R53" s="33">
        <f t="shared" si="3"/>
        <v>0</v>
      </c>
      <c r="S53" s="12">
        <f t="shared" si="5"/>
        <v>0.06695430670566077</v>
      </c>
      <c r="T53" s="12">
        <f t="shared" si="4"/>
        <v>0.04330347078466922</v>
      </c>
    </row>
    <row r="54" spans="1:20" ht="12.75">
      <c r="A54" s="16" t="s">
        <v>76</v>
      </c>
      <c r="B54" s="14">
        <v>41059681</v>
      </c>
      <c r="C54" s="14">
        <v>0</v>
      </c>
      <c r="D54" s="14">
        <v>0</v>
      </c>
      <c r="E54" s="14">
        <f t="shared" si="6"/>
        <v>41059681</v>
      </c>
      <c r="F54" s="17"/>
      <c r="G54" s="17">
        <v>12157769</v>
      </c>
      <c r="H54" s="17">
        <v>6743804</v>
      </c>
      <c r="I54" s="17">
        <v>0</v>
      </c>
      <c r="J54" s="17">
        <v>2154856</v>
      </c>
      <c r="K54" s="17">
        <v>223044</v>
      </c>
      <c r="L54" s="17">
        <v>13210</v>
      </c>
      <c r="M54" s="17">
        <v>0</v>
      </c>
      <c r="N54" s="17">
        <f t="shared" si="7"/>
        <v>21292683</v>
      </c>
      <c r="O54" s="17"/>
      <c r="P54" s="17">
        <v>0</v>
      </c>
      <c r="Q54" s="17">
        <v>19766998</v>
      </c>
      <c r="R54" s="33">
        <f t="shared" si="3"/>
        <v>0</v>
      </c>
      <c r="S54" s="12">
        <f t="shared" si="5"/>
        <v>0.10120171328338472</v>
      </c>
      <c r="T54" s="12">
        <f t="shared" si="4"/>
        <v>0.05248107017684819</v>
      </c>
    </row>
    <row r="55" spans="1:20" ht="12.75">
      <c r="A55" s="16" t="s">
        <v>77</v>
      </c>
      <c r="B55" s="11">
        <v>23676590</v>
      </c>
      <c r="C55" s="11">
        <v>3371283</v>
      </c>
      <c r="D55" s="11">
        <v>2367659</v>
      </c>
      <c r="E55" s="11">
        <f t="shared" si="6"/>
        <v>17937648</v>
      </c>
      <c r="F55" s="11"/>
      <c r="G55" s="11">
        <v>7797003</v>
      </c>
      <c r="H55" s="11">
        <v>44780</v>
      </c>
      <c r="I55" s="11">
        <v>140226</v>
      </c>
      <c r="J55" s="11">
        <v>2024211</v>
      </c>
      <c r="K55" s="11">
        <v>158846</v>
      </c>
      <c r="L55" s="11">
        <v>0</v>
      </c>
      <c r="M55" s="11">
        <v>0</v>
      </c>
      <c r="N55" s="11">
        <f t="shared" si="7"/>
        <v>10165066</v>
      </c>
      <c r="O55" s="11"/>
      <c r="P55" s="11">
        <v>0</v>
      </c>
      <c r="Q55" s="11">
        <v>7772582</v>
      </c>
      <c r="R55" s="33">
        <f t="shared" si="3"/>
        <v>0</v>
      </c>
      <c r="S55" s="12">
        <f t="shared" si="5"/>
        <v>0.1991340735023265</v>
      </c>
      <c r="T55" s="12">
        <f t="shared" si="4"/>
        <v>0.11284706891338263</v>
      </c>
    </row>
    <row r="56" spans="1:20" ht="12.75">
      <c r="A56" s="16" t="s">
        <v>78</v>
      </c>
      <c r="B56" s="14">
        <v>56216871</v>
      </c>
      <c r="C56" s="14">
        <v>0</v>
      </c>
      <c r="D56" s="14">
        <v>0</v>
      </c>
      <c r="E56" s="14">
        <f t="shared" si="6"/>
        <v>56216871</v>
      </c>
      <c r="F56" s="17"/>
      <c r="G56" s="17">
        <v>5684347</v>
      </c>
      <c r="H56" s="17">
        <v>7260377</v>
      </c>
      <c r="I56" s="17">
        <v>591654</v>
      </c>
      <c r="J56" s="17">
        <v>8432531</v>
      </c>
      <c r="K56" s="17">
        <v>2169575</v>
      </c>
      <c r="L56" s="17">
        <v>35482</v>
      </c>
      <c r="M56" s="17">
        <v>110</v>
      </c>
      <c r="N56" s="11">
        <f t="shared" si="7"/>
        <v>24174076</v>
      </c>
      <c r="O56" s="17"/>
      <c r="P56" s="17">
        <v>32042796</v>
      </c>
      <c r="Q56" s="17">
        <v>0</v>
      </c>
      <c r="R56" s="33">
        <f t="shared" si="3"/>
        <v>-1</v>
      </c>
      <c r="S56" s="12">
        <f t="shared" si="5"/>
        <v>0.34882536978869433</v>
      </c>
      <c r="T56" s="12">
        <f t="shared" si="4"/>
        <v>0.15000000622588902</v>
      </c>
    </row>
    <row r="57" spans="1:20" ht="12.75">
      <c r="A57" s="16" t="s">
        <v>79</v>
      </c>
      <c r="B57" s="11">
        <v>183301560</v>
      </c>
      <c r="C57" s="11">
        <v>0</v>
      </c>
      <c r="D57" s="11">
        <v>0</v>
      </c>
      <c r="E57" s="11">
        <f t="shared" si="6"/>
        <v>183301560</v>
      </c>
      <c r="F57" s="11"/>
      <c r="G57" s="11">
        <v>850017</v>
      </c>
      <c r="H57" s="11">
        <v>9883780</v>
      </c>
      <c r="I57" s="11">
        <v>0</v>
      </c>
      <c r="J57" s="11">
        <v>7763314</v>
      </c>
      <c r="K57" s="11">
        <v>856915</v>
      </c>
      <c r="L57" s="11">
        <v>0</v>
      </c>
      <c r="M57" s="11">
        <v>10074358</v>
      </c>
      <c r="N57" s="11">
        <f t="shared" si="7"/>
        <v>29428384</v>
      </c>
      <c r="O57" s="11"/>
      <c r="P57" s="11">
        <v>0</v>
      </c>
      <c r="Q57" s="11">
        <v>153873177</v>
      </c>
      <c r="R57" s="33">
        <f t="shared" si="3"/>
        <v>-1</v>
      </c>
      <c r="S57" s="12">
        <f t="shared" si="5"/>
        <v>0.2638036121861126</v>
      </c>
      <c r="T57" s="12">
        <f t="shared" si="4"/>
        <v>0.042352689196971376</v>
      </c>
    </row>
    <row r="58" spans="1:20" ht="12.75">
      <c r="A58" s="16" t="s">
        <v>80</v>
      </c>
      <c r="B58" s="11">
        <v>55088154</v>
      </c>
      <c r="C58" s="11">
        <v>10000000</v>
      </c>
      <c r="D58" s="11">
        <v>8200000</v>
      </c>
      <c r="E58" s="11">
        <f t="shared" si="6"/>
        <v>36888154</v>
      </c>
      <c r="F58" s="11"/>
      <c r="G58" s="11">
        <v>0</v>
      </c>
      <c r="H58" s="11">
        <v>0</v>
      </c>
      <c r="I58" s="11">
        <v>0</v>
      </c>
      <c r="J58" s="11">
        <v>0</v>
      </c>
      <c r="K58" s="11">
        <v>0</v>
      </c>
      <c r="L58" s="11">
        <v>0</v>
      </c>
      <c r="M58" s="11">
        <v>0</v>
      </c>
      <c r="N58" s="11">
        <f t="shared" si="7"/>
        <v>0</v>
      </c>
      <c r="O58" s="11"/>
      <c r="P58" s="11">
        <v>0</v>
      </c>
      <c r="Q58" s="11">
        <v>36888154</v>
      </c>
      <c r="R58" s="33">
        <f t="shared" si="3"/>
        <v>0</v>
      </c>
      <c r="S58" s="12" t="e">
        <f t="shared" si="5"/>
        <v>#DIV/0!</v>
      </c>
      <c r="T58" s="12">
        <f t="shared" si="4"/>
        <v>0</v>
      </c>
    </row>
    <row r="59" spans="1:20" ht="12.75">
      <c r="A59" s="16" t="s">
        <v>81</v>
      </c>
      <c r="B59" s="11">
        <v>236079195</v>
      </c>
      <c r="C59" s="11">
        <v>0</v>
      </c>
      <c r="D59" s="11">
        <v>15900000</v>
      </c>
      <c r="E59" s="11">
        <f t="shared" si="6"/>
        <v>220179195</v>
      </c>
      <c r="F59" s="11"/>
      <c r="G59" s="11">
        <v>0</v>
      </c>
      <c r="H59" s="11">
        <v>0</v>
      </c>
      <c r="I59" s="11">
        <v>0</v>
      </c>
      <c r="J59" s="11">
        <v>0</v>
      </c>
      <c r="K59" s="11">
        <v>0</v>
      </c>
      <c r="L59" s="11">
        <v>0</v>
      </c>
      <c r="M59" s="11">
        <v>0</v>
      </c>
      <c r="N59" s="11">
        <f t="shared" si="7"/>
        <v>0</v>
      </c>
      <c r="O59" s="11"/>
      <c r="P59" s="11">
        <v>0</v>
      </c>
      <c r="Q59" s="11">
        <v>220179195</v>
      </c>
      <c r="R59" s="33">
        <f t="shared" si="3"/>
        <v>0</v>
      </c>
      <c r="S59" s="12" t="e">
        <f t="shared" si="5"/>
        <v>#DIV/0!</v>
      </c>
      <c r="T59" s="12">
        <f t="shared" si="4"/>
        <v>0</v>
      </c>
    </row>
    <row r="60" spans="1:20" ht="12.75">
      <c r="A60" s="19" t="s">
        <v>104</v>
      </c>
      <c r="B60" s="20">
        <v>6245382</v>
      </c>
      <c r="C60" s="21">
        <v>0</v>
      </c>
      <c r="D60" s="21">
        <v>0</v>
      </c>
      <c r="E60" s="14">
        <f t="shared" si="6"/>
        <v>6245382</v>
      </c>
      <c r="F60" s="17"/>
      <c r="G60" s="17">
        <v>0</v>
      </c>
      <c r="H60" s="17">
        <v>0</v>
      </c>
      <c r="I60" s="17">
        <v>0</v>
      </c>
      <c r="J60" s="17">
        <v>71106</v>
      </c>
      <c r="K60" s="17">
        <v>0</v>
      </c>
      <c r="L60" s="17">
        <v>0</v>
      </c>
      <c r="M60" s="17">
        <v>0</v>
      </c>
      <c r="N60" s="17">
        <f t="shared" si="7"/>
        <v>71106</v>
      </c>
      <c r="O60" s="17"/>
      <c r="P60" s="17">
        <v>6174256</v>
      </c>
      <c r="Q60" s="17">
        <v>0</v>
      </c>
      <c r="R60" s="33">
        <f t="shared" si="3"/>
        <v>20</v>
      </c>
      <c r="S60" s="12">
        <f t="shared" si="5"/>
        <v>1</v>
      </c>
      <c r="T60" s="12">
        <f t="shared" si="4"/>
        <v>0.011385372423976628</v>
      </c>
    </row>
    <row r="61" spans="1:20" ht="12.75">
      <c r="A61" s="16"/>
      <c r="C61" s="10"/>
      <c r="D61" s="10"/>
      <c r="E61" s="11"/>
      <c r="F61" s="11"/>
      <c r="G61" s="11"/>
      <c r="H61" s="11"/>
      <c r="I61" s="11"/>
      <c r="J61" s="11"/>
      <c r="K61" s="11"/>
      <c r="L61" s="11"/>
      <c r="M61" s="11"/>
      <c r="N61" s="11"/>
      <c r="O61" s="11"/>
      <c r="P61" s="11"/>
      <c r="Q61" s="11"/>
      <c r="S61" s="12"/>
      <c r="T61" s="12"/>
    </row>
    <row r="62" spans="1:20" ht="13.5" thickBot="1">
      <c r="A62" s="22" t="s">
        <v>83</v>
      </c>
      <c r="B62" s="49">
        <f>SUM(B10:B60)</f>
        <v>8180429523</v>
      </c>
      <c r="C62" s="23">
        <f>SUM(C10:C60)</f>
        <v>510073913</v>
      </c>
      <c r="D62" s="23">
        <f>SUM(D10:D60)</f>
        <v>292256837</v>
      </c>
      <c r="E62" s="23">
        <f>SUM(E10:E60)</f>
        <v>7378098773</v>
      </c>
      <c r="F62" s="23"/>
      <c r="G62" s="23">
        <f aca="true" t="shared" si="8" ref="G62:Q62">SUM(G10:G60)</f>
        <v>2535748626</v>
      </c>
      <c r="H62" s="23">
        <f t="shared" si="8"/>
        <v>274902218</v>
      </c>
      <c r="I62" s="23">
        <f t="shared" si="8"/>
        <v>209211092</v>
      </c>
      <c r="J62" s="23">
        <f t="shared" si="8"/>
        <v>407058959</v>
      </c>
      <c r="K62" s="23">
        <f t="shared" si="8"/>
        <v>91717302</v>
      </c>
      <c r="L62" s="23">
        <f t="shared" si="8"/>
        <v>1141466</v>
      </c>
      <c r="M62" s="23">
        <f t="shared" si="8"/>
        <v>561282563</v>
      </c>
      <c r="N62" s="23">
        <f t="shared" si="8"/>
        <v>4081062226</v>
      </c>
      <c r="O62" s="23">
        <f t="shared" si="8"/>
        <v>1246000</v>
      </c>
      <c r="P62" s="23">
        <f t="shared" si="8"/>
        <v>803994813</v>
      </c>
      <c r="Q62" s="23">
        <f t="shared" si="8"/>
        <v>2493074419</v>
      </c>
      <c r="S62" s="12">
        <f>+J62/N62</f>
        <v>0.0997433845548034</v>
      </c>
      <c r="T62" s="12">
        <f>+J62/E62</f>
        <v>0.05517125366898365</v>
      </c>
    </row>
    <row r="63" spans="7:17" ht="13.5" thickTop="1">
      <c r="G63" s="18"/>
      <c r="H63" s="18"/>
      <c r="I63" s="18"/>
      <c r="J63" s="18"/>
      <c r="K63" s="18"/>
      <c r="L63" s="18"/>
      <c r="M63" s="18"/>
      <c r="N63" s="18"/>
      <c r="O63" s="18"/>
      <c r="P63" s="18"/>
      <c r="Q63" s="24"/>
    </row>
    <row r="64" spans="1:17" ht="12.75">
      <c r="A64" s="1" t="s">
        <v>84</v>
      </c>
      <c r="C64" s="36">
        <f>C62/B62</f>
        <v>0.06235294999680422</v>
      </c>
      <c r="D64" s="36">
        <f>D62/B62</f>
        <v>0.03572634373027652</v>
      </c>
      <c r="E64" s="36">
        <f>E62/B62</f>
        <v>0.9019207062729192</v>
      </c>
      <c r="G64" s="36">
        <f>G62/N62</f>
        <v>0.6213452492454106</v>
      </c>
      <c r="H64" s="36">
        <f>H62/N62</f>
        <v>0.06736045734579299</v>
      </c>
      <c r="I64" s="36">
        <f>I62/N62</f>
        <v>0.05126388190484798</v>
      </c>
      <c r="J64" s="36">
        <f>J62/N62</f>
        <v>0.0997433845548034</v>
      </c>
      <c r="K64" s="36">
        <f>K62/N62</f>
        <v>0.022473879818758737</v>
      </c>
      <c r="L64" s="36">
        <f>L62/N62</f>
        <v>0.0002796982591267159</v>
      </c>
      <c r="M64" s="36">
        <f>M62/N62</f>
        <v>0.13753344887125962</v>
      </c>
      <c r="N64" s="36">
        <f>N62/E62</f>
        <v>0.5531319587282516</v>
      </c>
      <c r="O64" s="41"/>
      <c r="P64" s="80">
        <f>P62/E62</f>
        <v>0.10897045942813918</v>
      </c>
      <c r="Q64" s="80">
        <f>Q62/E62</f>
        <v>0.33790201184665003</v>
      </c>
    </row>
    <row r="65" spans="7:17" ht="12.75">
      <c r="G65" s="18"/>
      <c r="H65" s="18"/>
      <c r="I65" s="18"/>
      <c r="J65" s="18"/>
      <c r="K65" s="18"/>
      <c r="L65" s="18"/>
      <c r="M65" s="18"/>
      <c r="N65" s="18"/>
      <c r="O65" s="18"/>
      <c r="P65" s="18"/>
      <c r="Q65" s="24"/>
    </row>
    <row r="66" spans="1:15" ht="14.25">
      <c r="A66" s="25" t="s">
        <v>85</v>
      </c>
      <c r="G66" s="18"/>
      <c r="H66" s="18"/>
      <c r="I66" s="18"/>
      <c r="J66" s="18"/>
      <c r="K66" s="18"/>
      <c r="L66" s="18"/>
      <c r="M66" s="18"/>
      <c r="N66" s="45"/>
      <c r="O66" s="45"/>
    </row>
    <row r="67" spans="1:17" ht="12.75">
      <c r="A67" s="26"/>
      <c r="G67" s="18"/>
      <c r="H67" s="18"/>
      <c r="I67" s="18"/>
      <c r="J67" s="18"/>
      <c r="K67" s="18"/>
      <c r="L67" s="18"/>
      <c r="M67" s="18"/>
      <c r="N67" s="18"/>
      <c r="O67" s="18"/>
      <c r="P67" s="18"/>
      <c r="Q67" s="18"/>
    </row>
    <row r="68" spans="1:17" ht="15">
      <c r="A68" s="27" t="s">
        <v>251</v>
      </c>
      <c r="G68" s="18"/>
      <c r="H68" s="18"/>
      <c r="I68" s="18"/>
      <c r="J68" s="18"/>
      <c r="K68" s="18"/>
      <c r="L68" s="18"/>
      <c r="M68" s="18"/>
      <c r="N68" s="18"/>
      <c r="O68" s="18"/>
      <c r="P68" s="18"/>
      <c r="Q68" s="18"/>
    </row>
    <row r="69" spans="1:17" ht="15">
      <c r="A69" s="27" t="s">
        <v>86</v>
      </c>
      <c r="G69" s="18"/>
      <c r="H69" s="18"/>
      <c r="I69" s="18"/>
      <c r="J69" s="18"/>
      <c r="K69" s="18"/>
      <c r="L69" s="18"/>
      <c r="M69" s="18"/>
      <c r="N69" s="18"/>
      <c r="O69" s="18"/>
      <c r="P69" s="18"/>
      <c r="Q69" s="18"/>
    </row>
    <row r="70" spans="7:17" ht="12.75">
      <c r="G70" s="18"/>
      <c r="H70" s="18"/>
      <c r="I70" s="18"/>
      <c r="J70" s="18"/>
      <c r="K70" s="18"/>
      <c r="L70" s="18"/>
      <c r="M70" s="18"/>
      <c r="N70" s="18"/>
      <c r="O70" s="18"/>
      <c r="P70" s="18"/>
      <c r="Q70" s="18"/>
    </row>
    <row r="71" spans="1:17" ht="14.25">
      <c r="A71" s="25" t="s">
        <v>87</v>
      </c>
      <c r="G71" s="18"/>
      <c r="H71" s="18"/>
      <c r="I71" s="18"/>
      <c r="J71" s="18"/>
      <c r="K71" s="18"/>
      <c r="L71" s="18"/>
      <c r="M71" s="18"/>
      <c r="N71" s="18"/>
      <c r="O71" s="18"/>
      <c r="P71" s="18"/>
      <c r="Q71" s="18"/>
    </row>
    <row r="72" spans="1:17" ht="14.25">
      <c r="A72" s="25" t="s">
        <v>253</v>
      </c>
      <c r="G72" s="18"/>
      <c r="H72" s="18"/>
      <c r="I72" s="18"/>
      <c r="J72" s="18"/>
      <c r="K72" s="18"/>
      <c r="L72" s="18"/>
      <c r="M72" s="18"/>
      <c r="N72" s="18"/>
      <c r="O72" s="18"/>
      <c r="P72" s="18"/>
      <c r="Q72" s="18"/>
    </row>
    <row r="73" spans="1:17" ht="14.25">
      <c r="A73" s="25" t="s">
        <v>252</v>
      </c>
      <c r="G73" s="18"/>
      <c r="H73" s="18"/>
      <c r="I73" s="18"/>
      <c r="J73" s="18"/>
      <c r="K73" s="18"/>
      <c r="L73" s="18"/>
      <c r="M73" s="18"/>
      <c r="N73" s="18"/>
      <c r="O73" s="18"/>
      <c r="P73" s="18"/>
      <c r="Q73" s="18"/>
    </row>
    <row r="74" ht="14.25">
      <c r="A74" s="25" t="s">
        <v>88</v>
      </c>
    </row>
    <row r="75" spans="1:17" ht="14.25">
      <c r="A75" s="25" t="s">
        <v>89</v>
      </c>
      <c r="G75" s="18"/>
      <c r="H75" s="18"/>
      <c r="I75" s="18"/>
      <c r="J75" s="18"/>
      <c r="K75" s="18"/>
      <c r="L75" s="18"/>
      <c r="M75" s="18"/>
      <c r="N75" s="18"/>
      <c r="O75" s="18"/>
      <c r="P75" s="18"/>
      <c r="Q75" s="18"/>
    </row>
    <row r="76" spans="7:17" ht="12.75">
      <c r="G76" s="18"/>
      <c r="H76" s="18"/>
      <c r="I76" s="18"/>
      <c r="J76" s="18"/>
      <c r="K76" s="18"/>
      <c r="L76" s="18"/>
      <c r="M76" s="18"/>
      <c r="N76" s="18"/>
      <c r="O76" s="18"/>
      <c r="P76" s="18"/>
      <c r="Q76" s="18"/>
    </row>
    <row r="77" spans="7:17" ht="12.75">
      <c r="G77" s="18"/>
      <c r="H77" s="18"/>
      <c r="I77" s="18"/>
      <c r="J77" s="18"/>
      <c r="K77" s="18"/>
      <c r="L77" s="18"/>
      <c r="M77" s="18"/>
      <c r="N77" s="18"/>
      <c r="O77" s="18"/>
      <c r="P77" s="18"/>
      <c r="Q77" s="18"/>
    </row>
    <row r="78" spans="7:17" ht="12.75">
      <c r="G78" s="18"/>
      <c r="H78" s="18"/>
      <c r="I78" s="18"/>
      <c r="J78" s="18"/>
      <c r="K78" s="18"/>
      <c r="L78" s="18"/>
      <c r="M78" s="18"/>
      <c r="N78" s="18"/>
      <c r="O78" s="18"/>
      <c r="P78" s="18"/>
      <c r="Q78" s="18"/>
    </row>
    <row r="79" spans="7:17" ht="12.75">
      <c r="G79" s="18"/>
      <c r="H79" s="18"/>
      <c r="I79" s="18"/>
      <c r="J79" s="18"/>
      <c r="K79" s="18"/>
      <c r="L79" s="18"/>
      <c r="M79" s="18"/>
      <c r="N79" s="18"/>
      <c r="O79" s="18"/>
      <c r="P79" s="18"/>
      <c r="Q79" s="18"/>
    </row>
    <row r="80" spans="7:17" ht="12.75">
      <c r="G80" s="18"/>
      <c r="H80" s="18"/>
      <c r="I80" s="18"/>
      <c r="J80" s="18"/>
      <c r="K80" s="18"/>
      <c r="L80" s="18"/>
      <c r="M80" s="18"/>
      <c r="N80" s="18"/>
      <c r="O80" s="18"/>
      <c r="P80" s="18"/>
      <c r="Q80" s="18"/>
    </row>
    <row r="81" spans="7:17" ht="12.75">
      <c r="G81" s="18"/>
      <c r="H81" s="18"/>
      <c r="I81" s="18"/>
      <c r="J81" s="18"/>
      <c r="K81" s="18"/>
      <c r="L81" s="18"/>
      <c r="M81" s="18"/>
      <c r="N81" s="18"/>
      <c r="O81" s="18"/>
      <c r="P81" s="18"/>
      <c r="Q81" s="18"/>
    </row>
    <row r="82" spans="7:17" ht="12.75">
      <c r="G82" s="18"/>
      <c r="H82" s="18"/>
      <c r="I82" s="18"/>
      <c r="J82" s="18"/>
      <c r="K82" s="18"/>
      <c r="L82" s="18"/>
      <c r="M82" s="18"/>
      <c r="N82" s="18"/>
      <c r="O82" s="18"/>
      <c r="P82" s="18"/>
      <c r="Q82" s="18"/>
    </row>
    <row r="83" spans="7:17" ht="12.75">
      <c r="G83" s="18"/>
      <c r="H83" s="18"/>
      <c r="I83" s="18"/>
      <c r="J83" s="18"/>
      <c r="K83" s="18"/>
      <c r="L83" s="18"/>
      <c r="M83" s="18"/>
      <c r="N83" s="18"/>
      <c r="O83" s="18"/>
      <c r="P83" s="18"/>
      <c r="Q83" s="18"/>
    </row>
    <row r="84" spans="7:17" ht="12.75">
      <c r="G84" s="18"/>
      <c r="H84" s="18"/>
      <c r="I84" s="18"/>
      <c r="J84" s="18"/>
      <c r="K84" s="18"/>
      <c r="L84" s="18"/>
      <c r="M84" s="18"/>
      <c r="N84" s="18"/>
      <c r="O84" s="18"/>
      <c r="P84" s="18"/>
      <c r="Q84" s="18"/>
    </row>
    <row r="85" spans="7:17" ht="12.75">
      <c r="G85" s="18"/>
      <c r="H85" s="18"/>
      <c r="I85" s="18"/>
      <c r="J85" s="18"/>
      <c r="K85" s="18"/>
      <c r="L85" s="18"/>
      <c r="M85" s="18"/>
      <c r="N85" s="18"/>
      <c r="O85" s="18"/>
      <c r="P85" s="18"/>
      <c r="Q85" s="18"/>
    </row>
    <row r="86" spans="7:17" ht="12.75">
      <c r="G86" s="18"/>
      <c r="H86" s="18"/>
      <c r="I86" s="18"/>
      <c r="J86" s="18"/>
      <c r="K86" s="18"/>
      <c r="L86" s="18"/>
      <c r="M86" s="18"/>
      <c r="N86" s="18"/>
      <c r="O86" s="18"/>
      <c r="P86" s="18"/>
      <c r="Q86" s="18"/>
    </row>
    <row r="87" spans="7:17" ht="12.75">
      <c r="G87" s="18"/>
      <c r="H87" s="18"/>
      <c r="I87" s="18"/>
      <c r="J87" s="18"/>
      <c r="K87" s="18"/>
      <c r="L87" s="18"/>
      <c r="M87" s="18"/>
      <c r="N87" s="18"/>
      <c r="O87" s="18"/>
      <c r="P87" s="18"/>
      <c r="Q87" s="18"/>
    </row>
    <row r="88" spans="7:17" ht="12.75">
      <c r="G88" s="18"/>
      <c r="H88" s="18"/>
      <c r="I88" s="18"/>
      <c r="J88" s="18"/>
      <c r="K88" s="18"/>
      <c r="L88" s="18"/>
      <c r="M88" s="18"/>
      <c r="N88" s="18"/>
      <c r="O88" s="18"/>
      <c r="P88" s="18"/>
      <c r="Q88" s="18"/>
    </row>
    <row r="89" spans="7:17" ht="12.75">
      <c r="G89" s="18"/>
      <c r="H89" s="18"/>
      <c r="I89" s="18"/>
      <c r="J89" s="18"/>
      <c r="K89" s="18"/>
      <c r="L89" s="18"/>
      <c r="M89" s="18"/>
      <c r="N89" s="18"/>
      <c r="O89" s="18"/>
      <c r="P89" s="18"/>
      <c r="Q89" s="18"/>
    </row>
    <row r="90" spans="7:17" ht="12.75">
      <c r="G90" s="18"/>
      <c r="H90" s="18"/>
      <c r="I90" s="18"/>
      <c r="J90" s="18"/>
      <c r="K90" s="18"/>
      <c r="L90" s="18"/>
      <c r="M90" s="18"/>
      <c r="N90" s="18"/>
      <c r="O90" s="18"/>
      <c r="P90" s="18"/>
      <c r="Q90" s="18"/>
    </row>
    <row r="91" spans="7:17" ht="12.75">
      <c r="G91" s="18"/>
      <c r="H91" s="18"/>
      <c r="I91" s="18"/>
      <c r="J91" s="18"/>
      <c r="K91" s="18"/>
      <c r="L91" s="18"/>
      <c r="M91" s="18"/>
      <c r="N91" s="18"/>
      <c r="O91" s="18"/>
      <c r="P91" s="18"/>
      <c r="Q91" s="18"/>
    </row>
    <row r="92" spans="7:17" ht="12.75">
      <c r="G92" s="18"/>
      <c r="H92" s="18"/>
      <c r="I92" s="18"/>
      <c r="J92" s="18"/>
      <c r="K92" s="18"/>
      <c r="L92" s="18"/>
      <c r="M92" s="18"/>
      <c r="N92" s="18"/>
      <c r="O92" s="18"/>
      <c r="P92" s="18"/>
      <c r="Q92" s="18"/>
    </row>
    <row r="93" spans="7:17" ht="12.75">
      <c r="G93" s="18"/>
      <c r="H93" s="18"/>
      <c r="I93" s="18"/>
      <c r="J93" s="18"/>
      <c r="K93" s="18"/>
      <c r="L93" s="18"/>
      <c r="M93" s="18"/>
      <c r="N93" s="18"/>
      <c r="O93" s="18"/>
      <c r="P93" s="18"/>
      <c r="Q93" s="18"/>
    </row>
    <row r="94" spans="7:17" ht="12.75">
      <c r="G94" s="18"/>
      <c r="H94" s="18"/>
      <c r="I94" s="18"/>
      <c r="J94" s="18"/>
      <c r="K94" s="18"/>
      <c r="L94" s="18"/>
      <c r="M94" s="18"/>
      <c r="N94" s="18"/>
      <c r="O94" s="18"/>
      <c r="P94" s="18"/>
      <c r="Q94" s="18"/>
    </row>
    <row r="95" spans="7:17" ht="12.75">
      <c r="G95" s="18"/>
      <c r="H95" s="18"/>
      <c r="I95" s="18"/>
      <c r="J95" s="18"/>
      <c r="K95" s="18"/>
      <c r="L95" s="18"/>
      <c r="M95" s="18"/>
      <c r="N95" s="18"/>
      <c r="O95" s="18"/>
      <c r="P95" s="18"/>
      <c r="Q95" s="18"/>
    </row>
    <row r="96" spans="7:17" ht="12.75">
      <c r="G96" s="18"/>
      <c r="H96" s="18"/>
      <c r="I96" s="18"/>
      <c r="J96" s="18"/>
      <c r="K96" s="18"/>
      <c r="L96" s="18"/>
      <c r="M96" s="18"/>
      <c r="N96" s="18"/>
      <c r="O96" s="18"/>
      <c r="P96" s="18"/>
      <c r="Q96" s="18"/>
    </row>
    <row r="97" spans="7:17" ht="12.75">
      <c r="G97" s="18"/>
      <c r="H97" s="18"/>
      <c r="I97" s="18"/>
      <c r="J97" s="18"/>
      <c r="K97" s="18"/>
      <c r="L97" s="18"/>
      <c r="M97" s="18"/>
      <c r="N97" s="18"/>
      <c r="O97" s="18"/>
      <c r="P97" s="18"/>
      <c r="Q97" s="18"/>
    </row>
    <row r="98" spans="7:17" ht="12.75">
      <c r="G98" s="18"/>
      <c r="H98" s="18"/>
      <c r="I98" s="18"/>
      <c r="J98" s="18"/>
      <c r="K98" s="18"/>
      <c r="L98" s="18"/>
      <c r="M98" s="18"/>
      <c r="N98" s="18"/>
      <c r="O98" s="18"/>
      <c r="P98" s="18"/>
      <c r="Q98" s="18"/>
    </row>
    <row r="99" spans="7:17" ht="12.75">
      <c r="G99" s="18"/>
      <c r="H99" s="18"/>
      <c r="I99" s="18"/>
      <c r="J99" s="18"/>
      <c r="K99" s="18"/>
      <c r="L99" s="18"/>
      <c r="M99" s="18"/>
      <c r="N99" s="18"/>
      <c r="O99" s="18"/>
      <c r="P99" s="18"/>
      <c r="Q99" s="18"/>
    </row>
    <row r="100" spans="7:17" ht="12.75">
      <c r="G100" s="18"/>
      <c r="H100" s="18"/>
      <c r="I100" s="18"/>
      <c r="J100" s="18"/>
      <c r="K100" s="18"/>
      <c r="L100" s="18"/>
      <c r="M100" s="18"/>
      <c r="N100" s="18"/>
      <c r="O100" s="18"/>
      <c r="P100" s="18"/>
      <c r="Q100" s="18"/>
    </row>
    <row r="101" spans="7:17" ht="12.75">
      <c r="G101" s="18"/>
      <c r="H101" s="18"/>
      <c r="I101" s="18"/>
      <c r="J101" s="18"/>
      <c r="K101" s="18"/>
      <c r="L101" s="18"/>
      <c r="M101" s="18"/>
      <c r="N101" s="18"/>
      <c r="O101" s="18"/>
      <c r="P101" s="18"/>
      <c r="Q101" s="18"/>
    </row>
    <row r="102" spans="7:17" ht="12.75">
      <c r="G102" s="18"/>
      <c r="H102" s="18"/>
      <c r="I102" s="18"/>
      <c r="J102" s="18"/>
      <c r="K102" s="18"/>
      <c r="L102" s="18"/>
      <c r="M102" s="18"/>
      <c r="N102" s="18"/>
      <c r="O102" s="18"/>
      <c r="P102" s="18"/>
      <c r="Q102" s="18"/>
    </row>
    <row r="103" spans="7:17" ht="12.75">
      <c r="G103" s="18"/>
      <c r="H103" s="18"/>
      <c r="I103" s="18"/>
      <c r="J103" s="18"/>
      <c r="K103" s="18"/>
      <c r="L103" s="18"/>
      <c r="M103" s="18"/>
      <c r="N103" s="18"/>
      <c r="O103" s="18"/>
      <c r="P103" s="18"/>
      <c r="Q103" s="18"/>
    </row>
    <row r="104" spans="7:17" ht="12.75">
      <c r="G104" s="18"/>
      <c r="H104" s="18"/>
      <c r="I104" s="18"/>
      <c r="J104" s="18"/>
      <c r="K104" s="18"/>
      <c r="L104" s="18"/>
      <c r="M104" s="18"/>
      <c r="N104" s="18"/>
      <c r="O104" s="18"/>
      <c r="P104" s="18"/>
      <c r="Q104" s="18"/>
    </row>
    <row r="105" spans="7:17" ht="12.75">
      <c r="G105" s="18"/>
      <c r="H105" s="18"/>
      <c r="I105" s="18"/>
      <c r="J105" s="18"/>
      <c r="K105" s="18"/>
      <c r="L105" s="18"/>
      <c r="M105" s="18"/>
      <c r="N105" s="18"/>
      <c r="O105" s="18"/>
      <c r="P105" s="18"/>
      <c r="Q105" s="18"/>
    </row>
    <row r="106" spans="7:17" ht="12.75">
      <c r="G106" s="18"/>
      <c r="H106" s="18"/>
      <c r="I106" s="18"/>
      <c r="J106" s="18"/>
      <c r="K106" s="18"/>
      <c r="L106" s="18"/>
      <c r="M106" s="18"/>
      <c r="N106" s="18"/>
      <c r="O106" s="18"/>
      <c r="P106" s="18"/>
      <c r="Q106" s="18"/>
    </row>
    <row r="107" spans="7:17" ht="12.75">
      <c r="G107" s="18"/>
      <c r="H107" s="18"/>
      <c r="I107" s="18"/>
      <c r="J107" s="18"/>
      <c r="K107" s="18"/>
      <c r="L107" s="18"/>
      <c r="M107" s="18"/>
      <c r="N107" s="18"/>
      <c r="O107" s="18"/>
      <c r="P107" s="18"/>
      <c r="Q107" s="18"/>
    </row>
    <row r="108" spans="7:17" ht="12.75">
      <c r="G108" s="18"/>
      <c r="H108" s="18"/>
      <c r="I108" s="18"/>
      <c r="J108" s="18"/>
      <c r="K108" s="18"/>
      <c r="L108" s="18"/>
      <c r="M108" s="18"/>
      <c r="N108" s="18"/>
      <c r="O108" s="18"/>
      <c r="P108" s="18"/>
      <c r="Q108" s="18"/>
    </row>
    <row r="109" spans="7:17" ht="12.75">
      <c r="G109" s="18"/>
      <c r="H109" s="18"/>
      <c r="I109" s="18"/>
      <c r="J109" s="18"/>
      <c r="K109" s="18"/>
      <c r="L109" s="18"/>
      <c r="M109" s="18"/>
      <c r="N109" s="18"/>
      <c r="O109" s="18"/>
      <c r="P109" s="18"/>
      <c r="Q109" s="18"/>
    </row>
    <row r="110" spans="7:17" ht="12.75">
      <c r="G110" s="18"/>
      <c r="H110" s="18"/>
      <c r="I110" s="18"/>
      <c r="J110" s="18"/>
      <c r="K110" s="18"/>
      <c r="L110" s="18"/>
      <c r="M110" s="18"/>
      <c r="N110" s="18"/>
      <c r="O110" s="18"/>
      <c r="P110" s="18"/>
      <c r="Q110" s="18"/>
    </row>
    <row r="111" spans="7:17" ht="12.75">
      <c r="G111" s="18"/>
      <c r="H111" s="18"/>
      <c r="I111" s="18"/>
      <c r="J111" s="18"/>
      <c r="K111" s="18"/>
      <c r="L111" s="18"/>
      <c r="M111" s="18"/>
      <c r="N111" s="18"/>
      <c r="O111" s="18"/>
      <c r="P111" s="18"/>
      <c r="Q111" s="18"/>
    </row>
    <row r="112" spans="7:17" ht="12.75">
      <c r="G112" s="18"/>
      <c r="H112" s="18"/>
      <c r="I112" s="18"/>
      <c r="J112" s="18"/>
      <c r="K112" s="18"/>
      <c r="L112" s="18"/>
      <c r="M112" s="18"/>
      <c r="N112" s="18"/>
      <c r="O112" s="18"/>
      <c r="P112" s="18"/>
      <c r="Q112" s="18"/>
    </row>
    <row r="113" spans="7:17" ht="12.75">
      <c r="G113" s="18"/>
      <c r="H113" s="18"/>
      <c r="I113" s="18"/>
      <c r="J113" s="18"/>
      <c r="K113" s="18"/>
      <c r="L113" s="18"/>
      <c r="M113" s="18"/>
      <c r="N113" s="18"/>
      <c r="O113" s="18"/>
      <c r="P113" s="18"/>
      <c r="Q113" s="18"/>
    </row>
    <row r="114" spans="7:17" ht="12.75">
      <c r="G114" s="18"/>
      <c r="H114" s="18"/>
      <c r="I114" s="18"/>
      <c r="J114" s="18"/>
      <c r="K114" s="18"/>
      <c r="L114" s="18"/>
      <c r="M114" s="18"/>
      <c r="N114" s="18"/>
      <c r="O114" s="18"/>
      <c r="P114" s="18"/>
      <c r="Q114" s="18"/>
    </row>
    <row r="115" spans="7:17" ht="12.75">
      <c r="G115" s="18"/>
      <c r="H115" s="18"/>
      <c r="I115" s="18"/>
      <c r="J115" s="18"/>
      <c r="K115" s="18"/>
      <c r="L115" s="18"/>
      <c r="M115" s="18"/>
      <c r="N115" s="18"/>
      <c r="O115" s="18"/>
      <c r="P115" s="18"/>
      <c r="Q115" s="18"/>
    </row>
    <row r="116" spans="7:17" ht="12.75">
      <c r="G116" s="18"/>
      <c r="H116" s="18"/>
      <c r="I116" s="18"/>
      <c r="J116" s="18"/>
      <c r="K116" s="18"/>
      <c r="L116" s="18"/>
      <c r="M116" s="18"/>
      <c r="N116" s="18"/>
      <c r="O116" s="18"/>
      <c r="P116" s="18"/>
      <c r="Q116" s="18"/>
    </row>
    <row r="117" spans="7:17" ht="12.75">
      <c r="G117" s="18"/>
      <c r="H117" s="18"/>
      <c r="I117" s="18"/>
      <c r="J117" s="18"/>
      <c r="K117" s="18"/>
      <c r="L117" s="18"/>
      <c r="M117" s="18"/>
      <c r="N117" s="18"/>
      <c r="O117" s="18"/>
      <c r="P117" s="18"/>
      <c r="Q117" s="18"/>
    </row>
    <row r="118" spans="7:17" ht="12.75">
      <c r="G118" s="18"/>
      <c r="H118" s="18"/>
      <c r="I118" s="18"/>
      <c r="J118" s="18"/>
      <c r="K118" s="18"/>
      <c r="L118" s="18"/>
      <c r="M118" s="18"/>
      <c r="N118" s="18"/>
      <c r="O118" s="18"/>
      <c r="P118" s="18"/>
      <c r="Q118" s="18"/>
    </row>
    <row r="119" spans="7:17" ht="12.75">
      <c r="G119" s="18"/>
      <c r="H119" s="18"/>
      <c r="I119" s="18"/>
      <c r="J119" s="18"/>
      <c r="K119" s="18"/>
      <c r="L119" s="18"/>
      <c r="M119" s="18"/>
      <c r="N119" s="18"/>
      <c r="O119" s="18"/>
      <c r="P119" s="18"/>
      <c r="Q119" s="18"/>
    </row>
    <row r="120" spans="7:17" ht="12.75">
      <c r="G120" s="18"/>
      <c r="H120" s="18"/>
      <c r="I120" s="18"/>
      <c r="J120" s="18"/>
      <c r="K120" s="18"/>
      <c r="L120" s="18"/>
      <c r="M120" s="18"/>
      <c r="N120" s="18"/>
      <c r="O120" s="18"/>
      <c r="P120" s="18"/>
      <c r="Q120" s="18"/>
    </row>
    <row r="121" spans="7:17" ht="12.75">
      <c r="G121" s="18"/>
      <c r="H121" s="18"/>
      <c r="I121" s="18"/>
      <c r="J121" s="18"/>
      <c r="K121" s="18"/>
      <c r="L121" s="18"/>
      <c r="M121" s="18"/>
      <c r="N121" s="18"/>
      <c r="O121" s="18"/>
      <c r="P121" s="18"/>
      <c r="Q121" s="18"/>
    </row>
    <row r="122" spans="7:17" ht="12.75">
      <c r="G122" s="18"/>
      <c r="H122" s="18"/>
      <c r="I122" s="18"/>
      <c r="J122" s="18"/>
      <c r="K122" s="18"/>
      <c r="L122" s="18"/>
      <c r="M122" s="18"/>
      <c r="N122" s="18"/>
      <c r="O122" s="18"/>
      <c r="P122" s="18"/>
      <c r="Q122" s="18"/>
    </row>
    <row r="123" spans="7:17" ht="12.75">
      <c r="G123" s="18"/>
      <c r="H123" s="18"/>
      <c r="I123" s="18"/>
      <c r="J123" s="18"/>
      <c r="K123" s="18"/>
      <c r="L123" s="18"/>
      <c r="M123" s="18"/>
      <c r="N123" s="18"/>
      <c r="O123" s="18"/>
      <c r="P123" s="18"/>
      <c r="Q123" s="18"/>
    </row>
    <row r="124" spans="7:17" ht="12.75">
      <c r="G124" s="18"/>
      <c r="H124" s="18"/>
      <c r="I124" s="18"/>
      <c r="J124" s="18"/>
      <c r="K124" s="18"/>
      <c r="L124" s="18"/>
      <c r="M124" s="18"/>
      <c r="N124" s="18"/>
      <c r="O124" s="18"/>
      <c r="P124" s="18"/>
      <c r="Q124" s="18"/>
    </row>
    <row r="125" spans="7:17" ht="12.75">
      <c r="G125" s="18"/>
      <c r="H125" s="18"/>
      <c r="I125" s="18"/>
      <c r="J125" s="18"/>
      <c r="K125" s="18"/>
      <c r="L125" s="18"/>
      <c r="M125" s="18"/>
      <c r="N125" s="18"/>
      <c r="O125" s="18"/>
      <c r="P125" s="18"/>
      <c r="Q125" s="18"/>
    </row>
    <row r="126" spans="7:17" ht="12.75">
      <c r="G126" s="18"/>
      <c r="H126" s="18"/>
      <c r="I126" s="18"/>
      <c r="J126" s="18"/>
      <c r="K126" s="18"/>
      <c r="L126" s="18"/>
      <c r="M126" s="18"/>
      <c r="N126" s="18"/>
      <c r="O126" s="18"/>
      <c r="P126" s="18"/>
      <c r="Q126" s="18"/>
    </row>
    <row r="127" spans="7:17" ht="12.75">
      <c r="G127" s="18"/>
      <c r="H127" s="18"/>
      <c r="I127" s="18"/>
      <c r="J127" s="18"/>
      <c r="K127" s="18"/>
      <c r="L127" s="18"/>
      <c r="M127" s="18"/>
      <c r="N127" s="18"/>
      <c r="O127" s="18"/>
      <c r="P127" s="18"/>
      <c r="Q127" s="18"/>
    </row>
    <row r="128" spans="7:17" ht="12.75">
      <c r="G128" s="18"/>
      <c r="H128" s="18"/>
      <c r="I128" s="18"/>
      <c r="J128" s="18"/>
      <c r="K128" s="18"/>
      <c r="L128" s="18"/>
      <c r="M128" s="18"/>
      <c r="N128" s="18"/>
      <c r="O128" s="18"/>
      <c r="P128" s="18"/>
      <c r="Q128" s="18"/>
    </row>
    <row r="129" spans="7:17" ht="12.75">
      <c r="G129" s="18"/>
      <c r="H129" s="18"/>
      <c r="I129" s="18"/>
      <c r="J129" s="18"/>
      <c r="K129" s="18"/>
      <c r="L129" s="18"/>
      <c r="M129" s="18"/>
      <c r="N129" s="18"/>
      <c r="O129" s="18"/>
      <c r="P129" s="18"/>
      <c r="Q129" s="18"/>
    </row>
    <row r="130" spans="7:17" ht="12.75">
      <c r="G130" s="18"/>
      <c r="H130" s="18"/>
      <c r="I130" s="18"/>
      <c r="J130" s="18"/>
      <c r="K130" s="18"/>
      <c r="L130" s="18"/>
      <c r="M130" s="18"/>
      <c r="N130" s="18"/>
      <c r="O130" s="18"/>
      <c r="P130" s="18"/>
      <c r="Q130" s="18"/>
    </row>
    <row r="131" spans="7:17" ht="12.75">
      <c r="G131" s="18"/>
      <c r="H131" s="18"/>
      <c r="I131" s="18"/>
      <c r="J131" s="18"/>
      <c r="K131" s="18"/>
      <c r="L131" s="18"/>
      <c r="M131" s="18"/>
      <c r="N131" s="18"/>
      <c r="O131" s="18"/>
      <c r="P131" s="18"/>
      <c r="Q131" s="18"/>
    </row>
    <row r="132" spans="7:17" ht="12.75">
      <c r="G132" s="18"/>
      <c r="H132" s="18"/>
      <c r="I132" s="18"/>
      <c r="J132" s="18"/>
      <c r="K132" s="18"/>
      <c r="L132" s="18"/>
      <c r="M132" s="18"/>
      <c r="N132" s="18"/>
      <c r="O132" s="18"/>
      <c r="P132" s="18"/>
      <c r="Q132" s="18"/>
    </row>
    <row r="133" spans="7:17" ht="12.75">
      <c r="G133" s="18"/>
      <c r="H133" s="18"/>
      <c r="I133" s="18"/>
      <c r="J133" s="18"/>
      <c r="K133" s="18"/>
      <c r="L133" s="18"/>
      <c r="M133" s="18"/>
      <c r="N133" s="18"/>
      <c r="O133" s="18"/>
      <c r="P133" s="18"/>
      <c r="Q133" s="18"/>
    </row>
    <row r="134" spans="7:17" ht="12.75">
      <c r="G134" s="18"/>
      <c r="H134" s="18"/>
      <c r="I134" s="18"/>
      <c r="J134" s="18"/>
      <c r="K134" s="18"/>
      <c r="L134" s="18"/>
      <c r="M134" s="18"/>
      <c r="N134" s="18"/>
      <c r="O134" s="18"/>
      <c r="P134" s="18"/>
      <c r="Q134" s="18"/>
    </row>
    <row r="135" spans="7:17" ht="12.75">
      <c r="G135" s="18"/>
      <c r="H135" s="18"/>
      <c r="I135" s="18"/>
      <c r="J135" s="18"/>
      <c r="K135" s="18"/>
      <c r="L135" s="18"/>
      <c r="M135" s="18"/>
      <c r="N135" s="18"/>
      <c r="O135" s="18"/>
      <c r="P135" s="18"/>
      <c r="Q135" s="18"/>
    </row>
    <row r="136" spans="7:17" ht="12.75">
      <c r="G136" s="18"/>
      <c r="H136" s="18"/>
      <c r="I136" s="18"/>
      <c r="J136" s="18"/>
      <c r="K136" s="18"/>
      <c r="L136" s="18"/>
      <c r="M136" s="18"/>
      <c r="N136" s="18"/>
      <c r="O136" s="18"/>
      <c r="P136" s="18"/>
      <c r="Q136" s="18"/>
    </row>
    <row r="137" spans="7:17" ht="12.75">
      <c r="G137" s="18"/>
      <c r="H137" s="18"/>
      <c r="I137" s="18"/>
      <c r="J137" s="18"/>
      <c r="K137" s="18"/>
      <c r="L137" s="18"/>
      <c r="M137" s="18"/>
      <c r="N137" s="18"/>
      <c r="O137" s="18"/>
      <c r="P137" s="18"/>
      <c r="Q137" s="18"/>
    </row>
    <row r="138" spans="7:17" ht="12.75">
      <c r="G138" s="18"/>
      <c r="H138" s="18"/>
      <c r="I138" s="18"/>
      <c r="J138" s="18"/>
      <c r="K138" s="18"/>
      <c r="L138" s="18"/>
      <c r="M138" s="18"/>
      <c r="N138" s="18"/>
      <c r="O138" s="18"/>
      <c r="P138" s="18"/>
      <c r="Q138" s="18"/>
    </row>
    <row r="139" spans="7:17" ht="12.75">
      <c r="G139" s="18"/>
      <c r="H139" s="18"/>
      <c r="I139" s="18"/>
      <c r="J139" s="18"/>
      <c r="K139" s="18"/>
      <c r="L139" s="18"/>
      <c r="M139" s="18"/>
      <c r="N139" s="18"/>
      <c r="O139" s="18"/>
      <c r="P139" s="18"/>
      <c r="Q139" s="18"/>
    </row>
    <row r="140" spans="7:17" ht="12.75">
      <c r="G140" s="18"/>
      <c r="H140" s="18"/>
      <c r="I140" s="18"/>
      <c r="J140" s="18"/>
      <c r="K140" s="18"/>
      <c r="L140" s="18"/>
      <c r="M140" s="18"/>
      <c r="N140" s="18"/>
      <c r="O140" s="18"/>
      <c r="P140" s="18"/>
      <c r="Q140" s="18"/>
    </row>
    <row r="141" spans="7:17" ht="12.75">
      <c r="G141" s="18"/>
      <c r="H141" s="18"/>
      <c r="I141" s="18"/>
      <c r="J141" s="18"/>
      <c r="K141" s="18"/>
      <c r="L141" s="18"/>
      <c r="M141" s="18"/>
      <c r="N141" s="18"/>
      <c r="O141" s="18"/>
      <c r="P141" s="18"/>
      <c r="Q141" s="18"/>
    </row>
    <row r="142" spans="7:17" ht="12.75">
      <c r="G142" s="18"/>
      <c r="H142" s="18"/>
      <c r="I142" s="18"/>
      <c r="J142" s="18"/>
      <c r="K142" s="18"/>
      <c r="L142" s="18"/>
      <c r="M142" s="18"/>
      <c r="N142" s="18"/>
      <c r="O142" s="18"/>
      <c r="P142" s="18"/>
      <c r="Q142" s="18"/>
    </row>
    <row r="143" spans="7:17" ht="12.75">
      <c r="G143" s="18"/>
      <c r="H143" s="18"/>
      <c r="I143" s="18"/>
      <c r="J143" s="18"/>
      <c r="K143" s="18"/>
      <c r="L143" s="18"/>
      <c r="M143" s="18"/>
      <c r="N143" s="18"/>
      <c r="O143" s="18"/>
      <c r="P143" s="18"/>
      <c r="Q143" s="18"/>
    </row>
    <row r="144" spans="7:17" ht="12.75">
      <c r="G144" s="18"/>
      <c r="H144" s="18"/>
      <c r="I144" s="18"/>
      <c r="J144" s="18"/>
      <c r="K144" s="18"/>
      <c r="L144" s="18"/>
      <c r="M144" s="18"/>
      <c r="N144" s="18"/>
      <c r="O144" s="18"/>
      <c r="P144" s="18"/>
      <c r="Q144" s="18"/>
    </row>
    <row r="145" spans="7:17" ht="12.75">
      <c r="G145" s="18"/>
      <c r="H145" s="18"/>
      <c r="I145" s="18"/>
      <c r="J145" s="18"/>
      <c r="K145" s="18"/>
      <c r="L145" s="18"/>
      <c r="M145" s="18"/>
      <c r="N145" s="18"/>
      <c r="O145" s="18"/>
      <c r="P145" s="18"/>
      <c r="Q145" s="18"/>
    </row>
    <row r="146" spans="7:17" ht="12.75">
      <c r="G146" s="18"/>
      <c r="H146" s="18"/>
      <c r="I146" s="18"/>
      <c r="J146" s="18"/>
      <c r="K146" s="18"/>
      <c r="L146" s="18"/>
      <c r="M146" s="18"/>
      <c r="N146" s="18"/>
      <c r="O146" s="18"/>
      <c r="P146" s="18"/>
      <c r="Q146" s="18"/>
    </row>
    <row r="147" spans="7:17" ht="12.75">
      <c r="G147" s="18"/>
      <c r="H147" s="18"/>
      <c r="I147" s="18"/>
      <c r="J147" s="18"/>
      <c r="K147" s="18"/>
      <c r="L147" s="18"/>
      <c r="M147" s="18"/>
      <c r="N147" s="18"/>
      <c r="O147" s="18"/>
      <c r="P147" s="18"/>
      <c r="Q147" s="18"/>
    </row>
    <row r="148" spans="7:17" ht="12.75">
      <c r="G148" s="18"/>
      <c r="H148" s="18"/>
      <c r="I148" s="18"/>
      <c r="J148" s="18"/>
      <c r="K148" s="18"/>
      <c r="L148" s="18"/>
      <c r="M148" s="18"/>
      <c r="N148" s="18"/>
      <c r="O148" s="18"/>
      <c r="P148" s="18"/>
      <c r="Q148" s="18"/>
    </row>
    <row r="149" spans="7:17" ht="12.75">
      <c r="G149" s="18"/>
      <c r="H149" s="18"/>
      <c r="I149" s="18"/>
      <c r="J149" s="18"/>
      <c r="K149" s="18"/>
      <c r="L149" s="18"/>
      <c r="M149" s="18"/>
      <c r="N149" s="18"/>
      <c r="O149" s="18"/>
      <c r="P149" s="18"/>
      <c r="Q149" s="18"/>
    </row>
    <row r="150" spans="7:17" ht="12.75">
      <c r="G150" s="18"/>
      <c r="H150" s="18"/>
      <c r="I150" s="18"/>
      <c r="J150" s="18"/>
      <c r="K150" s="18"/>
      <c r="L150" s="18"/>
      <c r="M150" s="18"/>
      <c r="N150" s="18"/>
      <c r="O150" s="18"/>
      <c r="P150" s="18"/>
      <c r="Q150" s="18"/>
    </row>
    <row r="151" spans="7:17" ht="12.75">
      <c r="G151" s="18"/>
      <c r="H151" s="18"/>
      <c r="I151" s="18"/>
      <c r="J151" s="18"/>
      <c r="K151" s="18"/>
      <c r="L151" s="18"/>
      <c r="M151" s="18"/>
      <c r="N151" s="18"/>
      <c r="O151" s="18"/>
      <c r="P151" s="18"/>
      <c r="Q151" s="18"/>
    </row>
    <row r="152" spans="7:17" ht="12.75">
      <c r="G152" s="18"/>
      <c r="H152" s="18"/>
      <c r="I152" s="18"/>
      <c r="J152" s="18"/>
      <c r="K152" s="18"/>
      <c r="L152" s="18"/>
      <c r="M152" s="18"/>
      <c r="N152" s="18"/>
      <c r="O152" s="18"/>
      <c r="P152" s="18"/>
      <c r="Q152" s="18"/>
    </row>
    <row r="153" spans="7:17" ht="12.75">
      <c r="G153" s="18"/>
      <c r="H153" s="18"/>
      <c r="I153" s="18"/>
      <c r="J153" s="18"/>
      <c r="K153" s="18"/>
      <c r="L153" s="18"/>
      <c r="M153" s="18"/>
      <c r="N153" s="18"/>
      <c r="O153" s="18"/>
      <c r="P153" s="18"/>
      <c r="Q153" s="18"/>
    </row>
    <row r="154" spans="7:17" ht="12.75">
      <c r="G154" s="18"/>
      <c r="H154" s="18"/>
      <c r="I154" s="18"/>
      <c r="J154" s="18"/>
      <c r="K154" s="18"/>
      <c r="L154" s="18"/>
      <c r="M154" s="18"/>
      <c r="N154" s="18"/>
      <c r="O154" s="18"/>
      <c r="P154" s="18"/>
      <c r="Q154" s="18"/>
    </row>
    <row r="155" spans="7:17" ht="12.75">
      <c r="G155" s="18"/>
      <c r="H155" s="18"/>
      <c r="I155" s="18"/>
      <c r="J155" s="18"/>
      <c r="K155" s="18"/>
      <c r="L155" s="18"/>
      <c r="M155" s="18"/>
      <c r="N155" s="18"/>
      <c r="O155" s="18"/>
      <c r="P155" s="18"/>
      <c r="Q155" s="18"/>
    </row>
    <row r="156" spans="7:17" ht="12.75">
      <c r="G156" s="18"/>
      <c r="H156" s="18"/>
      <c r="I156" s="18"/>
      <c r="J156" s="18"/>
      <c r="K156" s="18"/>
      <c r="L156" s="18"/>
      <c r="M156" s="18"/>
      <c r="N156" s="18"/>
      <c r="O156" s="18"/>
      <c r="P156" s="18"/>
      <c r="Q156" s="18"/>
    </row>
    <row r="157" spans="7:17" ht="12.75">
      <c r="G157" s="18"/>
      <c r="H157" s="18"/>
      <c r="I157" s="18"/>
      <c r="J157" s="18"/>
      <c r="K157" s="18"/>
      <c r="L157" s="18"/>
      <c r="M157" s="18"/>
      <c r="N157" s="18"/>
      <c r="O157" s="18"/>
      <c r="P157" s="18"/>
      <c r="Q157" s="18"/>
    </row>
    <row r="158" spans="7:17" ht="12.75">
      <c r="G158" s="18"/>
      <c r="H158" s="18"/>
      <c r="I158" s="18"/>
      <c r="J158" s="18"/>
      <c r="K158" s="18"/>
      <c r="L158" s="18"/>
      <c r="M158" s="18"/>
      <c r="N158" s="18"/>
      <c r="O158" s="18"/>
      <c r="P158" s="18"/>
      <c r="Q158" s="18"/>
    </row>
    <row r="159" spans="7:17" ht="12.75">
      <c r="G159" s="18"/>
      <c r="H159" s="18"/>
      <c r="I159" s="18"/>
      <c r="J159" s="18"/>
      <c r="K159" s="18"/>
      <c r="L159" s="18"/>
      <c r="M159" s="18"/>
      <c r="N159" s="18"/>
      <c r="O159" s="18"/>
      <c r="P159" s="18"/>
      <c r="Q159" s="18"/>
    </row>
    <row r="160" spans="7:17" ht="12.75">
      <c r="G160" s="18"/>
      <c r="H160" s="18"/>
      <c r="I160" s="18"/>
      <c r="J160" s="18"/>
      <c r="K160" s="18"/>
      <c r="L160" s="18"/>
      <c r="M160" s="18"/>
      <c r="N160" s="18"/>
      <c r="O160" s="18"/>
      <c r="P160" s="18"/>
      <c r="Q160" s="18"/>
    </row>
    <row r="161" spans="7:17" ht="12.75">
      <c r="G161" s="18"/>
      <c r="H161" s="18"/>
      <c r="I161" s="18"/>
      <c r="J161" s="18"/>
      <c r="K161" s="18"/>
      <c r="L161" s="18"/>
      <c r="M161" s="18"/>
      <c r="N161" s="18"/>
      <c r="O161" s="18"/>
      <c r="P161" s="18"/>
      <c r="Q161" s="18"/>
    </row>
    <row r="162" spans="7:17" ht="12.75">
      <c r="G162" s="18"/>
      <c r="H162" s="18"/>
      <c r="I162" s="18"/>
      <c r="J162" s="18"/>
      <c r="K162" s="18"/>
      <c r="L162" s="18"/>
      <c r="M162" s="18"/>
      <c r="N162" s="18"/>
      <c r="O162" s="18"/>
      <c r="P162" s="18"/>
      <c r="Q162" s="18"/>
    </row>
    <row r="163" spans="7:17" ht="12.75">
      <c r="G163" s="18"/>
      <c r="H163" s="18"/>
      <c r="I163" s="18"/>
      <c r="J163" s="18"/>
      <c r="K163" s="18"/>
      <c r="L163" s="18"/>
      <c r="M163" s="18"/>
      <c r="N163" s="18"/>
      <c r="O163" s="18"/>
      <c r="P163" s="18"/>
      <c r="Q163" s="18"/>
    </row>
    <row r="164" spans="7:17" ht="12.75">
      <c r="G164" s="18"/>
      <c r="H164" s="18"/>
      <c r="I164" s="18"/>
      <c r="J164" s="18"/>
      <c r="K164" s="18"/>
      <c r="L164" s="18"/>
      <c r="M164" s="18"/>
      <c r="N164" s="18"/>
      <c r="O164" s="18"/>
      <c r="P164" s="18"/>
      <c r="Q164" s="18"/>
    </row>
    <row r="165" spans="7:17" ht="12.75">
      <c r="G165" s="18"/>
      <c r="H165" s="18"/>
      <c r="I165" s="18"/>
      <c r="J165" s="18"/>
      <c r="K165" s="18"/>
      <c r="L165" s="18"/>
      <c r="M165" s="18"/>
      <c r="N165" s="18"/>
      <c r="O165" s="18"/>
      <c r="P165" s="18"/>
      <c r="Q165" s="18"/>
    </row>
    <row r="166" spans="7:17" ht="12.75">
      <c r="G166" s="18"/>
      <c r="H166" s="18"/>
      <c r="I166" s="18"/>
      <c r="J166" s="18"/>
      <c r="K166" s="18"/>
      <c r="L166" s="18"/>
      <c r="M166" s="18"/>
      <c r="N166" s="18"/>
      <c r="O166" s="18"/>
      <c r="P166" s="18"/>
      <c r="Q166" s="18"/>
    </row>
    <row r="167" spans="7:17" ht="12.75">
      <c r="G167" s="18"/>
      <c r="H167" s="18"/>
      <c r="I167" s="18"/>
      <c r="J167" s="18"/>
      <c r="K167" s="18"/>
      <c r="L167" s="18"/>
      <c r="M167" s="18"/>
      <c r="N167" s="18"/>
      <c r="O167" s="18"/>
      <c r="P167" s="18"/>
      <c r="Q167" s="18"/>
    </row>
    <row r="168" spans="7:17" ht="12.75">
      <c r="G168" s="18"/>
      <c r="H168" s="18"/>
      <c r="I168" s="18"/>
      <c r="J168" s="18"/>
      <c r="K168" s="18"/>
      <c r="L168" s="18"/>
      <c r="M168" s="18"/>
      <c r="N168" s="18"/>
      <c r="O168" s="18"/>
      <c r="P168" s="18"/>
      <c r="Q168" s="18"/>
    </row>
    <row r="169" spans="7:17" ht="12.75">
      <c r="G169" s="18"/>
      <c r="H169" s="18"/>
      <c r="I169" s="18"/>
      <c r="J169" s="18"/>
      <c r="K169" s="18"/>
      <c r="L169" s="18"/>
      <c r="M169" s="18"/>
      <c r="N169" s="18"/>
      <c r="O169" s="18"/>
      <c r="P169" s="18"/>
      <c r="Q169" s="18"/>
    </row>
    <row r="170" spans="7:17" ht="12.75">
      <c r="G170" s="18"/>
      <c r="H170" s="18"/>
      <c r="I170" s="18"/>
      <c r="J170" s="18"/>
      <c r="K170" s="18"/>
      <c r="L170" s="18"/>
      <c r="M170" s="18"/>
      <c r="N170" s="18"/>
      <c r="O170" s="18"/>
      <c r="P170" s="18"/>
      <c r="Q170" s="18"/>
    </row>
    <row r="171" spans="7:17" ht="12.75">
      <c r="G171" s="18"/>
      <c r="H171" s="18"/>
      <c r="I171" s="18"/>
      <c r="J171" s="18"/>
      <c r="K171" s="18"/>
      <c r="L171" s="18"/>
      <c r="M171" s="18"/>
      <c r="N171" s="18"/>
      <c r="O171" s="18"/>
      <c r="P171" s="18"/>
      <c r="Q171" s="18"/>
    </row>
    <row r="172" spans="7:17" ht="12.75">
      <c r="G172" s="18"/>
      <c r="H172" s="18"/>
      <c r="I172" s="18"/>
      <c r="J172" s="18"/>
      <c r="K172" s="18"/>
      <c r="L172" s="18"/>
      <c r="M172" s="18"/>
      <c r="N172" s="18"/>
      <c r="O172" s="18"/>
      <c r="P172" s="18"/>
      <c r="Q172" s="18"/>
    </row>
    <row r="173" spans="7:17" ht="12.75">
      <c r="G173" s="18"/>
      <c r="H173" s="18"/>
      <c r="I173" s="18"/>
      <c r="J173" s="18"/>
      <c r="K173" s="18"/>
      <c r="L173" s="18"/>
      <c r="M173" s="18"/>
      <c r="N173" s="18"/>
      <c r="O173" s="18"/>
      <c r="P173" s="18"/>
      <c r="Q173" s="18"/>
    </row>
    <row r="174" spans="7:17" ht="12.75">
      <c r="G174" s="18"/>
      <c r="H174" s="18"/>
      <c r="I174" s="18"/>
      <c r="J174" s="18"/>
      <c r="K174" s="18"/>
      <c r="L174" s="18"/>
      <c r="M174" s="18"/>
      <c r="N174" s="18"/>
      <c r="O174" s="18"/>
      <c r="P174" s="18"/>
      <c r="Q174" s="18"/>
    </row>
    <row r="175" spans="7:17" ht="12.75">
      <c r="G175" s="18"/>
      <c r="H175" s="18"/>
      <c r="I175" s="18"/>
      <c r="J175" s="18"/>
      <c r="K175" s="18"/>
      <c r="L175" s="18"/>
      <c r="M175" s="18"/>
      <c r="N175" s="18"/>
      <c r="O175" s="18"/>
      <c r="P175" s="18"/>
      <c r="Q175" s="18"/>
    </row>
    <row r="176" spans="7:17" ht="12.75">
      <c r="G176" s="18"/>
      <c r="H176" s="18"/>
      <c r="I176" s="18"/>
      <c r="J176" s="18"/>
      <c r="K176" s="18"/>
      <c r="L176" s="18"/>
      <c r="M176" s="18"/>
      <c r="N176" s="18"/>
      <c r="O176" s="18"/>
      <c r="P176" s="18"/>
      <c r="Q176" s="18"/>
    </row>
    <row r="177" spans="7:17" ht="12.75">
      <c r="G177" s="18"/>
      <c r="H177" s="18"/>
      <c r="I177" s="18"/>
      <c r="J177" s="18"/>
      <c r="K177" s="18"/>
      <c r="L177" s="18"/>
      <c r="M177" s="18"/>
      <c r="N177" s="18"/>
      <c r="O177" s="18"/>
      <c r="P177" s="18"/>
      <c r="Q177" s="18"/>
    </row>
    <row r="178" spans="7:17" ht="12.75">
      <c r="G178" s="18"/>
      <c r="H178" s="18"/>
      <c r="I178" s="18"/>
      <c r="J178" s="18"/>
      <c r="K178" s="18"/>
      <c r="L178" s="18"/>
      <c r="M178" s="18"/>
      <c r="N178" s="18"/>
      <c r="O178" s="18"/>
      <c r="P178" s="18"/>
      <c r="Q178" s="18"/>
    </row>
    <row r="179" spans="7:17" ht="12.75">
      <c r="G179" s="18"/>
      <c r="H179" s="18"/>
      <c r="I179" s="18"/>
      <c r="J179" s="18"/>
      <c r="K179" s="18"/>
      <c r="L179" s="18"/>
      <c r="M179" s="18"/>
      <c r="N179" s="18"/>
      <c r="O179" s="18"/>
      <c r="P179" s="18"/>
      <c r="Q179" s="18"/>
    </row>
    <row r="180" spans="7:17" ht="12.75">
      <c r="G180" s="18"/>
      <c r="H180" s="18"/>
      <c r="I180" s="18"/>
      <c r="J180" s="18"/>
      <c r="K180" s="18"/>
      <c r="L180" s="18"/>
      <c r="M180" s="18"/>
      <c r="N180" s="18"/>
      <c r="O180" s="18"/>
      <c r="P180" s="18"/>
      <c r="Q180" s="18"/>
    </row>
    <row r="181" spans="7:17" ht="12.75">
      <c r="G181" s="18"/>
      <c r="H181" s="18"/>
      <c r="I181" s="18"/>
      <c r="J181" s="18"/>
      <c r="K181" s="18"/>
      <c r="L181" s="18"/>
      <c r="M181" s="18"/>
      <c r="N181" s="18"/>
      <c r="O181" s="18"/>
      <c r="P181" s="18"/>
      <c r="Q181" s="18"/>
    </row>
    <row r="182" spans="7:17" ht="12.75">
      <c r="G182" s="18"/>
      <c r="H182" s="18"/>
      <c r="I182" s="18"/>
      <c r="J182" s="18"/>
      <c r="K182" s="18"/>
      <c r="L182" s="18"/>
      <c r="M182" s="18"/>
      <c r="N182" s="18"/>
      <c r="O182" s="18"/>
      <c r="P182" s="18"/>
      <c r="Q182" s="18"/>
    </row>
    <row r="183" spans="7:17" ht="12.75">
      <c r="G183" s="18"/>
      <c r="H183" s="18"/>
      <c r="I183" s="18"/>
      <c r="J183" s="18"/>
      <c r="K183" s="18"/>
      <c r="L183" s="18"/>
      <c r="M183" s="18"/>
      <c r="N183" s="18"/>
      <c r="O183" s="18"/>
      <c r="P183" s="18"/>
      <c r="Q183" s="18"/>
    </row>
    <row r="184" spans="7:17" ht="12.75">
      <c r="G184" s="18"/>
      <c r="H184" s="18"/>
      <c r="I184" s="18"/>
      <c r="J184" s="18"/>
      <c r="K184" s="18"/>
      <c r="L184" s="18"/>
      <c r="M184" s="18"/>
      <c r="N184" s="18"/>
      <c r="O184" s="18"/>
      <c r="P184" s="18"/>
      <c r="Q184" s="18"/>
    </row>
    <row r="185" spans="7:17" ht="12.75">
      <c r="G185" s="18"/>
      <c r="H185" s="18"/>
      <c r="I185" s="18"/>
      <c r="J185" s="18"/>
      <c r="K185" s="18"/>
      <c r="L185" s="18"/>
      <c r="M185" s="18"/>
      <c r="N185" s="18"/>
      <c r="O185" s="18"/>
      <c r="P185" s="18"/>
      <c r="Q185" s="18"/>
    </row>
    <row r="186" spans="7:17" ht="12.75">
      <c r="G186" s="18"/>
      <c r="H186" s="18"/>
      <c r="I186" s="18"/>
      <c r="J186" s="18"/>
      <c r="K186" s="18"/>
      <c r="L186" s="18"/>
      <c r="M186" s="18"/>
      <c r="N186" s="18"/>
      <c r="O186" s="18"/>
      <c r="P186" s="18"/>
      <c r="Q186" s="18"/>
    </row>
    <row r="187" spans="7:17" ht="12.75">
      <c r="G187" s="18"/>
      <c r="H187" s="18"/>
      <c r="I187" s="18"/>
      <c r="J187" s="18"/>
      <c r="K187" s="18"/>
      <c r="L187" s="18"/>
      <c r="M187" s="18"/>
      <c r="N187" s="18"/>
      <c r="O187" s="18"/>
      <c r="P187" s="18"/>
      <c r="Q187" s="18"/>
    </row>
    <row r="188" spans="7:17" ht="12.75">
      <c r="G188" s="18"/>
      <c r="H188" s="18"/>
      <c r="I188" s="18"/>
      <c r="J188" s="18"/>
      <c r="K188" s="18"/>
      <c r="L188" s="18"/>
      <c r="M188" s="18"/>
      <c r="N188" s="18"/>
      <c r="O188" s="18"/>
      <c r="P188" s="18"/>
      <c r="Q188" s="18"/>
    </row>
    <row r="189" spans="7:17" ht="12.75">
      <c r="G189" s="18"/>
      <c r="H189" s="18"/>
      <c r="I189" s="18"/>
      <c r="J189" s="18"/>
      <c r="K189" s="18"/>
      <c r="L189" s="18"/>
      <c r="M189" s="18"/>
      <c r="N189" s="18"/>
      <c r="O189" s="18"/>
      <c r="P189" s="18"/>
      <c r="Q189" s="18"/>
    </row>
    <row r="190" spans="7:17" ht="12.75">
      <c r="G190" s="18"/>
      <c r="H190" s="18"/>
      <c r="I190" s="18"/>
      <c r="J190" s="18"/>
      <c r="K190" s="18"/>
      <c r="L190" s="18"/>
      <c r="M190" s="18"/>
      <c r="N190" s="18"/>
      <c r="O190" s="18"/>
      <c r="P190" s="18"/>
      <c r="Q190" s="18"/>
    </row>
    <row r="191" spans="7:17" ht="12.75">
      <c r="G191" s="18"/>
      <c r="H191" s="18"/>
      <c r="I191" s="18"/>
      <c r="J191" s="18"/>
      <c r="K191" s="18"/>
      <c r="L191" s="18"/>
      <c r="M191" s="18"/>
      <c r="N191" s="18"/>
      <c r="O191" s="18"/>
      <c r="P191" s="18"/>
      <c r="Q191" s="18"/>
    </row>
    <row r="192" spans="7:17" ht="12.75">
      <c r="G192" s="18"/>
      <c r="H192" s="18"/>
      <c r="I192" s="18"/>
      <c r="J192" s="18"/>
      <c r="K192" s="18"/>
      <c r="L192" s="18"/>
      <c r="M192" s="18"/>
      <c r="N192" s="18"/>
      <c r="O192" s="18"/>
      <c r="P192" s="18"/>
      <c r="Q192" s="18"/>
    </row>
    <row r="193" spans="7:17" ht="12.75">
      <c r="G193" s="18"/>
      <c r="H193" s="18"/>
      <c r="I193" s="18"/>
      <c r="J193" s="18"/>
      <c r="K193" s="18"/>
      <c r="L193" s="18"/>
      <c r="M193" s="18"/>
      <c r="N193" s="18"/>
      <c r="O193" s="18"/>
      <c r="P193" s="18"/>
      <c r="Q193" s="18"/>
    </row>
    <row r="194" spans="7:17" ht="12.75">
      <c r="G194" s="18"/>
      <c r="H194" s="18"/>
      <c r="I194" s="18"/>
      <c r="J194" s="18"/>
      <c r="K194" s="18"/>
      <c r="L194" s="18"/>
      <c r="M194" s="18"/>
      <c r="N194" s="18"/>
      <c r="O194" s="18"/>
      <c r="P194" s="18"/>
      <c r="Q194" s="18"/>
    </row>
    <row r="195" spans="7:17" ht="12.75">
      <c r="G195" s="18"/>
      <c r="H195" s="18"/>
      <c r="I195" s="18"/>
      <c r="J195" s="18"/>
      <c r="K195" s="18"/>
      <c r="L195" s="18"/>
      <c r="M195" s="18"/>
      <c r="N195" s="18"/>
      <c r="O195" s="18"/>
      <c r="P195" s="18"/>
      <c r="Q195" s="18"/>
    </row>
    <row r="196" spans="7:17" ht="12.75">
      <c r="G196" s="18"/>
      <c r="H196" s="18"/>
      <c r="I196" s="18"/>
      <c r="J196" s="18"/>
      <c r="K196" s="18"/>
      <c r="L196" s="18"/>
      <c r="M196" s="18"/>
      <c r="N196" s="18"/>
      <c r="O196" s="18"/>
      <c r="P196" s="18"/>
      <c r="Q196" s="18"/>
    </row>
    <row r="197" spans="7:17" ht="12.75">
      <c r="G197" s="18"/>
      <c r="H197" s="18"/>
      <c r="I197" s="18"/>
      <c r="J197" s="18"/>
      <c r="K197" s="18"/>
      <c r="L197" s="18"/>
      <c r="M197" s="18"/>
      <c r="N197" s="18"/>
      <c r="O197" s="18"/>
      <c r="P197" s="18"/>
      <c r="Q197" s="18"/>
    </row>
    <row r="198" spans="7:17" ht="12.75">
      <c r="G198" s="18"/>
      <c r="H198" s="18"/>
      <c r="I198" s="18"/>
      <c r="J198" s="18"/>
      <c r="K198" s="18"/>
      <c r="L198" s="18"/>
      <c r="M198" s="18"/>
      <c r="N198" s="18"/>
      <c r="O198" s="18"/>
      <c r="P198" s="18"/>
      <c r="Q198" s="18"/>
    </row>
    <row r="199" spans="7:17" ht="12.75">
      <c r="G199" s="18"/>
      <c r="H199" s="18"/>
      <c r="I199" s="18"/>
      <c r="J199" s="18"/>
      <c r="K199" s="18"/>
      <c r="L199" s="18"/>
      <c r="M199" s="18"/>
      <c r="N199" s="18"/>
      <c r="O199" s="18"/>
      <c r="P199" s="18"/>
      <c r="Q199" s="18"/>
    </row>
    <row r="200" spans="7:17" ht="12.75">
      <c r="G200" s="18"/>
      <c r="H200" s="18"/>
      <c r="I200" s="18"/>
      <c r="J200" s="18"/>
      <c r="K200" s="18"/>
      <c r="L200" s="18"/>
      <c r="M200" s="18"/>
      <c r="N200" s="18"/>
      <c r="O200" s="18"/>
      <c r="P200" s="18"/>
      <c r="Q200" s="18"/>
    </row>
    <row r="201" spans="7:17" ht="12.75">
      <c r="G201" s="18"/>
      <c r="H201" s="18"/>
      <c r="I201" s="18"/>
      <c r="J201" s="18"/>
      <c r="K201" s="18"/>
      <c r="L201" s="18"/>
      <c r="M201" s="18"/>
      <c r="N201" s="18"/>
      <c r="O201" s="18"/>
      <c r="P201" s="18"/>
      <c r="Q201" s="18"/>
    </row>
    <row r="202" spans="7:17" ht="12.75">
      <c r="G202" s="18"/>
      <c r="H202" s="18"/>
      <c r="I202" s="18"/>
      <c r="J202" s="18"/>
      <c r="K202" s="18"/>
      <c r="L202" s="18"/>
      <c r="M202" s="18"/>
      <c r="N202" s="18"/>
      <c r="O202" s="18"/>
      <c r="P202" s="18"/>
      <c r="Q202" s="18"/>
    </row>
    <row r="203" spans="7:17" ht="12.75">
      <c r="G203" s="18"/>
      <c r="H203" s="18"/>
      <c r="I203" s="18"/>
      <c r="J203" s="18"/>
      <c r="K203" s="18"/>
      <c r="L203" s="18"/>
      <c r="M203" s="18"/>
      <c r="N203" s="18"/>
      <c r="O203" s="18"/>
      <c r="P203" s="18"/>
      <c r="Q203" s="18"/>
    </row>
    <row r="204" spans="7:17" ht="12.75">
      <c r="G204" s="18"/>
      <c r="H204" s="18"/>
      <c r="I204" s="18"/>
      <c r="J204" s="18"/>
      <c r="K204" s="18"/>
      <c r="L204" s="18"/>
      <c r="M204" s="18"/>
      <c r="N204" s="18"/>
      <c r="O204" s="18"/>
      <c r="P204" s="18"/>
      <c r="Q204" s="18"/>
    </row>
    <row r="205" spans="7:17" ht="12.75">
      <c r="G205" s="18"/>
      <c r="H205" s="18"/>
      <c r="I205" s="18"/>
      <c r="J205" s="18"/>
      <c r="K205" s="18"/>
      <c r="L205" s="18"/>
      <c r="M205" s="18"/>
      <c r="N205" s="18"/>
      <c r="O205" s="18"/>
      <c r="P205" s="18"/>
      <c r="Q205" s="18"/>
    </row>
    <row r="206" spans="7:17" ht="12.75">
      <c r="G206" s="18"/>
      <c r="H206" s="18"/>
      <c r="I206" s="18"/>
      <c r="J206" s="18"/>
      <c r="K206" s="18"/>
      <c r="L206" s="18"/>
      <c r="M206" s="18"/>
      <c r="N206" s="18"/>
      <c r="O206" s="18"/>
      <c r="P206" s="18"/>
      <c r="Q206" s="18"/>
    </row>
    <row r="207" spans="7:17" ht="12.75">
      <c r="G207" s="18"/>
      <c r="H207" s="18"/>
      <c r="I207" s="18"/>
      <c r="J207" s="18"/>
      <c r="K207" s="18"/>
      <c r="L207" s="18"/>
      <c r="M207" s="18"/>
      <c r="N207" s="18"/>
      <c r="O207" s="18"/>
      <c r="P207" s="18"/>
      <c r="Q207" s="18"/>
    </row>
    <row r="208" spans="7:17" ht="12.75">
      <c r="G208" s="18"/>
      <c r="H208" s="18"/>
      <c r="I208" s="18"/>
      <c r="J208" s="18"/>
      <c r="K208" s="18"/>
      <c r="L208" s="18"/>
      <c r="M208" s="18"/>
      <c r="N208" s="18"/>
      <c r="O208" s="18"/>
      <c r="P208" s="18"/>
      <c r="Q208" s="18"/>
    </row>
    <row r="209" spans="7:17" ht="12.75">
      <c r="G209" s="18"/>
      <c r="H209" s="18"/>
      <c r="I209" s="18"/>
      <c r="J209" s="18"/>
      <c r="K209" s="18"/>
      <c r="L209" s="18"/>
      <c r="M209" s="18"/>
      <c r="N209" s="18"/>
      <c r="O209" s="18"/>
      <c r="P209" s="18"/>
      <c r="Q209" s="18"/>
    </row>
    <row r="210" spans="7:17" ht="12.75">
      <c r="G210" s="18"/>
      <c r="H210" s="18"/>
      <c r="I210" s="18"/>
      <c r="J210" s="18"/>
      <c r="K210" s="18"/>
      <c r="L210" s="18"/>
      <c r="M210" s="18"/>
      <c r="N210" s="18"/>
      <c r="O210" s="18"/>
      <c r="P210" s="18"/>
      <c r="Q210" s="18"/>
    </row>
    <row r="211" spans="7:17" ht="12.75">
      <c r="G211" s="18"/>
      <c r="H211" s="18"/>
      <c r="I211" s="18"/>
      <c r="J211" s="18"/>
      <c r="K211" s="18"/>
      <c r="L211" s="18"/>
      <c r="M211" s="18"/>
      <c r="N211" s="18"/>
      <c r="O211" s="18"/>
      <c r="P211" s="18"/>
      <c r="Q211" s="18"/>
    </row>
  </sheetData>
  <printOptions gridLines="1" horizontalCentered="1"/>
  <pageMargins left="0.2" right="0" top="0.36" bottom="0.25" header="0.24" footer="0"/>
  <pageSetup fitToHeight="1" fitToWidth="1" horizontalDpi="300" verticalDpi="300" orientation="landscape" scale="54" r:id="rId1"/>
  <headerFooter alignWithMargins="0">
    <oddHeader>&amp;C&amp;A&amp;R&amp;9&amp;D</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Q81"/>
  <sheetViews>
    <sheetView zoomScale="75" zoomScaleNormal="75" workbookViewId="0" topLeftCell="W1">
      <pane xSplit="1" ySplit="8" topLeftCell="X9" activePane="bottomRight" state="frozen"/>
      <selection pane="topLeft" activeCell="A3" sqref="A3"/>
      <selection pane="topRight" activeCell="A3" sqref="A3"/>
      <selection pane="bottomLeft" activeCell="A3" sqref="A3"/>
      <selection pane="bottomRight" activeCell="X9" sqref="X9"/>
    </sheetView>
  </sheetViews>
  <sheetFormatPr defaultColWidth="9.140625" defaultRowHeight="12.75"/>
  <cols>
    <col min="1" max="1" width="21.57421875" style="85" customWidth="1"/>
    <col min="2" max="2" width="18.28125" style="85" customWidth="1"/>
    <col min="3" max="3" width="18.421875" style="85" bestFit="1" customWidth="1"/>
    <col min="4" max="4" width="18.00390625" style="85" bestFit="1" customWidth="1"/>
    <col min="5" max="5" width="18.28125" style="85" bestFit="1" customWidth="1"/>
    <col min="6" max="6" width="2.28125" style="85" customWidth="1"/>
    <col min="7" max="7" width="22.8515625" style="85" bestFit="1" customWidth="1"/>
    <col min="8" max="9" width="15.140625" style="85" bestFit="1" customWidth="1"/>
    <col min="10" max="10" width="20.00390625" style="85" bestFit="1" customWidth="1"/>
    <col min="11" max="11" width="15.140625" style="85" bestFit="1" customWidth="1"/>
    <col min="12" max="12" width="17.140625" style="85" bestFit="1" customWidth="1"/>
    <col min="13" max="14" width="17.7109375" style="85" bestFit="1" customWidth="1"/>
    <col min="15" max="15" width="2.00390625" style="85" customWidth="1"/>
    <col min="16" max="17" width="16.8515625" style="85" bestFit="1" customWidth="1"/>
    <col min="18" max="18" width="15.421875" style="85" bestFit="1" customWidth="1"/>
    <col min="19" max="22" width="11.421875" style="85" customWidth="1"/>
    <col min="23" max="23" width="22.28125" style="85" customWidth="1"/>
    <col min="24" max="24" width="26.421875" style="85" bestFit="1" customWidth="1"/>
    <col min="25" max="25" width="18.00390625" style="85" bestFit="1" customWidth="1"/>
    <col min="26" max="26" width="18.00390625" style="85" customWidth="1"/>
    <col min="27" max="27" width="18.421875" style="85" bestFit="1" customWidth="1"/>
    <col min="28" max="28" width="1.28515625" style="85" customWidth="1"/>
    <col min="29" max="29" width="22.8515625" style="85" bestFit="1" customWidth="1"/>
    <col min="30" max="30" width="15.140625" style="85" customWidth="1"/>
    <col min="31" max="31" width="14.00390625" style="85" customWidth="1"/>
    <col min="32" max="32" width="15.140625" style="85" bestFit="1" customWidth="1"/>
    <col min="33" max="33" width="14.00390625" style="85" bestFit="1" customWidth="1"/>
    <col min="34" max="34" width="17.140625" style="85" bestFit="1" customWidth="1"/>
    <col min="35" max="36" width="17.7109375" style="85" bestFit="1" customWidth="1"/>
    <col min="37" max="37" width="1.28515625" style="85" customWidth="1"/>
    <col min="38" max="38" width="16.8515625" style="85" bestFit="1" customWidth="1"/>
    <col min="39" max="39" width="16.8515625" style="85" customWidth="1"/>
    <col min="40" max="40" width="12.421875" style="85" bestFit="1" customWidth="1"/>
    <col min="41" max="41" width="17.421875" style="85" bestFit="1" customWidth="1"/>
    <col min="42" max="42" width="16.00390625" style="85" bestFit="1" customWidth="1"/>
    <col min="43" max="16384" width="11.421875" style="85" customWidth="1"/>
  </cols>
  <sheetData>
    <row r="1" spans="1:29" ht="15.75">
      <c r="A1" s="129"/>
      <c r="B1" s="129"/>
      <c r="C1" s="129"/>
      <c r="D1" s="129"/>
      <c r="E1" s="129"/>
      <c r="F1" s="129"/>
      <c r="W1" s="129"/>
      <c r="X1" s="129"/>
      <c r="Y1" s="129"/>
      <c r="Z1" s="129"/>
      <c r="AA1" s="129"/>
      <c r="AB1" s="129"/>
      <c r="AC1" s="139" t="s">
        <v>350</v>
      </c>
    </row>
    <row r="2" spans="1:39" ht="15.75">
      <c r="A2" s="130" t="s">
        <v>0</v>
      </c>
      <c r="B2" s="110"/>
      <c r="C2" s="110"/>
      <c r="D2" s="110"/>
      <c r="E2" s="110"/>
      <c r="F2" s="110"/>
      <c r="G2" s="110"/>
      <c r="H2" s="110"/>
      <c r="I2" s="110"/>
      <c r="J2" s="110"/>
      <c r="K2" s="110"/>
      <c r="L2" s="110"/>
      <c r="M2" s="110"/>
      <c r="N2" s="110"/>
      <c r="O2" s="110"/>
      <c r="P2" s="110"/>
      <c r="Q2" s="110"/>
      <c r="W2" s="130" t="s">
        <v>0</v>
      </c>
      <c r="X2" s="110"/>
      <c r="Y2" s="110"/>
      <c r="Z2" s="110"/>
      <c r="AA2" s="110"/>
      <c r="AB2" s="110"/>
      <c r="AC2" s="110"/>
      <c r="AD2" s="110"/>
      <c r="AE2" s="110"/>
      <c r="AF2" s="110"/>
      <c r="AG2" s="110"/>
      <c r="AH2" s="110"/>
      <c r="AI2" s="110"/>
      <c r="AJ2" s="110"/>
      <c r="AK2" s="110"/>
      <c r="AL2" s="110"/>
      <c r="AM2" s="110"/>
    </row>
    <row r="3" spans="1:39" ht="15">
      <c r="A3" s="110" t="s">
        <v>280</v>
      </c>
      <c r="B3" s="110"/>
      <c r="C3" s="110"/>
      <c r="D3" s="110"/>
      <c r="E3" s="110"/>
      <c r="F3" s="110"/>
      <c r="G3" s="110"/>
      <c r="H3" s="110"/>
      <c r="I3" s="110"/>
      <c r="J3" s="110"/>
      <c r="K3" s="110"/>
      <c r="L3" s="110"/>
      <c r="M3" s="110"/>
      <c r="N3" s="110"/>
      <c r="O3" s="110"/>
      <c r="P3" s="110"/>
      <c r="Q3" s="110"/>
      <c r="W3" s="110" t="s">
        <v>281</v>
      </c>
      <c r="X3" s="110"/>
      <c r="Y3" s="110"/>
      <c r="Z3" s="110"/>
      <c r="AA3" s="110"/>
      <c r="AB3" s="110"/>
      <c r="AC3" s="110"/>
      <c r="AD3" s="110"/>
      <c r="AE3" s="110"/>
      <c r="AF3" s="110"/>
      <c r="AG3" s="110"/>
      <c r="AH3" s="110"/>
      <c r="AI3" s="110"/>
      <c r="AJ3" s="110"/>
      <c r="AK3" s="110"/>
      <c r="AL3" s="110"/>
      <c r="AM3" s="110"/>
    </row>
    <row r="4" spans="1:39" ht="15">
      <c r="A4" s="109" t="s">
        <v>1</v>
      </c>
      <c r="B4" s="110"/>
      <c r="C4" s="110"/>
      <c r="D4" s="110"/>
      <c r="E4" s="110"/>
      <c r="F4" s="110"/>
      <c r="G4" s="110"/>
      <c r="H4" s="110"/>
      <c r="I4" s="110"/>
      <c r="J4" s="110"/>
      <c r="K4" s="110"/>
      <c r="L4" s="110"/>
      <c r="M4" s="110"/>
      <c r="N4" s="110"/>
      <c r="O4" s="110"/>
      <c r="P4" s="110"/>
      <c r="Q4" s="110"/>
      <c r="W4" s="109" t="s">
        <v>1</v>
      </c>
      <c r="X4" s="110"/>
      <c r="Y4" s="110"/>
      <c r="Z4" s="110"/>
      <c r="AA4" s="110"/>
      <c r="AB4" s="110"/>
      <c r="AC4" s="110"/>
      <c r="AD4" s="110"/>
      <c r="AE4" s="110"/>
      <c r="AF4" s="110"/>
      <c r="AG4" s="110"/>
      <c r="AH4" s="110"/>
      <c r="AI4" s="110"/>
      <c r="AJ4" s="110"/>
      <c r="AK4" s="110"/>
      <c r="AL4" s="110"/>
      <c r="AM4" s="110"/>
    </row>
    <row r="5" spans="1:39" ht="15.75">
      <c r="A5" s="85" t="s">
        <v>2</v>
      </c>
      <c r="B5" s="110"/>
      <c r="C5" s="110"/>
      <c r="D5" s="110"/>
      <c r="E5" s="110"/>
      <c r="F5" s="110"/>
      <c r="G5" s="110"/>
      <c r="H5" s="110"/>
      <c r="I5" s="110"/>
      <c r="J5" s="110"/>
      <c r="K5" s="110"/>
      <c r="L5" s="110"/>
      <c r="M5" s="110"/>
      <c r="N5" s="110"/>
      <c r="O5" s="110"/>
      <c r="P5" s="110"/>
      <c r="Q5" s="110"/>
      <c r="W5" s="85" t="s">
        <v>2</v>
      </c>
      <c r="X5" s="112">
        <v>1</v>
      </c>
      <c r="Y5" s="113">
        <v>2</v>
      </c>
      <c r="Z5" s="113">
        <v>3</v>
      </c>
      <c r="AA5" s="113">
        <v>4</v>
      </c>
      <c r="AB5" s="140"/>
      <c r="AC5" s="141">
        <v>5</v>
      </c>
      <c r="AD5" s="141">
        <v>6</v>
      </c>
      <c r="AE5" s="141">
        <v>7</v>
      </c>
      <c r="AF5" s="141">
        <v>8</v>
      </c>
      <c r="AG5" s="141" t="s">
        <v>4</v>
      </c>
      <c r="AH5" s="141">
        <v>9</v>
      </c>
      <c r="AI5" s="141">
        <v>10</v>
      </c>
      <c r="AJ5" s="141">
        <v>11</v>
      </c>
      <c r="AK5" s="113"/>
      <c r="AL5" s="113">
        <v>12</v>
      </c>
      <c r="AM5" s="113">
        <v>13</v>
      </c>
    </row>
    <row r="6" spans="1:41" ht="15.75">
      <c r="A6" s="111" t="s">
        <v>3</v>
      </c>
      <c r="B6" s="112">
        <v>1</v>
      </c>
      <c r="C6" s="112">
        <v>2</v>
      </c>
      <c r="D6" s="112">
        <v>3</v>
      </c>
      <c r="E6" s="112">
        <v>4</v>
      </c>
      <c r="F6" s="111"/>
      <c r="G6" s="112">
        <v>5</v>
      </c>
      <c r="H6" s="112">
        <v>6</v>
      </c>
      <c r="I6" s="112">
        <v>7</v>
      </c>
      <c r="J6" s="112">
        <v>8</v>
      </c>
      <c r="K6" s="112" t="s">
        <v>4</v>
      </c>
      <c r="L6" s="112">
        <v>9</v>
      </c>
      <c r="M6" s="112">
        <v>10</v>
      </c>
      <c r="N6" s="112">
        <v>11</v>
      </c>
      <c r="O6" s="112"/>
      <c r="P6" s="112">
        <v>12</v>
      </c>
      <c r="Q6" s="112">
        <v>13</v>
      </c>
      <c r="S6" s="85" t="s">
        <v>5</v>
      </c>
      <c r="T6" s="85" t="s">
        <v>5</v>
      </c>
      <c r="W6" s="111" t="s">
        <v>344</v>
      </c>
      <c r="X6" s="114" t="s">
        <v>282</v>
      </c>
      <c r="Y6" s="115" t="s">
        <v>7</v>
      </c>
      <c r="Z6" s="115" t="s">
        <v>7</v>
      </c>
      <c r="AA6" s="115" t="s">
        <v>263</v>
      </c>
      <c r="AB6" s="142"/>
      <c r="AC6" s="143" t="s">
        <v>283</v>
      </c>
      <c r="AD6" s="144"/>
      <c r="AE6" s="144"/>
      <c r="AF6" s="144"/>
      <c r="AG6" s="144"/>
      <c r="AH6" s="144"/>
      <c r="AI6" s="144"/>
      <c r="AJ6" s="144"/>
      <c r="AK6" s="144"/>
      <c r="AL6" s="144"/>
      <c r="AM6" s="144"/>
      <c r="AO6" s="85" t="s">
        <v>284</v>
      </c>
    </row>
    <row r="7" spans="1:39" ht="15">
      <c r="A7" s="111"/>
      <c r="B7" s="114" t="s">
        <v>6</v>
      </c>
      <c r="C7" s="114" t="s">
        <v>7</v>
      </c>
      <c r="D7" s="114" t="s">
        <v>7</v>
      </c>
      <c r="E7" s="114" t="s">
        <v>8</v>
      </c>
      <c r="F7" s="114"/>
      <c r="G7" s="114" t="s">
        <v>9</v>
      </c>
      <c r="H7" s="114" t="s">
        <v>10</v>
      </c>
      <c r="I7" s="114" t="s">
        <v>11</v>
      </c>
      <c r="J7" s="114" t="s">
        <v>12</v>
      </c>
      <c r="K7" s="114" t="s">
        <v>13</v>
      </c>
      <c r="L7" s="114" t="s">
        <v>14</v>
      </c>
      <c r="M7" s="114" t="s">
        <v>15</v>
      </c>
      <c r="N7" s="114" t="s">
        <v>16</v>
      </c>
      <c r="O7" s="114"/>
      <c r="P7" s="114" t="s">
        <v>17</v>
      </c>
      <c r="Q7" s="114" t="s">
        <v>18</v>
      </c>
      <c r="S7" s="85" t="s">
        <v>19</v>
      </c>
      <c r="T7" s="85" t="s">
        <v>19</v>
      </c>
      <c r="W7" s="111"/>
      <c r="X7" s="145" t="s">
        <v>285</v>
      </c>
      <c r="Y7" s="115" t="s">
        <v>21</v>
      </c>
      <c r="Z7" s="115" t="s">
        <v>22</v>
      </c>
      <c r="AA7" s="115" t="s">
        <v>8</v>
      </c>
      <c r="AB7" s="115"/>
      <c r="AC7" s="143" t="s">
        <v>286</v>
      </c>
      <c r="AD7" s="143" t="s">
        <v>10</v>
      </c>
      <c r="AE7" s="143" t="s">
        <v>11</v>
      </c>
      <c r="AF7" s="143" t="s">
        <v>287</v>
      </c>
      <c r="AG7" s="143" t="s">
        <v>13</v>
      </c>
      <c r="AH7" s="143" t="s">
        <v>14</v>
      </c>
      <c r="AI7" s="143" t="s">
        <v>15</v>
      </c>
      <c r="AJ7" s="143" t="s">
        <v>16</v>
      </c>
      <c r="AK7" s="115"/>
      <c r="AL7" s="115" t="s">
        <v>17</v>
      </c>
      <c r="AM7" s="115" t="s">
        <v>18</v>
      </c>
    </row>
    <row r="8" spans="1:39" ht="15">
      <c r="A8" s="111"/>
      <c r="B8" s="8" t="s">
        <v>20</v>
      </c>
      <c r="C8" s="116" t="s">
        <v>21</v>
      </c>
      <c r="D8" s="116" t="s">
        <v>22</v>
      </c>
      <c r="E8" s="116" t="s">
        <v>23</v>
      </c>
      <c r="F8" s="116"/>
      <c r="G8" s="116" t="s">
        <v>24</v>
      </c>
      <c r="H8" s="116" t="s">
        <v>25</v>
      </c>
      <c r="I8" s="116" t="s">
        <v>26</v>
      </c>
      <c r="J8" s="116"/>
      <c r="K8" s="116"/>
      <c r="L8" s="116" t="s">
        <v>27</v>
      </c>
      <c r="M8" s="116" t="s">
        <v>28</v>
      </c>
      <c r="N8" s="116" t="s">
        <v>28</v>
      </c>
      <c r="O8" s="116"/>
      <c r="P8" s="116" t="s">
        <v>29</v>
      </c>
      <c r="Q8" s="116" t="s">
        <v>30</v>
      </c>
      <c r="S8" s="85" t="s">
        <v>28</v>
      </c>
      <c r="T8" s="85" t="s">
        <v>31</v>
      </c>
      <c r="W8" s="111"/>
      <c r="X8" s="116" t="s">
        <v>347</v>
      </c>
      <c r="Y8" s="117" t="s">
        <v>288</v>
      </c>
      <c r="Z8" s="117" t="s">
        <v>289</v>
      </c>
      <c r="AA8" s="117" t="s">
        <v>23</v>
      </c>
      <c r="AB8" s="117"/>
      <c r="AC8" s="146" t="s">
        <v>290</v>
      </c>
      <c r="AD8" s="146" t="s">
        <v>25</v>
      </c>
      <c r="AE8" s="146" t="s">
        <v>26</v>
      </c>
      <c r="AF8" s="146" t="s">
        <v>291</v>
      </c>
      <c r="AG8" s="146"/>
      <c r="AH8" s="146" t="s">
        <v>27</v>
      </c>
      <c r="AI8" s="146" t="s">
        <v>28</v>
      </c>
      <c r="AJ8" s="146" t="s">
        <v>28</v>
      </c>
      <c r="AK8" s="117"/>
      <c r="AL8" s="117" t="s">
        <v>29</v>
      </c>
      <c r="AM8" s="117" t="s">
        <v>30</v>
      </c>
    </row>
    <row r="9" spans="1:39" ht="15">
      <c r="A9" s="111"/>
      <c r="B9" s="145"/>
      <c r="C9" s="118"/>
      <c r="D9" s="118"/>
      <c r="E9" s="118"/>
      <c r="F9" s="118"/>
      <c r="G9" s="118"/>
      <c r="H9" s="118"/>
      <c r="I9" s="118"/>
      <c r="J9" s="118"/>
      <c r="K9" s="118"/>
      <c r="L9" s="118"/>
      <c r="M9" s="118"/>
      <c r="N9" s="118"/>
      <c r="O9" s="118"/>
      <c r="P9" s="118"/>
      <c r="Q9" s="118"/>
      <c r="W9" s="111"/>
      <c r="X9" s="118"/>
      <c r="Y9" s="177"/>
      <c r="Z9" s="177"/>
      <c r="AA9" s="177"/>
      <c r="AB9" s="177"/>
      <c r="AC9" s="178"/>
      <c r="AD9" s="178"/>
      <c r="AE9" s="178"/>
      <c r="AF9" s="178"/>
      <c r="AG9" s="178"/>
      <c r="AH9" s="178"/>
      <c r="AI9" s="178"/>
      <c r="AJ9" s="178"/>
      <c r="AK9" s="177"/>
      <c r="AL9" s="177"/>
      <c r="AM9" s="177"/>
    </row>
    <row r="10" spans="1:42" ht="15">
      <c r="A10" s="119" t="s">
        <v>32</v>
      </c>
      <c r="B10" s="11">
        <v>95986661</v>
      </c>
      <c r="C10" s="11"/>
      <c r="D10" s="11">
        <v>1467366</v>
      </c>
      <c r="E10" s="11">
        <f aca="true" t="shared" si="0" ref="E10:E41">B10-(C10+D10)</f>
        <v>94519295</v>
      </c>
      <c r="F10" s="11"/>
      <c r="G10" s="11">
        <v>26515583</v>
      </c>
      <c r="H10" s="11">
        <v>8267815</v>
      </c>
      <c r="I10" s="11">
        <v>7199187</v>
      </c>
      <c r="J10" s="11">
        <v>5133088</v>
      </c>
      <c r="K10" s="11">
        <v>935111</v>
      </c>
      <c r="L10" s="11"/>
      <c r="M10" s="11">
        <v>9091077</v>
      </c>
      <c r="N10" s="11">
        <f>SUM(G10:M10)</f>
        <v>57141861</v>
      </c>
      <c r="O10" s="11"/>
      <c r="P10" s="11"/>
      <c r="Q10" s="11">
        <v>37377861</v>
      </c>
      <c r="R10" s="106">
        <f aca="true" t="shared" si="1" ref="R10:R41">E10-(N10+P10+Q10)</f>
        <v>-427</v>
      </c>
      <c r="S10" s="131">
        <f aca="true" t="shared" si="2" ref="S10:S34">+J10/N10</f>
        <v>0.08983060597203861</v>
      </c>
      <c r="T10" s="131">
        <f aca="true" t="shared" si="3" ref="T10:T41">J10/E10</f>
        <v>0.05430730307499649</v>
      </c>
      <c r="W10" s="119" t="s">
        <v>32</v>
      </c>
      <c r="X10" s="11">
        <f aca="true" t="shared" si="4" ref="X10:X41">P10+Q10</f>
        <v>37377861</v>
      </c>
      <c r="Y10" s="11">
        <f>9598667-C10</f>
        <v>9598667</v>
      </c>
      <c r="Z10" s="11">
        <f>4717366-D10</f>
        <v>3250000</v>
      </c>
      <c r="AA10" s="11">
        <f aca="true" t="shared" si="5" ref="AA10:AA41">X10-(Y10+Z10)</f>
        <v>24529194</v>
      </c>
      <c r="AB10" s="11"/>
      <c r="AC10" s="11">
        <f>26247748-G10</f>
        <v>-267835</v>
      </c>
      <c r="AD10" s="11">
        <f>8880868-H10</f>
        <v>613053</v>
      </c>
      <c r="AE10" s="11">
        <f>8201538-I10</f>
        <v>1002351</v>
      </c>
      <c r="AF10" s="11">
        <f>6793997-J10</f>
        <v>1660909</v>
      </c>
      <c r="AG10" s="11">
        <f>1997649-K10</f>
        <v>1062538</v>
      </c>
      <c r="AH10" s="11">
        <v>0</v>
      </c>
      <c r="AI10" s="11">
        <f>9416646-M10</f>
        <v>325569</v>
      </c>
      <c r="AJ10" s="11">
        <f aca="true" t="shared" si="6" ref="AJ10:AJ53">SUM(AC10:AI10)</f>
        <v>4396585</v>
      </c>
      <c r="AK10" s="11"/>
      <c r="AL10" s="11">
        <v>0</v>
      </c>
      <c r="AM10" s="11">
        <v>20132182</v>
      </c>
      <c r="AO10" s="106">
        <f aca="true" t="shared" si="7" ref="AO10:AO41">AA10-(AJ10+AL10+AM10)</f>
        <v>427</v>
      </c>
      <c r="AP10" s="106" t="s">
        <v>249</v>
      </c>
    </row>
    <row r="11" spans="1:41" ht="15">
      <c r="A11" s="132" t="s">
        <v>33</v>
      </c>
      <c r="B11" s="14">
        <v>65267778</v>
      </c>
      <c r="C11" s="17">
        <v>1600000</v>
      </c>
      <c r="D11" s="17">
        <v>3216300</v>
      </c>
      <c r="E11" s="14">
        <f t="shared" si="0"/>
        <v>60451478</v>
      </c>
      <c r="F11" s="14"/>
      <c r="G11" s="14">
        <v>36874212</v>
      </c>
      <c r="H11" s="14">
        <v>6698649</v>
      </c>
      <c r="I11" s="14"/>
      <c r="J11" s="14">
        <v>3559243</v>
      </c>
      <c r="K11" s="14">
        <v>1191409</v>
      </c>
      <c r="L11" s="14"/>
      <c r="M11" s="14">
        <v>307352</v>
      </c>
      <c r="N11" s="14">
        <f>SUM(G11:M11)</f>
        <v>48630865</v>
      </c>
      <c r="O11" s="14"/>
      <c r="P11" s="14">
        <v>11820613</v>
      </c>
      <c r="Q11" s="14"/>
      <c r="R11" s="106">
        <f t="shared" si="1"/>
        <v>0</v>
      </c>
      <c r="S11" s="131">
        <f t="shared" si="2"/>
        <v>0.07318897165411309</v>
      </c>
      <c r="T11" s="131">
        <f t="shared" si="3"/>
        <v>0.05887768368541792</v>
      </c>
      <c r="W11" s="132" t="s">
        <v>33</v>
      </c>
      <c r="X11" s="11">
        <f t="shared" si="4"/>
        <v>11820613</v>
      </c>
      <c r="Y11" s="17">
        <f>2531607-1600000</f>
        <v>931607</v>
      </c>
      <c r="Z11" s="17">
        <f>3216300-D11</f>
        <v>0</v>
      </c>
      <c r="AA11" s="11">
        <f t="shared" si="5"/>
        <v>10889006</v>
      </c>
      <c r="AB11" s="14"/>
      <c r="AC11" s="14">
        <f>36874212-G11</f>
        <v>0</v>
      </c>
      <c r="AD11" s="14">
        <f>6698649-H11</f>
        <v>0</v>
      </c>
      <c r="AE11" s="14">
        <v>0</v>
      </c>
      <c r="AF11" s="14">
        <f>3559243-J11</f>
        <v>0</v>
      </c>
      <c r="AG11" s="14">
        <f>1191409-K11</f>
        <v>0</v>
      </c>
      <c r="AH11" s="14">
        <v>0</v>
      </c>
      <c r="AI11" s="14">
        <f>307352-M11</f>
        <v>0</v>
      </c>
      <c r="AJ11" s="14">
        <f t="shared" si="6"/>
        <v>0</v>
      </c>
      <c r="AK11" s="14"/>
      <c r="AL11" s="14">
        <f>11820613-931607</f>
        <v>10889006</v>
      </c>
      <c r="AM11" s="14">
        <v>0</v>
      </c>
      <c r="AO11" s="106">
        <f t="shared" si="7"/>
        <v>0</v>
      </c>
    </row>
    <row r="12" spans="1:41" ht="15">
      <c r="A12" s="119" t="s">
        <v>34</v>
      </c>
      <c r="B12" s="11">
        <v>226398173</v>
      </c>
      <c r="C12" s="11"/>
      <c r="D12" s="11">
        <v>22639800</v>
      </c>
      <c r="E12" s="11">
        <f t="shared" si="0"/>
        <v>203758373</v>
      </c>
      <c r="F12" s="11"/>
      <c r="G12" s="11">
        <v>87569632</v>
      </c>
      <c r="H12" s="11">
        <v>5879348</v>
      </c>
      <c r="I12" s="11"/>
      <c r="J12" s="11">
        <v>17134722</v>
      </c>
      <c r="K12" s="11">
        <v>618071</v>
      </c>
      <c r="L12" s="11"/>
      <c r="M12" s="11">
        <v>27561772</v>
      </c>
      <c r="N12" s="11">
        <f>SUM(G12:M12)</f>
        <v>138763545</v>
      </c>
      <c r="O12" s="11"/>
      <c r="P12" s="11">
        <v>30805219</v>
      </c>
      <c r="Q12" s="11">
        <v>34189609</v>
      </c>
      <c r="R12" s="106">
        <f t="shared" si="1"/>
        <v>0</v>
      </c>
      <c r="S12" s="131">
        <f t="shared" si="2"/>
        <v>0.12348143743372944</v>
      </c>
      <c r="T12" s="131">
        <f t="shared" si="3"/>
        <v>0.08409333932009753</v>
      </c>
      <c r="W12" s="119" t="s">
        <v>34</v>
      </c>
      <c r="X12" s="11">
        <f t="shared" si="4"/>
        <v>64994828</v>
      </c>
      <c r="Y12" s="11">
        <f>9500000+713785</f>
        <v>10213785</v>
      </c>
      <c r="Z12" s="11">
        <f>22639800-D12</f>
        <v>0</v>
      </c>
      <c r="AA12" s="11">
        <f t="shared" si="5"/>
        <v>54781043</v>
      </c>
      <c r="AB12" s="11"/>
      <c r="AC12" s="11">
        <f>89000832-G12</f>
        <v>1431200</v>
      </c>
      <c r="AD12" s="11">
        <f>6559465-H12</f>
        <v>680117</v>
      </c>
      <c r="AE12" s="11">
        <v>0</v>
      </c>
      <c r="AF12" s="11">
        <f>16713358-J12</f>
        <v>-421364</v>
      </c>
      <c r="AG12" s="11">
        <f>712244-K12</f>
        <v>94173</v>
      </c>
      <c r="AH12" s="11">
        <v>0</v>
      </c>
      <c r="AI12" s="11">
        <f>30032116-M12</f>
        <v>2470344</v>
      </c>
      <c r="AJ12" s="11">
        <f t="shared" si="6"/>
        <v>4254470</v>
      </c>
      <c r="AK12" s="11"/>
      <c r="AL12" s="11">
        <v>22656440</v>
      </c>
      <c r="AM12" s="11">
        <v>27870133</v>
      </c>
      <c r="AO12" s="106">
        <f t="shared" si="7"/>
        <v>0</v>
      </c>
    </row>
    <row r="13" spans="1:41" ht="15">
      <c r="A13" s="119" t="s">
        <v>35</v>
      </c>
      <c r="B13" s="11">
        <v>58230354</v>
      </c>
      <c r="C13" s="11"/>
      <c r="D13" s="11"/>
      <c r="E13" s="11">
        <f t="shared" si="0"/>
        <v>58230354</v>
      </c>
      <c r="F13" s="11"/>
      <c r="G13" s="11">
        <v>15701587</v>
      </c>
      <c r="H13" s="11">
        <v>6411105</v>
      </c>
      <c r="I13" s="11"/>
      <c r="J13" s="11">
        <v>1951996</v>
      </c>
      <c r="K13" s="11">
        <v>1038492</v>
      </c>
      <c r="L13" s="11">
        <v>301264</v>
      </c>
      <c r="M13" s="11">
        <v>3556616</v>
      </c>
      <c r="N13" s="11">
        <v>28961060</v>
      </c>
      <c r="O13" s="11"/>
      <c r="P13" s="11">
        <v>29269294</v>
      </c>
      <c r="Q13" s="11"/>
      <c r="R13" s="106">
        <f t="shared" si="1"/>
        <v>0</v>
      </c>
      <c r="S13" s="131">
        <f t="shared" si="2"/>
        <v>0.0674007097806503</v>
      </c>
      <c r="T13" s="131">
        <f t="shared" si="3"/>
        <v>0.03352196691093446</v>
      </c>
      <c r="W13" s="119" t="s">
        <v>35</v>
      </c>
      <c r="X13" s="11">
        <f t="shared" si="4"/>
        <v>29269294</v>
      </c>
      <c r="Y13" s="11"/>
      <c r="Z13" s="11"/>
      <c r="AA13" s="11">
        <f t="shared" si="5"/>
        <v>29269294</v>
      </c>
      <c r="AB13" s="11"/>
      <c r="AC13" s="11">
        <f>27856044-G13</f>
        <v>12154457</v>
      </c>
      <c r="AD13" s="11">
        <f>11042450-H13</f>
        <v>4631345</v>
      </c>
      <c r="AE13" s="11">
        <v>0</v>
      </c>
      <c r="AF13" s="11">
        <f>3261287-J13</f>
        <v>1309291</v>
      </c>
      <c r="AG13" s="11">
        <f>1413082-K13</f>
        <v>374590</v>
      </c>
      <c r="AH13" s="11">
        <f>601412-L13</f>
        <v>300148</v>
      </c>
      <c r="AI13" s="11">
        <f>6477734-M13</f>
        <v>2921118</v>
      </c>
      <c r="AJ13" s="11">
        <f t="shared" si="6"/>
        <v>21690949</v>
      </c>
      <c r="AK13" s="11"/>
      <c r="AL13" s="11">
        <v>7578345</v>
      </c>
      <c r="AM13" s="11">
        <v>0</v>
      </c>
      <c r="AO13" s="106">
        <f t="shared" si="7"/>
        <v>0</v>
      </c>
    </row>
    <row r="14" spans="1:41" ht="15">
      <c r="A14" s="119" t="s">
        <v>36</v>
      </c>
      <c r="B14" s="11">
        <v>3732671378</v>
      </c>
      <c r="C14" s="11">
        <v>100000000</v>
      </c>
      <c r="D14" s="11">
        <v>183000000</v>
      </c>
      <c r="E14" s="11">
        <f t="shared" si="0"/>
        <v>3449671378</v>
      </c>
      <c r="F14" s="11"/>
      <c r="G14" s="11">
        <v>2009024439</v>
      </c>
      <c r="H14" s="11">
        <v>129316833</v>
      </c>
      <c r="I14" s="11">
        <v>71529932</v>
      </c>
      <c r="J14" s="11">
        <v>125511769</v>
      </c>
      <c r="K14" s="11">
        <v>45221883</v>
      </c>
      <c r="L14" s="11">
        <v>403918</v>
      </c>
      <c r="M14" s="11">
        <v>285915810</v>
      </c>
      <c r="N14" s="11">
        <f aca="true" t="shared" si="8" ref="N14:N60">SUM(G14:M14)</f>
        <v>2666924584</v>
      </c>
      <c r="O14" s="11"/>
      <c r="P14" s="11">
        <v>782746794</v>
      </c>
      <c r="Q14" s="11"/>
      <c r="R14" s="106">
        <f t="shared" si="1"/>
        <v>0</v>
      </c>
      <c r="S14" s="131">
        <f t="shared" si="2"/>
        <v>0.0470623615504532</v>
      </c>
      <c r="T14" s="131">
        <f t="shared" si="3"/>
        <v>0.03638368854507161</v>
      </c>
      <c r="W14" s="119" t="s">
        <v>36</v>
      </c>
      <c r="X14" s="11">
        <f t="shared" si="4"/>
        <v>782746794</v>
      </c>
      <c r="Y14" s="11">
        <f>100000000-C14</f>
        <v>0</v>
      </c>
      <c r="Z14" s="11">
        <f>183000000-D14</f>
        <v>0</v>
      </c>
      <c r="AA14" s="11">
        <f t="shared" si="5"/>
        <v>782746794</v>
      </c>
      <c r="AB14" s="11"/>
      <c r="AC14" s="11">
        <f>2137149600-G14</f>
        <v>128125161</v>
      </c>
      <c r="AD14" s="11">
        <f>166456270-H14</f>
        <v>37139437</v>
      </c>
      <c r="AE14" s="11">
        <f>103028482-I14</f>
        <v>31498550</v>
      </c>
      <c r="AF14" s="11">
        <f>155166101-J14</f>
        <v>29654332</v>
      </c>
      <c r="AG14" s="11">
        <f>59153879-K14</f>
        <v>13931996</v>
      </c>
      <c r="AH14" s="11">
        <f>628371-L14</f>
        <v>224453</v>
      </c>
      <c r="AI14" s="11">
        <f>337112611-M14</f>
        <v>51196801</v>
      </c>
      <c r="AJ14" s="11">
        <f t="shared" si="6"/>
        <v>291770730</v>
      </c>
      <c r="AK14" s="11"/>
      <c r="AL14" s="11">
        <v>490976063</v>
      </c>
      <c r="AM14" s="11">
        <v>0</v>
      </c>
      <c r="AO14" s="106">
        <f t="shared" si="7"/>
        <v>1</v>
      </c>
    </row>
    <row r="15" spans="1:41" ht="15">
      <c r="A15" s="119" t="s">
        <v>37</v>
      </c>
      <c r="B15" s="11">
        <v>139324514</v>
      </c>
      <c r="C15" s="11"/>
      <c r="D15" s="11">
        <v>2152087</v>
      </c>
      <c r="E15" s="11">
        <f t="shared" si="0"/>
        <v>137172427</v>
      </c>
      <c r="F15" s="11"/>
      <c r="G15" s="11">
        <v>32891548</v>
      </c>
      <c r="H15" s="11">
        <v>4020557</v>
      </c>
      <c r="I15" s="11"/>
      <c r="J15" s="11">
        <v>4793289</v>
      </c>
      <c r="K15" s="11">
        <v>5094056</v>
      </c>
      <c r="L15" s="11"/>
      <c r="M15" s="11">
        <v>25862020</v>
      </c>
      <c r="N15" s="11">
        <f t="shared" si="8"/>
        <v>72661470</v>
      </c>
      <c r="O15" s="11"/>
      <c r="P15" s="11">
        <v>64510957</v>
      </c>
      <c r="Q15" s="11">
        <v>0</v>
      </c>
      <c r="R15" s="106">
        <f t="shared" si="1"/>
        <v>0</v>
      </c>
      <c r="S15" s="131">
        <f t="shared" si="2"/>
        <v>0.06596741023819089</v>
      </c>
      <c r="T15" s="131">
        <f t="shared" si="3"/>
        <v>0.034943531326452365</v>
      </c>
      <c r="W15" s="119" t="s">
        <v>37</v>
      </c>
      <c r="X15" s="11">
        <f t="shared" si="4"/>
        <v>64510957</v>
      </c>
      <c r="Y15" s="11">
        <v>0</v>
      </c>
      <c r="Z15" s="11">
        <v>0</v>
      </c>
      <c r="AA15" s="11">
        <f t="shared" si="5"/>
        <v>64510957</v>
      </c>
      <c r="AB15" s="11"/>
      <c r="AC15" s="11">
        <f>46855436-G15</f>
        <v>13963888</v>
      </c>
      <c r="AD15" s="11">
        <f>5519133-H15</f>
        <v>1498576</v>
      </c>
      <c r="AE15" s="11">
        <v>0</v>
      </c>
      <c r="AF15" s="11">
        <f>6335197-J15</f>
        <v>1541908</v>
      </c>
      <c r="AG15" s="11">
        <f>6152612-K15</f>
        <v>1058556</v>
      </c>
      <c r="AH15" s="11">
        <v>0</v>
      </c>
      <c r="AI15" s="11">
        <f>32664782-M15</f>
        <v>6802762</v>
      </c>
      <c r="AJ15" s="11">
        <f t="shared" si="6"/>
        <v>24865690</v>
      </c>
      <c r="AK15" s="11"/>
      <c r="AL15" s="11">
        <v>39645267</v>
      </c>
      <c r="AM15" s="11">
        <v>0</v>
      </c>
      <c r="AO15" s="106">
        <f t="shared" si="7"/>
        <v>0</v>
      </c>
    </row>
    <row r="16" spans="1:41" ht="15.75">
      <c r="A16" s="119" t="s">
        <v>38</v>
      </c>
      <c r="B16" s="11">
        <v>266788107</v>
      </c>
      <c r="C16" s="11"/>
      <c r="D16" s="11">
        <v>23795031</v>
      </c>
      <c r="E16" s="11">
        <f t="shared" si="0"/>
        <v>242993076</v>
      </c>
      <c r="F16" s="11"/>
      <c r="G16" s="11">
        <v>231571900</v>
      </c>
      <c r="H16" s="11"/>
      <c r="I16" s="11"/>
      <c r="J16" s="11">
        <v>11421176</v>
      </c>
      <c r="K16" s="11"/>
      <c r="L16" s="11"/>
      <c r="M16" s="11"/>
      <c r="N16" s="11">
        <f t="shared" si="8"/>
        <v>242993076</v>
      </c>
      <c r="O16" s="11"/>
      <c r="P16" s="11"/>
      <c r="Q16" s="11"/>
      <c r="R16" s="106">
        <f t="shared" si="1"/>
        <v>0</v>
      </c>
      <c r="S16" s="131">
        <f t="shared" si="2"/>
        <v>0.04700206354851033</v>
      </c>
      <c r="T16" s="131">
        <f t="shared" si="3"/>
        <v>0.04700206354851033</v>
      </c>
      <c r="W16" s="119" t="s">
        <v>38</v>
      </c>
      <c r="X16" s="11">
        <f t="shared" si="4"/>
        <v>0</v>
      </c>
      <c r="Y16" s="11">
        <v>0</v>
      </c>
      <c r="Z16" s="11">
        <f>23795031-D16</f>
        <v>0</v>
      </c>
      <c r="AA16" s="11">
        <f t="shared" si="5"/>
        <v>0</v>
      </c>
      <c r="AB16" s="11"/>
      <c r="AC16" s="11">
        <v>0</v>
      </c>
      <c r="AD16" s="11">
        <v>0</v>
      </c>
      <c r="AE16" s="11">
        <v>0</v>
      </c>
      <c r="AF16" s="11">
        <v>0</v>
      </c>
      <c r="AG16" s="11">
        <v>0</v>
      </c>
      <c r="AH16" s="11">
        <v>0</v>
      </c>
      <c r="AI16" s="11">
        <v>0</v>
      </c>
      <c r="AJ16" s="11">
        <f t="shared" si="6"/>
        <v>0</v>
      </c>
      <c r="AK16" s="11"/>
      <c r="AL16" s="11">
        <f>P16</f>
        <v>0</v>
      </c>
      <c r="AM16" s="11">
        <f>Q16</f>
        <v>0</v>
      </c>
      <c r="AN16" s="108" t="s">
        <v>292</v>
      </c>
      <c r="AO16" s="106">
        <f t="shared" si="7"/>
        <v>0</v>
      </c>
    </row>
    <row r="17" spans="1:41" ht="15">
      <c r="A17" s="119" t="s">
        <v>39</v>
      </c>
      <c r="B17" s="11">
        <v>32290981</v>
      </c>
      <c r="C17" s="11"/>
      <c r="D17" s="11">
        <v>3229098</v>
      </c>
      <c r="E17" s="11">
        <f t="shared" si="0"/>
        <v>29061883</v>
      </c>
      <c r="F17" s="11"/>
      <c r="G17" s="11">
        <v>16643211</v>
      </c>
      <c r="H17" s="11">
        <v>6233562</v>
      </c>
      <c r="I17" s="11"/>
      <c r="J17" s="11">
        <v>1922429</v>
      </c>
      <c r="K17" s="11">
        <v>3279731</v>
      </c>
      <c r="L17" s="11"/>
      <c r="M17" s="11"/>
      <c r="N17" s="11">
        <f t="shared" si="8"/>
        <v>28078933</v>
      </c>
      <c r="O17" s="11"/>
      <c r="P17" s="11">
        <v>982950</v>
      </c>
      <c r="Q17" s="11"/>
      <c r="R17" s="106">
        <f t="shared" si="1"/>
        <v>0</v>
      </c>
      <c r="S17" s="131">
        <f t="shared" si="2"/>
        <v>0.06846517280410905</v>
      </c>
      <c r="T17" s="131">
        <f t="shared" si="3"/>
        <v>0.06614949898463221</v>
      </c>
      <c r="W17" s="119" t="s">
        <v>39</v>
      </c>
      <c r="X17" s="11">
        <f t="shared" si="4"/>
        <v>982950</v>
      </c>
      <c r="Y17" s="11">
        <v>0</v>
      </c>
      <c r="Z17" s="11">
        <v>0</v>
      </c>
      <c r="AA17" s="11">
        <f t="shared" si="5"/>
        <v>982950</v>
      </c>
      <c r="AB17" s="11"/>
      <c r="AC17" s="11">
        <f>16555775-G17</f>
        <v>-87436</v>
      </c>
      <c r="AD17" s="11">
        <f>6499024-H17</f>
        <v>265462</v>
      </c>
      <c r="AE17" s="11">
        <v>0</v>
      </c>
      <c r="AF17" s="11">
        <f>2076599-J17</f>
        <v>154170</v>
      </c>
      <c r="AG17" s="11">
        <f>3853071-K17</f>
        <v>573340</v>
      </c>
      <c r="AH17" s="11">
        <v>0</v>
      </c>
      <c r="AI17" s="11">
        <v>0</v>
      </c>
      <c r="AJ17" s="11">
        <f t="shared" si="6"/>
        <v>905536</v>
      </c>
      <c r="AK17" s="11"/>
      <c r="AL17" s="11">
        <v>77414</v>
      </c>
      <c r="AM17" s="11">
        <v>0</v>
      </c>
      <c r="AO17" s="106">
        <f t="shared" si="7"/>
        <v>0</v>
      </c>
    </row>
    <row r="18" spans="1:41" ht="15">
      <c r="A18" s="119" t="s">
        <v>40</v>
      </c>
      <c r="B18" s="11">
        <v>92609815</v>
      </c>
      <c r="C18" s="11"/>
      <c r="D18" s="11"/>
      <c r="E18" s="11">
        <f t="shared" si="0"/>
        <v>92609815</v>
      </c>
      <c r="F18" s="11"/>
      <c r="G18" s="11">
        <v>45819352</v>
      </c>
      <c r="H18" s="11">
        <v>5727350</v>
      </c>
      <c r="I18" s="11"/>
      <c r="J18" s="11">
        <v>5575790</v>
      </c>
      <c r="K18" s="11">
        <v>898314</v>
      </c>
      <c r="L18" s="11"/>
      <c r="M18" s="11">
        <v>1854953</v>
      </c>
      <c r="N18" s="11">
        <f t="shared" si="8"/>
        <v>59875759</v>
      </c>
      <c r="O18" s="11"/>
      <c r="P18" s="11">
        <v>6328026</v>
      </c>
      <c r="Q18" s="11">
        <v>26406030</v>
      </c>
      <c r="R18" s="106">
        <f t="shared" si="1"/>
        <v>0</v>
      </c>
      <c r="S18" s="131">
        <f t="shared" si="2"/>
        <v>0.09312266087516319</v>
      </c>
      <c r="T18" s="131">
        <f t="shared" si="3"/>
        <v>0.06020733331558863</v>
      </c>
      <c r="W18" s="119" t="s">
        <v>40</v>
      </c>
      <c r="X18" s="11">
        <f t="shared" si="4"/>
        <v>32734056</v>
      </c>
      <c r="Y18" s="11">
        <v>0</v>
      </c>
      <c r="Z18" s="11">
        <v>0</v>
      </c>
      <c r="AA18" s="11">
        <f t="shared" si="5"/>
        <v>32734056</v>
      </c>
      <c r="AB18" s="11"/>
      <c r="AC18" s="11">
        <f>45602451-G18</f>
        <v>-216901</v>
      </c>
      <c r="AD18" s="11">
        <f>7205149-H18</f>
        <v>1477799</v>
      </c>
      <c r="AE18" s="11">
        <v>0</v>
      </c>
      <c r="AF18" s="11">
        <f>7041274-J18</f>
        <v>1465484</v>
      </c>
      <c r="AG18" s="11">
        <f>996717-K18</f>
        <v>98403</v>
      </c>
      <c r="AH18" s="11">
        <v>0</v>
      </c>
      <c r="AI18" s="11">
        <v>0</v>
      </c>
      <c r="AJ18" s="11">
        <f t="shared" si="6"/>
        <v>2824785</v>
      </c>
      <c r="AK18" s="11"/>
      <c r="AL18" s="11">
        <v>0</v>
      </c>
      <c r="AM18" s="11">
        <v>31764224</v>
      </c>
      <c r="AO18" s="106">
        <f t="shared" si="7"/>
        <v>-1854953</v>
      </c>
    </row>
    <row r="19" spans="1:41" ht="15">
      <c r="A19" s="119" t="s">
        <v>41</v>
      </c>
      <c r="B19" s="11">
        <v>576886883</v>
      </c>
      <c r="C19" s="11">
        <v>29403486</v>
      </c>
      <c r="D19" s="11">
        <v>57688688</v>
      </c>
      <c r="E19" s="11">
        <f t="shared" si="0"/>
        <v>489794709</v>
      </c>
      <c r="F19" s="11"/>
      <c r="G19" s="11">
        <v>55673234</v>
      </c>
      <c r="H19" s="11">
        <v>669819</v>
      </c>
      <c r="I19" s="11">
        <v>71138691</v>
      </c>
      <c r="J19" s="11">
        <v>13574649</v>
      </c>
      <c r="K19" s="11">
        <v>6755427</v>
      </c>
      <c r="L19" s="11">
        <v>83167</v>
      </c>
      <c r="M19" s="11">
        <v>37429084</v>
      </c>
      <c r="N19" s="11">
        <f t="shared" si="8"/>
        <v>185324071</v>
      </c>
      <c r="O19" s="11"/>
      <c r="P19" s="11">
        <v>51548488</v>
      </c>
      <c r="Q19" s="11">
        <v>252922151</v>
      </c>
      <c r="R19" s="106">
        <f t="shared" si="1"/>
        <v>-1</v>
      </c>
      <c r="S19" s="131">
        <f t="shared" si="2"/>
        <v>0.07324816968865312</v>
      </c>
      <c r="T19" s="131">
        <f t="shared" si="3"/>
        <v>0.02771497680674211</v>
      </c>
      <c r="W19" s="119" t="s">
        <v>41</v>
      </c>
      <c r="X19" s="11">
        <f t="shared" si="4"/>
        <v>304470639</v>
      </c>
      <c r="Y19" s="11">
        <f>29403486-C19</f>
        <v>0</v>
      </c>
      <c r="Z19" s="11">
        <f>57688688-D19</f>
        <v>0</v>
      </c>
      <c r="AA19" s="11">
        <f t="shared" si="5"/>
        <v>304470639</v>
      </c>
      <c r="AB19" s="11"/>
      <c r="AC19" s="11">
        <f>58399179-G19</f>
        <v>2725945</v>
      </c>
      <c r="AD19" s="11">
        <f>28363946-H19</f>
        <v>27694127</v>
      </c>
      <c r="AE19" s="11">
        <f>71138691-I19</f>
        <v>0</v>
      </c>
      <c r="AF19" s="11">
        <f>13814490-J19</f>
        <v>239841</v>
      </c>
      <c r="AG19" s="11">
        <f>6755427-K19</f>
        <v>0</v>
      </c>
      <c r="AH19" s="11">
        <f>83167-L19</f>
        <v>0</v>
      </c>
      <c r="AI19" s="11">
        <f>37451786-M19</f>
        <v>22702</v>
      </c>
      <c r="AJ19" s="11">
        <f t="shared" si="6"/>
        <v>30682615</v>
      </c>
      <c r="AK19" s="11"/>
      <c r="AL19" s="11">
        <v>92910233</v>
      </c>
      <c r="AM19" s="11">
        <v>180877790</v>
      </c>
      <c r="AO19" s="106">
        <f t="shared" si="7"/>
        <v>1</v>
      </c>
    </row>
    <row r="20" spans="1:41" ht="15">
      <c r="A20" s="119" t="s">
        <v>42</v>
      </c>
      <c r="B20" s="11">
        <v>339720207</v>
      </c>
      <c r="C20" s="11">
        <v>19152485</v>
      </c>
      <c r="D20" s="11">
        <v>30897051</v>
      </c>
      <c r="E20" s="11">
        <f t="shared" si="0"/>
        <v>289670671</v>
      </c>
      <c r="F20" s="11"/>
      <c r="G20" s="11">
        <v>151621177</v>
      </c>
      <c r="H20" s="11">
        <v>10724847</v>
      </c>
      <c r="I20" s="11"/>
      <c r="J20" s="11">
        <v>12949669</v>
      </c>
      <c r="K20" s="11">
        <v>5538306</v>
      </c>
      <c r="L20" s="11"/>
      <c r="M20" s="11">
        <v>41908600</v>
      </c>
      <c r="N20" s="11">
        <f t="shared" si="8"/>
        <v>222742599</v>
      </c>
      <c r="O20" s="11"/>
      <c r="P20" s="11">
        <v>15232400</v>
      </c>
      <c r="Q20" s="11">
        <v>51695673</v>
      </c>
      <c r="R20" s="106">
        <f t="shared" si="1"/>
        <v>-1</v>
      </c>
      <c r="S20" s="131">
        <f t="shared" si="2"/>
        <v>0.05813737048116243</v>
      </c>
      <c r="T20" s="131">
        <f t="shared" si="3"/>
        <v>0.04470479857451637</v>
      </c>
      <c r="W20" s="119" t="s">
        <v>42</v>
      </c>
      <c r="X20" s="11">
        <f t="shared" si="4"/>
        <v>66928073</v>
      </c>
      <c r="Y20" s="11">
        <v>132515</v>
      </c>
      <c r="Z20" s="11">
        <f>30897051-D20</f>
        <v>0</v>
      </c>
      <c r="AA20" s="11">
        <f t="shared" si="5"/>
        <v>66795558</v>
      </c>
      <c r="AB20" s="11"/>
      <c r="AC20" s="11">
        <f>198022605-G20</f>
        <v>46401428</v>
      </c>
      <c r="AD20" s="11">
        <f>16428179-H20</f>
        <v>5703332</v>
      </c>
      <c r="AE20" s="11">
        <v>0</v>
      </c>
      <c r="AF20" s="11">
        <f>13206660-J20</f>
        <v>256991</v>
      </c>
      <c r="AG20" s="11">
        <f>5593924-K20</f>
        <v>55618</v>
      </c>
      <c r="AH20" s="11">
        <v>0</v>
      </c>
      <c r="AI20" s="11">
        <f>43677291-M20</f>
        <v>1768691</v>
      </c>
      <c r="AJ20" s="11">
        <f t="shared" si="6"/>
        <v>54186060</v>
      </c>
      <c r="AK20" s="11"/>
      <c r="AL20" s="11">
        <v>12609498</v>
      </c>
      <c r="AM20" s="11">
        <v>0</v>
      </c>
      <c r="AO20" s="106">
        <f t="shared" si="7"/>
        <v>0</v>
      </c>
    </row>
    <row r="21" spans="1:41" ht="15">
      <c r="A21" s="119" t="s">
        <v>43</v>
      </c>
      <c r="B21" s="11">
        <v>98904788</v>
      </c>
      <c r="C21" s="11">
        <v>7400000</v>
      </c>
      <c r="D21" s="11"/>
      <c r="E21" s="11">
        <f t="shared" si="0"/>
        <v>91504788</v>
      </c>
      <c r="F21" s="11"/>
      <c r="G21" s="11">
        <v>75109925</v>
      </c>
      <c r="H21" s="11">
        <v>3919247</v>
      </c>
      <c r="I21" s="11"/>
      <c r="J21" s="11">
        <v>5399543</v>
      </c>
      <c r="K21" s="11">
        <v>545879</v>
      </c>
      <c r="L21" s="11"/>
      <c r="M21" s="11"/>
      <c r="N21" s="11">
        <f t="shared" si="8"/>
        <v>84974594</v>
      </c>
      <c r="O21" s="11"/>
      <c r="P21" s="11">
        <v>429294</v>
      </c>
      <c r="Q21" s="11">
        <v>6100900</v>
      </c>
      <c r="R21" s="106">
        <f t="shared" si="1"/>
        <v>0</v>
      </c>
      <c r="S21" s="131">
        <f t="shared" si="2"/>
        <v>0.06354302793138382</v>
      </c>
      <c r="T21" s="131">
        <f t="shared" si="3"/>
        <v>0.05900831112793792</v>
      </c>
      <c r="W21" s="119" t="s">
        <v>43</v>
      </c>
      <c r="X21" s="11">
        <f t="shared" si="4"/>
        <v>6530194</v>
      </c>
      <c r="Y21" s="11">
        <f>12500900-C21</f>
        <v>5100900</v>
      </c>
      <c r="Z21" s="11">
        <f>500000-D21</f>
        <v>500000</v>
      </c>
      <c r="AA21" s="11">
        <f t="shared" si="5"/>
        <v>929294</v>
      </c>
      <c r="AB21" s="11"/>
      <c r="AC21" s="11">
        <f>75109925-G21</f>
        <v>0</v>
      </c>
      <c r="AD21" s="11">
        <f>3455011-H21</f>
        <v>-464236</v>
      </c>
      <c r="AE21" s="11">
        <v>0</v>
      </c>
      <c r="AF21" s="11">
        <f>5474793-J21</f>
        <v>75250</v>
      </c>
      <c r="AG21" s="11">
        <f>921722-K21</f>
        <v>375843</v>
      </c>
      <c r="AH21" s="11">
        <v>0</v>
      </c>
      <c r="AI21" s="11">
        <v>0</v>
      </c>
      <c r="AJ21" s="11">
        <f t="shared" si="6"/>
        <v>-13143</v>
      </c>
      <c r="AK21" s="11"/>
      <c r="AL21" s="11">
        <v>81263</v>
      </c>
      <c r="AM21" s="11">
        <v>861174</v>
      </c>
      <c r="AO21" s="106">
        <f t="shared" si="7"/>
        <v>0</v>
      </c>
    </row>
    <row r="22" spans="1:41" ht="15.75">
      <c r="A22" s="119" t="s">
        <v>44</v>
      </c>
      <c r="B22" s="11">
        <v>32780444</v>
      </c>
      <c r="C22" s="11"/>
      <c r="D22" s="11">
        <v>3278000</v>
      </c>
      <c r="E22" s="11">
        <f t="shared" si="0"/>
        <v>29502444</v>
      </c>
      <c r="F22" s="11"/>
      <c r="G22" s="11"/>
      <c r="H22" s="11"/>
      <c r="I22" s="11"/>
      <c r="J22" s="11"/>
      <c r="K22" s="11"/>
      <c r="L22" s="11"/>
      <c r="M22" s="11"/>
      <c r="N22" s="11">
        <f t="shared" si="8"/>
        <v>0</v>
      </c>
      <c r="O22" s="11"/>
      <c r="P22" s="11"/>
      <c r="Q22" s="11">
        <v>29502444</v>
      </c>
      <c r="R22" s="106">
        <f t="shared" si="1"/>
        <v>0</v>
      </c>
      <c r="S22" s="131" t="e">
        <f t="shared" si="2"/>
        <v>#DIV/0!</v>
      </c>
      <c r="T22" s="131">
        <f t="shared" si="3"/>
        <v>0</v>
      </c>
      <c r="W22" s="119" t="s">
        <v>44</v>
      </c>
      <c r="X22" s="11">
        <f t="shared" si="4"/>
        <v>29502444</v>
      </c>
      <c r="Y22" s="11">
        <v>0</v>
      </c>
      <c r="Z22" s="11">
        <v>0</v>
      </c>
      <c r="AA22" s="11">
        <f t="shared" si="5"/>
        <v>29502444</v>
      </c>
      <c r="AB22" s="11"/>
      <c r="AC22" s="11">
        <f aca="true" t="shared" si="9" ref="AC22:AI22">G22</f>
        <v>0</v>
      </c>
      <c r="AD22" s="11">
        <f t="shared" si="9"/>
        <v>0</v>
      </c>
      <c r="AE22" s="11">
        <f t="shared" si="9"/>
        <v>0</v>
      </c>
      <c r="AF22" s="11">
        <f t="shared" si="9"/>
        <v>0</v>
      </c>
      <c r="AG22" s="11">
        <f t="shared" si="9"/>
        <v>0</v>
      </c>
      <c r="AH22" s="11">
        <f t="shared" si="9"/>
        <v>0</v>
      </c>
      <c r="AI22" s="11">
        <f t="shared" si="9"/>
        <v>0</v>
      </c>
      <c r="AJ22" s="11">
        <f t="shared" si="6"/>
        <v>0</v>
      </c>
      <c r="AK22" s="11"/>
      <c r="AL22" s="11">
        <f>P22</f>
        <v>0</v>
      </c>
      <c r="AM22" s="11">
        <f>AA22</f>
        <v>29502444</v>
      </c>
      <c r="AN22" s="108" t="s">
        <v>293</v>
      </c>
      <c r="AO22" s="106">
        <f t="shared" si="7"/>
        <v>0</v>
      </c>
    </row>
    <row r="23" spans="1:41" ht="15.75">
      <c r="A23" s="133" t="s">
        <v>45</v>
      </c>
      <c r="B23" s="14">
        <v>585056960</v>
      </c>
      <c r="C23" s="15"/>
      <c r="D23" s="17">
        <v>58500000</v>
      </c>
      <c r="E23" s="14">
        <f t="shared" si="0"/>
        <v>526556960</v>
      </c>
      <c r="F23" s="17"/>
      <c r="G23" s="17">
        <v>446028862</v>
      </c>
      <c r="H23" s="17">
        <v>20674228</v>
      </c>
      <c r="I23" s="17"/>
      <c r="J23" s="17">
        <v>75858114</v>
      </c>
      <c r="K23" s="17">
        <v>3031032</v>
      </c>
      <c r="L23" s="17"/>
      <c r="M23" s="17"/>
      <c r="N23" s="17">
        <f t="shared" si="8"/>
        <v>545592236</v>
      </c>
      <c r="O23" s="17"/>
      <c r="P23" s="17"/>
      <c r="Q23" s="17"/>
      <c r="R23" s="106">
        <f t="shared" si="1"/>
        <v>-19035276</v>
      </c>
      <c r="S23" s="131">
        <f t="shared" si="2"/>
        <v>0.13903811123881168</v>
      </c>
      <c r="T23" s="131">
        <f t="shared" si="3"/>
        <v>0.14406440283307623</v>
      </c>
      <c r="W23" s="133" t="s">
        <v>45</v>
      </c>
      <c r="X23" s="11">
        <f t="shared" si="4"/>
        <v>0</v>
      </c>
      <c r="Y23" s="15">
        <f>C23</f>
        <v>0</v>
      </c>
      <c r="Z23" s="17">
        <f>58500000-D23</f>
        <v>0</v>
      </c>
      <c r="AA23" s="14">
        <f t="shared" si="5"/>
        <v>0</v>
      </c>
      <c r="AB23" s="17"/>
      <c r="AC23" s="17">
        <v>0</v>
      </c>
      <c r="AD23" s="17">
        <v>0</v>
      </c>
      <c r="AE23" s="17">
        <v>0</v>
      </c>
      <c r="AF23" s="17">
        <v>0</v>
      </c>
      <c r="AG23" s="17">
        <v>0</v>
      </c>
      <c r="AH23" s="17">
        <v>0</v>
      </c>
      <c r="AI23" s="17">
        <v>0</v>
      </c>
      <c r="AJ23" s="17">
        <f t="shared" si="6"/>
        <v>0</v>
      </c>
      <c r="AK23" s="17"/>
      <c r="AL23" s="17">
        <f>P23</f>
        <v>0</v>
      </c>
      <c r="AM23" s="17">
        <f>Q23</f>
        <v>0</v>
      </c>
      <c r="AN23" s="108" t="s">
        <v>294</v>
      </c>
      <c r="AO23" s="106">
        <f t="shared" si="7"/>
        <v>0</v>
      </c>
    </row>
    <row r="24" spans="1:41" ht="15">
      <c r="A24" s="133" t="s">
        <v>46</v>
      </c>
      <c r="B24" s="14">
        <v>206799109</v>
      </c>
      <c r="C24" s="15"/>
      <c r="D24" s="17">
        <v>6000000</v>
      </c>
      <c r="E24" s="14">
        <f t="shared" si="0"/>
        <v>200799109</v>
      </c>
      <c r="F24" s="17"/>
      <c r="G24" s="17">
        <v>5376814</v>
      </c>
      <c r="H24" s="17">
        <v>467318</v>
      </c>
      <c r="I24" s="17"/>
      <c r="J24" s="17">
        <v>17222286</v>
      </c>
      <c r="K24" s="17">
        <v>2412840</v>
      </c>
      <c r="L24" s="17"/>
      <c r="M24" s="17"/>
      <c r="N24" s="17">
        <f t="shared" si="8"/>
        <v>25479258</v>
      </c>
      <c r="O24" s="17"/>
      <c r="P24" s="17">
        <v>175319851</v>
      </c>
      <c r="Q24" s="17"/>
      <c r="R24" s="106">
        <f t="shared" si="1"/>
        <v>0</v>
      </c>
      <c r="S24" s="131">
        <f t="shared" si="2"/>
        <v>0.675933577029598</v>
      </c>
      <c r="T24" s="131">
        <f t="shared" si="3"/>
        <v>0.08576873715111953</v>
      </c>
      <c r="W24" s="133" t="s">
        <v>46</v>
      </c>
      <c r="X24" s="11">
        <f t="shared" si="4"/>
        <v>175319851</v>
      </c>
      <c r="Y24" s="17">
        <f>28319038+27719962</f>
        <v>56039000</v>
      </c>
      <c r="Z24" s="17">
        <f>6000000-D24</f>
        <v>0</v>
      </c>
      <c r="AA24" s="14">
        <f t="shared" si="5"/>
        <v>119280851</v>
      </c>
      <c r="AB24" s="17"/>
      <c r="AC24" s="11">
        <f>29255038-G24</f>
        <v>23878224</v>
      </c>
      <c r="AD24" s="11">
        <f>467318-H24</f>
        <v>0</v>
      </c>
      <c r="AE24" s="17">
        <v>0</v>
      </c>
      <c r="AF24" s="11">
        <f>17327125-J24</f>
        <v>104839</v>
      </c>
      <c r="AG24" s="11">
        <f>4511274-K24</f>
        <v>2098434</v>
      </c>
      <c r="AH24" s="17">
        <v>0</v>
      </c>
      <c r="AI24" s="17">
        <v>0</v>
      </c>
      <c r="AJ24" s="17">
        <f t="shared" si="6"/>
        <v>26081497</v>
      </c>
      <c r="AK24" s="17"/>
      <c r="AL24" s="17">
        <v>93199354</v>
      </c>
      <c r="AM24" s="17">
        <v>0</v>
      </c>
      <c r="AO24" s="106">
        <f t="shared" si="7"/>
        <v>0</v>
      </c>
    </row>
    <row r="25" spans="1:41" ht="15.75">
      <c r="A25" s="133" t="s">
        <v>47</v>
      </c>
      <c r="B25" s="11">
        <v>131524959</v>
      </c>
      <c r="C25" s="11">
        <v>1214089</v>
      </c>
      <c r="D25" s="11">
        <v>7401592</v>
      </c>
      <c r="E25" s="11">
        <f t="shared" si="0"/>
        <v>122909278</v>
      </c>
      <c r="F25" s="11"/>
      <c r="G25" s="11">
        <v>43163350</v>
      </c>
      <c r="H25" s="11">
        <v>11077016</v>
      </c>
      <c r="I25" s="11"/>
      <c r="J25" s="11">
        <v>8921896</v>
      </c>
      <c r="K25" s="11">
        <v>407502</v>
      </c>
      <c r="L25" s="11"/>
      <c r="M25" s="11">
        <v>24080000</v>
      </c>
      <c r="N25" s="11">
        <f t="shared" si="8"/>
        <v>87649764</v>
      </c>
      <c r="O25" s="11"/>
      <c r="P25" s="11">
        <v>6385774</v>
      </c>
      <c r="Q25" s="11">
        <v>28873740</v>
      </c>
      <c r="R25" s="106">
        <f t="shared" si="1"/>
        <v>0</v>
      </c>
      <c r="S25" s="131">
        <f t="shared" si="2"/>
        <v>0.10179030259568068</v>
      </c>
      <c r="T25" s="131">
        <f t="shared" si="3"/>
        <v>0.07258928003791544</v>
      </c>
      <c r="W25" s="133" t="s">
        <v>47</v>
      </c>
      <c r="X25" s="11">
        <f t="shared" si="4"/>
        <v>35259514</v>
      </c>
      <c r="Y25" s="11">
        <f>1214089-1214089</f>
        <v>0</v>
      </c>
      <c r="Z25" s="11">
        <v>-754986</v>
      </c>
      <c r="AA25" s="11">
        <f t="shared" si="5"/>
        <v>36014500</v>
      </c>
      <c r="AB25" s="11"/>
      <c r="AC25" s="11">
        <f>64440472-G25</f>
        <v>21277122</v>
      </c>
      <c r="AD25" s="11">
        <f>15209973-H25</f>
        <v>4132957</v>
      </c>
      <c r="AE25" s="11">
        <v>0</v>
      </c>
      <c r="AF25" s="11">
        <f>12321413-J25</f>
        <v>3399517</v>
      </c>
      <c r="AG25" s="11">
        <f>607983-K25</f>
        <v>200481</v>
      </c>
      <c r="AH25" s="11">
        <v>0</v>
      </c>
      <c r="AI25" s="11">
        <f>31084423-M25</f>
        <v>7004423</v>
      </c>
      <c r="AJ25" s="11">
        <f t="shared" si="6"/>
        <v>36014500</v>
      </c>
      <c r="AK25" s="11"/>
      <c r="AL25" s="11">
        <v>0</v>
      </c>
      <c r="AM25" s="11">
        <v>0</v>
      </c>
      <c r="AN25" s="108" t="s">
        <v>295</v>
      </c>
      <c r="AO25" s="106">
        <f t="shared" si="7"/>
        <v>0</v>
      </c>
    </row>
    <row r="26" spans="1:41" ht="15.75">
      <c r="A26" s="133" t="s">
        <v>48</v>
      </c>
      <c r="B26" s="14">
        <v>101931061</v>
      </c>
      <c r="C26" s="17">
        <v>7376929</v>
      </c>
      <c r="D26" s="17">
        <v>10193106</v>
      </c>
      <c r="E26" s="14">
        <f t="shared" si="0"/>
        <v>84361026</v>
      </c>
      <c r="F26" s="17"/>
      <c r="G26" s="17">
        <v>9377813</v>
      </c>
      <c r="H26" s="17">
        <v>2648712</v>
      </c>
      <c r="I26" s="17"/>
      <c r="J26" s="17">
        <v>2651163</v>
      </c>
      <c r="K26" s="17"/>
      <c r="L26" s="17"/>
      <c r="M26" s="17">
        <v>48066731</v>
      </c>
      <c r="N26" s="17">
        <f t="shared" si="8"/>
        <v>62744419</v>
      </c>
      <c r="O26" s="17"/>
      <c r="P26" s="17"/>
      <c r="Q26" s="17">
        <v>21616607</v>
      </c>
      <c r="R26" s="106">
        <f t="shared" si="1"/>
        <v>0</v>
      </c>
      <c r="S26" s="131">
        <f t="shared" si="2"/>
        <v>0.042253367586366525</v>
      </c>
      <c r="T26" s="131">
        <f t="shared" si="3"/>
        <v>0.03142639588096048</v>
      </c>
      <c r="W26" s="133" t="s">
        <v>48</v>
      </c>
      <c r="X26" s="11">
        <f t="shared" si="4"/>
        <v>21616607</v>
      </c>
      <c r="Y26" s="17">
        <f>7376929-C26</f>
        <v>0</v>
      </c>
      <c r="Z26" s="17">
        <f>10193106-D26</f>
        <v>0</v>
      </c>
      <c r="AA26" s="14">
        <f t="shared" si="5"/>
        <v>21616607</v>
      </c>
      <c r="AB26" s="17"/>
      <c r="AC26" s="17">
        <v>0</v>
      </c>
      <c r="AD26" s="17">
        <v>0</v>
      </c>
      <c r="AE26" s="17">
        <v>0</v>
      </c>
      <c r="AF26" s="17">
        <v>0</v>
      </c>
      <c r="AG26" s="17">
        <v>0</v>
      </c>
      <c r="AH26" s="17">
        <v>0</v>
      </c>
      <c r="AI26" s="17">
        <v>0</v>
      </c>
      <c r="AJ26" s="17">
        <f t="shared" si="6"/>
        <v>0</v>
      </c>
      <c r="AK26" s="17"/>
      <c r="AL26" s="17">
        <f>P26</f>
        <v>0</v>
      </c>
      <c r="AM26" s="17">
        <f>Q26</f>
        <v>21616607</v>
      </c>
      <c r="AN26" s="108" t="s">
        <v>294</v>
      </c>
      <c r="AO26" s="106">
        <f t="shared" si="7"/>
        <v>0</v>
      </c>
    </row>
    <row r="27" spans="1:41" ht="15.75">
      <c r="A27" s="133" t="s">
        <v>49</v>
      </c>
      <c r="B27" s="11">
        <v>181287669</v>
      </c>
      <c r="C27" s="11">
        <v>18000000</v>
      </c>
      <c r="D27" s="11">
        <v>9200000</v>
      </c>
      <c r="E27" s="11">
        <f t="shared" si="0"/>
        <v>154087669</v>
      </c>
      <c r="F27" s="11"/>
      <c r="G27" s="11">
        <v>83453665</v>
      </c>
      <c r="H27" s="11">
        <v>5590760</v>
      </c>
      <c r="I27" s="11"/>
      <c r="J27" s="11">
        <v>12752242</v>
      </c>
      <c r="K27" s="11">
        <v>864053</v>
      </c>
      <c r="L27" s="11"/>
      <c r="M27" s="11">
        <v>7541932</v>
      </c>
      <c r="N27" s="11">
        <f t="shared" si="8"/>
        <v>110202652</v>
      </c>
      <c r="O27" s="11"/>
      <c r="P27" s="11"/>
      <c r="Q27" s="11">
        <v>43885017</v>
      </c>
      <c r="R27" s="106">
        <f t="shared" si="1"/>
        <v>0</v>
      </c>
      <c r="S27" s="131">
        <f t="shared" si="2"/>
        <v>0.11571628965880058</v>
      </c>
      <c r="T27" s="131">
        <f t="shared" si="3"/>
        <v>0.082759652883061</v>
      </c>
      <c r="W27" s="133" t="s">
        <v>49</v>
      </c>
      <c r="X27" s="11">
        <f t="shared" si="4"/>
        <v>43885017</v>
      </c>
      <c r="Y27" s="11">
        <f>18000000-C27</f>
        <v>0</v>
      </c>
      <c r="Z27" s="11">
        <f>9200000-D27</f>
        <v>0</v>
      </c>
      <c r="AA27" s="11">
        <f t="shared" si="5"/>
        <v>43885017</v>
      </c>
      <c r="AB27" s="11"/>
      <c r="AC27" s="11">
        <f>83849437-83849437</f>
        <v>0</v>
      </c>
      <c r="AD27" s="11">
        <f>5590760-H27</f>
        <v>0</v>
      </c>
      <c r="AE27" s="11">
        <v>0</v>
      </c>
      <c r="AF27" s="11">
        <f>12752242-J27</f>
        <v>0</v>
      </c>
      <c r="AG27" s="11">
        <f>864053-K27</f>
        <v>0</v>
      </c>
      <c r="AH27" s="11">
        <v>0</v>
      </c>
      <c r="AI27" s="11">
        <f>7541932-M27</f>
        <v>0</v>
      </c>
      <c r="AJ27" s="11">
        <f t="shared" si="6"/>
        <v>0</v>
      </c>
      <c r="AK27" s="11"/>
      <c r="AL27" s="11">
        <f>P27</f>
        <v>0</v>
      </c>
      <c r="AM27" s="11">
        <f>Q27</f>
        <v>43885017</v>
      </c>
      <c r="AN27" s="108" t="s">
        <v>294</v>
      </c>
      <c r="AO27" s="106">
        <f t="shared" si="7"/>
        <v>0</v>
      </c>
    </row>
    <row r="28" spans="1:41" ht="15">
      <c r="A28" s="133" t="s">
        <v>50</v>
      </c>
      <c r="B28" s="11">
        <v>168072394</v>
      </c>
      <c r="C28" s="11"/>
      <c r="D28" s="11"/>
      <c r="E28" s="11">
        <f t="shared" si="0"/>
        <v>168072394</v>
      </c>
      <c r="F28" s="11"/>
      <c r="G28" s="11"/>
      <c r="H28" s="11"/>
      <c r="I28" s="11"/>
      <c r="J28" s="11">
        <v>17981755</v>
      </c>
      <c r="K28" s="11">
        <v>2025656</v>
      </c>
      <c r="L28" s="11"/>
      <c r="M28" s="11">
        <v>24548081</v>
      </c>
      <c r="N28" s="11">
        <f t="shared" si="8"/>
        <v>44555492</v>
      </c>
      <c r="O28" s="11"/>
      <c r="P28" s="11"/>
      <c r="Q28" s="11">
        <v>123516902</v>
      </c>
      <c r="R28" s="106">
        <f t="shared" si="1"/>
        <v>0</v>
      </c>
      <c r="S28" s="131">
        <f t="shared" si="2"/>
        <v>0.40358111184138645</v>
      </c>
      <c r="T28" s="131">
        <f t="shared" si="3"/>
        <v>0.10698815297412852</v>
      </c>
      <c r="W28" s="133" t="s">
        <v>50</v>
      </c>
      <c r="X28" s="11">
        <f t="shared" si="4"/>
        <v>123516902</v>
      </c>
      <c r="Y28" s="11">
        <v>50421718</v>
      </c>
      <c r="Z28" s="11">
        <v>0</v>
      </c>
      <c r="AA28" s="11">
        <f t="shared" si="5"/>
        <v>73095184</v>
      </c>
      <c r="AB28" s="11"/>
      <c r="AC28" s="11">
        <f>13548914-G28</f>
        <v>13548914</v>
      </c>
      <c r="AD28" s="11">
        <f>9624213-H28</f>
        <v>9624213</v>
      </c>
      <c r="AE28" s="11">
        <v>0</v>
      </c>
      <c r="AF28" s="11">
        <f>17647601-J28</f>
        <v>-334154</v>
      </c>
      <c r="AG28" s="11">
        <f>2025656-K28</f>
        <v>0</v>
      </c>
      <c r="AH28" s="11">
        <v>0</v>
      </c>
      <c r="AI28" s="11">
        <f>24904009-M28</f>
        <v>355928</v>
      </c>
      <c r="AJ28" s="11">
        <f t="shared" si="6"/>
        <v>23194901</v>
      </c>
      <c r="AK28" s="11"/>
      <c r="AL28" s="11">
        <v>0</v>
      </c>
      <c r="AM28" s="11">
        <v>49900283</v>
      </c>
      <c r="AO28" s="106">
        <f t="shared" si="7"/>
        <v>0</v>
      </c>
    </row>
    <row r="29" spans="1:41" ht="15.75">
      <c r="A29" s="133" t="s">
        <v>51</v>
      </c>
      <c r="B29" s="11">
        <v>78120889</v>
      </c>
      <c r="C29" s="11">
        <v>4984810</v>
      </c>
      <c r="D29" s="11">
        <v>2500000</v>
      </c>
      <c r="E29" s="11">
        <f t="shared" si="0"/>
        <v>70636079</v>
      </c>
      <c r="F29" s="11"/>
      <c r="G29" s="11">
        <v>49533774</v>
      </c>
      <c r="H29" s="11">
        <v>7572624</v>
      </c>
      <c r="I29" s="11"/>
      <c r="J29" s="11">
        <v>10595411</v>
      </c>
      <c r="K29" s="11">
        <v>1389650</v>
      </c>
      <c r="L29" s="11"/>
      <c r="M29" s="11">
        <v>1544620</v>
      </c>
      <c r="N29" s="11">
        <f t="shared" si="8"/>
        <v>70636079</v>
      </c>
      <c r="O29" s="11" t="s">
        <v>249</v>
      </c>
      <c r="P29" s="11"/>
      <c r="Q29" s="11"/>
      <c r="R29" s="106">
        <f t="shared" si="1"/>
        <v>0</v>
      </c>
      <c r="S29" s="131">
        <f t="shared" si="2"/>
        <v>0.14999998796648947</v>
      </c>
      <c r="T29" s="131">
        <f t="shared" si="3"/>
        <v>0.14999998796648947</v>
      </c>
      <c r="W29" s="133" t="s">
        <v>51</v>
      </c>
      <c r="X29" s="11">
        <f t="shared" si="4"/>
        <v>0</v>
      </c>
      <c r="Y29" s="11">
        <f>4984810-C29</f>
        <v>0</v>
      </c>
      <c r="Z29" s="11">
        <f>2500000-D29</f>
        <v>0</v>
      </c>
      <c r="AA29" s="11">
        <f t="shared" si="5"/>
        <v>0</v>
      </c>
      <c r="AB29" s="11"/>
      <c r="AC29" s="11">
        <v>0</v>
      </c>
      <c r="AD29" s="11">
        <v>0</v>
      </c>
      <c r="AE29" s="11">
        <v>0</v>
      </c>
      <c r="AF29" s="11">
        <v>0</v>
      </c>
      <c r="AG29" s="11">
        <v>0</v>
      </c>
      <c r="AH29" s="11">
        <v>0</v>
      </c>
      <c r="AI29" s="11">
        <v>0</v>
      </c>
      <c r="AJ29" s="11">
        <f t="shared" si="6"/>
        <v>0</v>
      </c>
      <c r="AK29" s="11" t="s">
        <v>249</v>
      </c>
      <c r="AL29" s="11">
        <f>P29</f>
        <v>0</v>
      </c>
      <c r="AM29" s="11">
        <f>Q29</f>
        <v>0</v>
      </c>
      <c r="AN29" s="108" t="s">
        <v>292</v>
      </c>
      <c r="AO29" s="106">
        <f t="shared" si="7"/>
        <v>0</v>
      </c>
    </row>
    <row r="30" spans="1:41" ht="15">
      <c r="A30" s="133" t="s">
        <v>52</v>
      </c>
      <c r="B30" s="11">
        <v>229098032</v>
      </c>
      <c r="C30" s="11"/>
      <c r="D30" s="11">
        <v>22909803</v>
      </c>
      <c r="E30" s="11">
        <f t="shared" si="0"/>
        <v>206188229</v>
      </c>
      <c r="F30" s="11"/>
      <c r="G30" s="11">
        <v>104823929</v>
      </c>
      <c r="H30" s="11">
        <v>4554128</v>
      </c>
      <c r="I30" s="11">
        <v>9043</v>
      </c>
      <c r="J30" s="11">
        <v>11640367</v>
      </c>
      <c r="K30" s="11">
        <v>3864056</v>
      </c>
      <c r="L30" s="11">
        <v>7998</v>
      </c>
      <c r="M30" s="11">
        <v>1431921</v>
      </c>
      <c r="N30" s="11">
        <f t="shared" si="8"/>
        <v>126331442</v>
      </c>
      <c r="O30" s="11"/>
      <c r="P30" s="11"/>
      <c r="Q30" s="11">
        <v>79856787</v>
      </c>
      <c r="R30" s="106">
        <f t="shared" si="1"/>
        <v>0</v>
      </c>
      <c r="S30" s="131">
        <f t="shared" si="2"/>
        <v>0.09214148762744274</v>
      </c>
      <c r="T30" s="131">
        <f t="shared" si="3"/>
        <v>0.05645505107859479</v>
      </c>
      <c r="W30" s="133" t="s">
        <v>52</v>
      </c>
      <c r="X30" s="11">
        <f t="shared" si="4"/>
        <v>79856787</v>
      </c>
      <c r="Y30" s="11">
        <v>0</v>
      </c>
      <c r="Z30" s="11">
        <f>22909803-D30</f>
        <v>0</v>
      </c>
      <c r="AA30" s="11">
        <f t="shared" si="5"/>
        <v>79856787</v>
      </c>
      <c r="AB30" s="11"/>
      <c r="AC30" s="11">
        <f>114095903-G30</f>
        <v>9271974</v>
      </c>
      <c r="AD30" s="11">
        <f>11399537-H30</f>
        <v>6845409</v>
      </c>
      <c r="AE30" s="11">
        <f>9043-I30</f>
        <v>0</v>
      </c>
      <c r="AF30" s="11">
        <f>12522247-J30</f>
        <v>881880</v>
      </c>
      <c r="AG30" s="11">
        <f>3995207-K30</f>
        <v>131151</v>
      </c>
      <c r="AH30" s="11">
        <f>7998-L30</f>
        <v>0</v>
      </c>
      <c r="AI30" s="11">
        <f>1513992-M30</f>
        <v>82071</v>
      </c>
      <c r="AJ30" s="11">
        <f t="shared" si="6"/>
        <v>17212485</v>
      </c>
      <c r="AK30" s="11"/>
      <c r="AL30" s="11">
        <v>18004660</v>
      </c>
      <c r="AM30" s="11">
        <v>44639642</v>
      </c>
      <c r="AO30" s="106">
        <f t="shared" si="7"/>
        <v>0</v>
      </c>
    </row>
    <row r="31" spans="1:41" ht="15.75">
      <c r="A31" s="133" t="s">
        <v>53</v>
      </c>
      <c r="B31" s="14">
        <v>459371116</v>
      </c>
      <c r="C31" s="14">
        <v>91874223</v>
      </c>
      <c r="D31" s="14">
        <v>45937112</v>
      </c>
      <c r="E31" s="14">
        <f t="shared" si="0"/>
        <v>321559781</v>
      </c>
      <c r="F31" s="17"/>
      <c r="G31" s="17">
        <v>215841798</v>
      </c>
      <c r="H31" s="17">
        <v>6347347</v>
      </c>
      <c r="I31" s="17">
        <v>7110224</v>
      </c>
      <c r="J31" s="17">
        <v>44227847</v>
      </c>
      <c r="K31" s="17">
        <v>10932649</v>
      </c>
      <c r="L31" s="17">
        <v>0</v>
      </c>
      <c r="M31" s="17">
        <v>37099916</v>
      </c>
      <c r="N31" s="17">
        <f t="shared" si="8"/>
        <v>321559781</v>
      </c>
      <c r="O31" s="17"/>
      <c r="P31" s="17">
        <v>0</v>
      </c>
      <c r="Q31" s="17">
        <v>0</v>
      </c>
      <c r="R31" s="106">
        <f t="shared" si="1"/>
        <v>0</v>
      </c>
      <c r="S31" s="131">
        <f t="shared" si="2"/>
        <v>0.13754160070161262</v>
      </c>
      <c r="T31" s="131">
        <f t="shared" si="3"/>
        <v>0.13754160070161262</v>
      </c>
      <c r="W31" s="133" t="s">
        <v>53</v>
      </c>
      <c r="X31" s="11">
        <f t="shared" si="4"/>
        <v>0</v>
      </c>
      <c r="Y31" s="14">
        <v>0</v>
      </c>
      <c r="Z31" s="14">
        <v>0</v>
      </c>
      <c r="AA31" s="14">
        <f t="shared" si="5"/>
        <v>0</v>
      </c>
      <c r="AB31" s="17"/>
      <c r="AC31" s="17">
        <v>0</v>
      </c>
      <c r="AD31" s="17">
        <v>0</v>
      </c>
      <c r="AE31" s="17">
        <v>0</v>
      </c>
      <c r="AF31" s="17">
        <v>0</v>
      </c>
      <c r="AG31" s="17">
        <v>0</v>
      </c>
      <c r="AH31" s="17">
        <v>0</v>
      </c>
      <c r="AI31" s="17">
        <v>0</v>
      </c>
      <c r="AJ31" s="17">
        <f t="shared" si="6"/>
        <v>0</v>
      </c>
      <c r="AK31" s="17"/>
      <c r="AL31" s="17">
        <v>0</v>
      </c>
      <c r="AM31" s="17">
        <f>Q31</f>
        <v>0</v>
      </c>
      <c r="AN31" s="108" t="s">
        <v>292</v>
      </c>
      <c r="AO31" s="106">
        <f t="shared" si="7"/>
        <v>0</v>
      </c>
    </row>
    <row r="32" spans="1:41" ht="15.75">
      <c r="A32" s="133" t="s">
        <v>54</v>
      </c>
      <c r="B32" s="14">
        <v>775352858</v>
      </c>
      <c r="C32" s="14">
        <v>149464937</v>
      </c>
      <c r="D32" s="14">
        <v>72782007</v>
      </c>
      <c r="E32" s="14">
        <f t="shared" si="0"/>
        <v>553105914</v>
      </c>
      <c r="F32" s="17"/>
      <c r="G32" s="17">
        <v>220062958</v>
      </c>
      <c r="H32" s="17">
        <v>68251583</v>
      </c>
      <c r="I32" s="17">
        <v>81753323</v>
      </c>
      <c r="J32" s="17">
        <v>22988541</v>
      </c>
      <c r="K32" s="17">
        <v>17343933</v>
      </c>
      <c r="L32" s="17"/>
      <c r="M32" s="17">
        <v>53444699</v>
      </c>
      <c r="N32" s="17">
        <f t="shared" si="8"/>
        <v>463845037</v>
      </c>
      <c r="O32" s="17"/>
      <c r="P32" s="17">
        <v>14122039</v>
      </c>
      <c r="Q32" s="17">
        <v>89260877</v>
      </c>
      <c r="R32" s="106">
        <f t="shared" si="1"/>
        <v>-14122039</v>
      </c>
      <c r="S32" s="131">
        <f t="shared" si="2"/>
        <v>0.04956082132231588</v>
      </c>
      <c r="T32" s="131">
        <f t="shared" si="3"/>
        <v>0.04156263821832865</v>
      </c>
      <c r="W32" s="133" t="s">
        <v>54</v>
      </c>
      <c r="X32" s="11">
        <f t="shared" si="4"/>
        <v>103382916</v>
      </c>
      <c r="Y32" s="14">
        <f>149464937-C32</f>
        <v>0</v>
      </c>
      <c r="Z32" s="14">
        <f>72782007-D32</f>
        <v>0</v>
      </c>
      <c r="AA32" s="14">
        <f t="shared" si="5"/>
        <v>103382916</v>
      </c>
      <c r="AB32" s="17"/>
      <c r="AC32" s="11">
        <f>279607921-279607921</f>
        <v>0</v>
      </c>
      <c r="AD32" s="11">
        <f>91942090-91942090</f>
        <v>0</v>
      </c>
      <c r="AE32" s="11">
        <f>81753323-81753323</f>
        <v>0</v>
      </c>
      <c r="AF32" s="11">
        <f>27159557-27159557</f>
        <v>0</v>
      </c>
      <c r="AG32" s="11">
        <f>19198324-19198324</f>
        <v>0</v>
      </c>
      <c r="AH32" s="17">
        <v>0</v>
      </c>
      <c r="AI32" s="11">
        <f>53444699-53444699</f>
        <v>0</v>
      </c>
      <c r="AJ32" s="17">
        <f t="shared" si="6"/>
        <v>0</v>
      </c>
      <c r="AK32" s="17"/>
      <c r="AL32" s="17">
        <f>P32</f>
        <v>14122039</v>
      </c>
      <c r="AM32" s="17">
        <f>Q32</f>
        <v>89260877</v>
      </c>
      <c r="AN32" s="108" t="s">
        <v>294</v>
      </c>
      <c r="AO32" s="106">
        <f t="shared" si="7"/>
        <v>0</v>
      </c>
    </row>
    <row r="33" spans="1:41" ht="15">
      <c r="A33" s="133" t="s">
        <v>55</v>
      </c>
      <c r="B33" s="11">
        <v>267984886</v>
      </c>
      <c r="C33" s="11">
        <v>10200000</v>
      </c>
      <c r="D33" s="11">
        <v>100000</v>
      </c>
      <c r="E33" s="11">
        <f t="shared" si="0"/>
        <v>257684886</v>
      </c>
      <c r="F33" s="11"/>
      <c r="G33" s="11">
        <v>86487105</v>
      </c>
      <c r="H33" s="11">
        <v>10838614</v>
      </c>
      <c r="I33" s="11"/>
      <c r="J33" s="11">
        <v>19824751</v>
      </c>
      <c r="K33" s="11">
        <v>3606890</v>
      </c>
      <c r="L33" s="11"/>
      <c r="M33" s="11"/>
      <c r="N33" s="11">
        <f t="shared" si="8"/>
        <v>120757360</v>
      </c>
      <c r="O33" s="11"/>
      <c r="P33" s="11"/>
      <c r="Q33" s="11">
        <v>136927526</v>
      </c>
      <c r="R33" s="106">
        <f t="shared" si="1"/>
        <v>0</v>
      </c>
      <c r="S33" s="131">
        <f t="shared" si="2"/>
        <v>0.16417012594511837</v>
      </c>
      <c r="T33" s="131">
        <f t="shared" si="3"/>
        <v>0.07693408529982623</v>
      </c>
      <c r="W33" s="133" t="s">
        <v>55</v>
      </c>
      <c r="X33" s="11">
        <f t="shared" si="4"/>
        <v>136927526</v>
      </c>
      <c r="Y33" s="11">
        <f>891000-891000</f>
        <v>0</v>
      </c>
      <c r="Z33" s="11">
        <v>791000</v>
      </c>
      <c r="AA33" s="11">
        <f t="shared" si="5"/>
        <v>136136526</v>
      </c>
      <c r="AB33" s="11"/>
      <c r="AC33" s="11">
        <f>147805195-G33</f>
        <v>61318090</v>
      </c>
      <c r="AD33" s="11">
        <f>24219372-H33</f>
        <v>13380758</v>
      </c>
      <c r="AE33" s="11">
        <v>0</v>
      </c>
      <c r="AF33" s="11">
        <f>32790870-J33</f>
        <v>12966119</v>
      </c>
      <c r="AG33" s="11">
        <f>5659973-K33</f>
        <v>2053083</v>
      </c>
      <c r="AH33" s="11">
        <v>0</v>
      </c>
      <c r="AI33" s="11">
        <v>0</v>
      </c>
      <c r="AJ33" s="11">
        <f t="shared" si="6"/>
        <v>89718050</v>
      </c>
      <c r="AK33" s="11"/>
      <c r="AL33" s="11">
        <v>0</v>
      </c>
      <c r="AM33" s="11">
        <v>46418476</v>
      </c>
      <c r="AN33" s="85" t="s">
        <v>249</v>
      </c>
      <c r="AO33" s="106">
        <f t="shared" si="7"/>
        <v>0</v>
      </c>
    </row>
    <row r="34" spans="1:43" ht="15.75">
      <c r="A34" s="133" t="s">
        <v>56</v>
      </c>
      <c r="B34" s="11">
        <v>88943530</v>
      </c>
      <c r="C34" s="11"/>
      <c r="D34" s="11"/>
      <c r="E34" s="11">
        <f t="shared" si="0"/>
        <v>88943530</v>
      </c>
      <c r="F34" s="11"/>
      <c r="G34" s="11">
        <v>45322787</v>
      </c>
      <c r="H34" s="11">
        <v>16718343</v>
      </c>
      <c r="I34" s="11">
        <v>6478</v>
      </c>
      <c r="J34" s="11">
        <v>6494346</v>
      </c>
      <c r="K34" s="11">
        <v>1030971</v>
      </c>
      <c r="L34" s="11">
        <v>381490</v>
      </c>
      <c r="M34" s="11">
        <v>309088</v>
      </c>
      <c r="N34" s="11">
        <f t="shared" si="8"/>
        <v>70263503</v>
      </c>
      <c r="O34" s="11"/>
      <c r="P34" s="11">
        <v>16504075</v>
      </c>
      <c r="Q34" s="11"/>
      <c r="R34" s="106">
        <f t="shared" si="1"/>
        <v>2175952</v>
      </c>
      <c r="S34" s="131">
        <f t="shared" si="2"/>
        <v>0.09242844040952528</v>
      </c>
      <c r="T34" s="131">
        <f t="shared" si="3"/>
        <v>0.07301650833961729</v>
      </c>
      <c r="W34" s="133" t="s">
        <v>56</v>
      </c>
      <c r="X34" s="11">
        <f>15815027+28754803</f>
        <v>44569830</v>
      </c>
      <c r="Y34" s="11">
        <f>0-C34</f>
        <v>0</v>
      </c>
      <c r="Z34" s="11">
        <v>8676758</v>
      </c>
      <c r="AA34" s="11">
        <f t="shared" si="5"/>
        <v>35893072</v>
      </c>
      <c r="AB34" s="11"/>
      <c r="AC34" s="11">
        <f>24163574-24594531</f>
        <v>-430957</v>
      </c>
      <c r="AD34" s="11">
        <f>5574308-4197470</f>
        <v>1376838</v>
      </c>
      <c r="AE34" s="11">
        <v>0</v>
      </c>
      <c r="AF34" s="11">
        <f>4232217-4274681</f>
        <v>-42464</v>
      </c>
      <c r="AG34" s="11">
        <f>853685-743744</f>
        <v>109941</v>
      </c>
      <c r="AH34" s="11">
        <f>0</f>
        <v>0</v>
      </c>
      <c r="AI34" s="11">
        <f>12863-12715</f>
        <v>148</v>
      </c>
      <c r="AJ34" s="11">
        <f t="shared" si="6"/>
        <v>1013506</v>
      </c>
      <c r="AK34" s="11"/>
      <c r="AL34" s="11">
        <v>16561115</v>
      </c>
      <c r="AM34" s="11">
        <v>28869150</v>
      </c>
      <c r="AN34" s="108" t="s">
        <v>249</v>
      </c>
      <c r="AO34" s="170">
        <v>0</v>
      </c>
      <c r="AP34" s="170" t="s">
        <v>249</v>
      </c>
      <c r="AQ34" s="169" t="s">
        <v>249</v>
      </c>
    </row>
    <row r="35" spans="1:42" ht="15.75">
      <c r="A35" s="133" t="s">
        <v>57</v>
      </c>
      <c r="B35" s="18">
        <v>217051740</v>
      </c>
      <c r="C35" s="18"/>
      <c r="D35" s="18">
        <v>21705174</v>
      </c>
      <c r="E35" s="11">
        <f t="shared" si="0"/>
        <v>195346566</v>
      </c>
      <c r="F35" s="11"/>
      <c r="G35" s="18">
        <v>79485698</v>
      </c>
      <c r="H35" s="18">
        <v>13286370</v>
      </c>
      <c r="I35" s="11"/>
      <c r="J35" s="18">
        <v>17891244</v>
      </c>
      <c r="K35" s="18">
        <v>8845634</v>
      </c>
      <c r="L35" s="11"/>
      <c r="M35" s="18">
        <v>12595290</v>
      </c>
      <c r="N35" s="11">
        <f t="shared" si="8"/>
        <v>132104236</v>
      </c>
      <c r="O35" s="11"/>
      <c r="P35" s="18">
        <v>63242330</v>
      </c>
      <c r="Q35" s="11"/>
      <c r="R35" s="106">
        <f t="shared" si="1"/>
        <v>0</v>
      </c>
      <c r="S35" s="131">
        <f>+J36/N35</f>
        <v>0.019099637350008972</v>
      </c>
      <c r="T35" s="131">
        <f t="shared" si="3"/>
        <v>0.09158719483197877</v>
      </c>
      <c r="W35" s="133" t="s">
        <v>57</v>
      </c>
      <c r="X35" s="11">
        <f t="shared" si="4"/>
        <v>63242330</v>
      </c>
      <c r="Y35" s="18">
        <v>0</v>
      </c>
      <c r="Z35" s="18">
        <f>21705174-D35</f>
        <v>0</v>
      </c>
      <c r="AA35" s="11">
        <f t="shared" si="5"/>
        <v>63242330</v>
      </c>
      <c r="AB35" s="11"/>
      <c r="AC35" s="11">
        <f>127841389-127841389</f>
        <v>0</v>
      </c>
      <c r="AD35" s="11">
        <f>18286370-18286370</f>
        <v>0</v>
      </c>
      <c r="AE35" s="11">
        <v>0</v>
      </c>
      <c r="AF35" s="11">
        <f>20891244-20891244</f>
        <v>0</v>
      </c>
      <c r="AG35" s="11">
        <f>10845634-10845634</f>
        <v>0</v>
      </c>
      <c r="AH35" s="11">
        <v>0</v>
      </c>
      <c r="AI35" s="11">
        <f>17481929-17481929</f>
        <v>0</v>
      </c>
      <c r="AJ35" s="11">
        <f t="shared" si="6"/>
        <v>0</v>
      </c>
      <c r="AK35" s="11"/>
      <c r="AL35" s="30">
        <f>P35</f>
        <v>63242330</v>
      </c>
      <c r="AM35" s="11">
        <f>Q35</f>
        <v>0</v>
      </c>
      <c r="AN35" s="108" t="s">
        <v>294</v>
      </c>
      <c r="AO35" s="106">
        <f>AA35-(AJ35+AL35+AM35)</f>
        <v>0</v>
      </c>
      <c r="AP35" s="170" t="s">
        <v>249</v>
      </c>
    </row>
    <row r="36" spans="1:41" ht="15">
      <c r="A36" s="133" t="s">
        <v>58</v>
      </c>
      <c r="B36" s="11">
        <v>46666707</v>
      </c>
      <c r="C36" s="11"/>
      <c r="D36" s="11"/>
      <c r="E36" s="11">
        <f t="shared" si="0"/>
        <v>46666707</v>
      </c>
      <c r="F36" s="11"/>
      <c r="G36" s="11">
        <v>19738713</v>
      </c>
      <c r="H36" s="11">
        <v>3112068</v>
      </c>
      <c r="I36" s="11"/>
      <c r="J36" s="11">
        <v>2523143</v>
      </c>
      <c r="K36" s="11">
        <v>750361</v>
      </c>
      <c r="L36" s="11"/>
      <c r="M36" s="11">
        <v>1287250</v>
      </c>
      <c r="N36" s="11">
        <f t="shared" si="8"/>
        <v>27411535</v>
      </c>
      <c r="O36" s="11"/>
      <c r="P36" s="11">
        <v>19255172</v>
      </c>
      <c r="Q36" s="11"/>
      <c r="R36" s="106">
        <f t="shared" si="1"/>
        <v>0</v>
      </c>
      <c r="S36" s="131">
        <f>+J37/N36</f>
        <v>0.2662390851150802</v>
      </c>
      <c r="T36" s="131">
        <f t="shared" si="3"/>
        <v>0.05406730327040217</v>
      </c>
      <c r="W36" s="133" t="s">
        <v>58</v>
      </c>
      <c r="X36" s="11">
        <f t="shared" si="4"/>
        <v>19255172</v>
      </c>
      <c r="Y36" s="11">
        <v>0</v>
      </c>
      <c r="Z36" s="11">
        <v>0</v>
      </c>
      <c r="AA36" s="11">
        <f t="shared" si="5"/>
        <v>19255172</v>
      </c>
      <c r="AB36" s="11"/>
      <c r="AC36" s="11">
        <f>20328583-G36</f>
        <v>589870</v>
      </c>
      <c r="AD36" s="11">
        <f>3517152-H36</f>
        <v>405084</v>
      </c>
      <c r="AE36" s="11">
        <v>0</v>
      </c>
      <c r="AF36" s="11">
        <f>2703955-J36</f>
        <v>180812</v>
      </c>
      <c r="AG36" s="11">
        <f>906743-K36</f>
        <v>156382</v>
      </c>
      <c r="AH36" s="11">
        <v>0</v>
      </c>
      <c r="AI36" s="11">
        <f>1351552-M36</f>
        <v>64302</v>
      </c>
      <c r="AJ36" s="11">
        <f t="shared" si="6"/>
        <v>1396450</v>
      </c>
      <c r="AK36" s="11"/>
      <c r="AL36" s="11">
        <v>17858722</v>
      </c>
      <c r="AM36" s="11">
        <v>0</v>
      </c>
      <c r="AO36" s="106">
        <f t="shared" si="7"/>
        <v>0</v>
      </c>
    </row>
    <row r="37" spans="1:41" ht="15.75">
      <c r="A37" s="132" t="s">
        <v>59</v>
      </c>
      <c r="B37" s="14">
        <v>58028579</v>
      </c>
      <c r="C37" s="14"/>
      <c r="D37" s="14"/>
      <c r="E37" s="14">
        <f t="shared" si="0"/>
        <v>58028579</v>
      </c>
      <c r="F37" s="14"/>
      <c r="G37" s="14">
        <v>18246580</v>
      </c>
      <c r="H37" s="14">
        <v>6114222</v>
      </c>
      <c r="I37" s="14"/>
      <c r="J37" s="14">
        <v>7298022</v>
      </c>
      <c r="K37" s="14">
        <v>1745359</v>
      </c>
      <c r="L37" s="14"/>
      <c r="M37" s="14"/>
      <c r="N37" s="14">
        <f t="shared" si="8"/>
        <v>33404183</v>
      </c>
      <c r="O37" s="14"/>
      <c r="P37" s="14"/>
      <c r="Q37" s="14">
        <v>24624396</v>
      </c>
      <c r="R37" s="106">
        <f t="shared" si="1"/>
        <v>0</v>
      </c>
      <c r="S37" s="131">
        <f aca="true" t="shared" si="10" ref="S37:S60">+J37/N37</f>
        <v>0.2184762908286067</v>
      </c>
      <c r="T37" s="131">
        <f t="shared" si="3"/>
        <v>0.1257659954071941</v>
      </c>
      <c r="W37" s="132" t="s">
        <v>59</v>
      </c>
      <c r="X37" s="11">
        <f t="shared" si="4"/>
        <v>24624396</v>
      </c>
      <c r="Y37" s="14">
        <v>0</v>
      </c>
      <c r="Z37" s="14">
        <v>0</v>
      </c>
      <c r="AA37" s="14">
        <f t="shared" si="5"/>
        <v>24624396</v>
      </c>
      <c r="AB37" s="14"/>
      <c r="AC37" s="11">
        <f>34613130-G37</f>
        <v>16366550</v>
      </c>
      <c r="AD37" s="11">
        <f>9855159-H37</f>
        <v>3740937</v>
      </c>
      <c r="AE37" s="14">
        <v>0</v>
      </c>
      <c r="AF37" s="11">
        <f>8704287-J37</f>
        <v>1406265</v>
      </c>
      <c r="AG37" s="11">
        <f>4856003-K37</f>
        <v>3110644</v>
      </c>
      <c r="AH37" s="14">
        <v>0</v>
      </c>
      <c r="AI37" s="14">
        <v>0</v>
      </c>
      <c r="AJ37" s="14">
        <f t="shared" si="6"/>
        <v>24624396</v>
      </c>
      <c r="AK37" s="14"/>
      <c r="AL37" s="14">
        <v>0</v>
      </c>
      <c r="AM37" s="14">
        <v>0</v>
      </c>
      <c r="AN37" s="108" t="s">
        <v>295</v>
      </c>
      <c r="AO37" s="106">
        <f t="shared" si="7"/>
        <v>0</v>
      </c>
    </row>
    <row r="38" spans="1:41" ht="15">
      <c r="A38" s="133" t="s">
        <v>60</v>
      </c>
      <c r="B38" s="11">
        <v>44875852</v>
      </c>
      <c r="C38" s="11"/>
      <c r="D38" s="11"/>
      <c r="E38" s="11">
        <f t="shared" si="0"/>
        <v>44875852</v>
      </c>
      <c r="F38" s="11"/>
      <c r="G38" s="11">
        <v>22484066</v>
      </c>
      <c r="H38" s="11">
        <v>670207</v>
      </c>
      <c r="I38" s="11"/>
      <c r="J38" s="11">
        <v>3798508</v>
      </c>
      <c r="K38" s="11">
        <v>5067301</v>
      </c>
      <c r="L38" s="11"/>
      <c r="M38" s="11">
        <v>4812167</v>
      </c>
      <c r="N38" s="11">
        <f t="shared" si="8"/>
        <v>36832249</v>
      </c>
      <c r="O38" s="11"/>
      <c r="P38" s="11">
        <v>8043603</v>
      </c>
      <c r="Q38" s="11"/>
      <c r="R38" s="106">
        <f t="shared" si="1"/>
        <v>0</v>
      </c>
      <c r="S38" s="131">
        <f t="shared" si="10"/>
        <v>0.10312995006088278</v>
      </c>
      <c r="T38" s="131">
        <f t="shared" si="3"/>
        <v>0.0846448107547908</v>
      </c>
      <c r="W38" s="133" t="s">
        <v>60</v>
      </c>
      <c r="X38" s="11">
        <f t="shared" si="4"/>
        <v>8043603</v>
      </c>
      <c r="Y38" s="11">
        <v>0</v>
      </c>
      <c r="Z38" s="11">
        <v>0</v>
      </c>
      <c r="AA38" s="11">
        <f t="shared" si="5"/>
        <v>8043603</v>
      </c>
      <c r="AB38" s="11"/>
      <c r="AC38" s="11">
        <f>25789949-G38</f>
        <v>3305883</v>
      </c>
      <c r="AD38" s="11">
        <f>670207-H38</f>
        <v>0</v>
      </c>
      <c r="AE38" s="11">
        <v>0</v>
      </c>
      <c r="AF38" s="11">
        <f>5071707-J38</f>
        <v>1273199</v>
      </c>
      <c r="AG38" s="11">
        <f>7018085-K38</f>
        <v>1950784</v>
      </c>
      <c r="AH38" s="11">
        <v>0</v>
      </c>
      <c r="AI38" s="11">
        <f>5925340-M38</f>
        <v>1113173</v>
      </c>
      <c r="AJ38" s="11">
        <f t="shared" si="6"/>
        <v>7643039</v>
      </c>
      <c r="AK38" s="11"/>
      <c r="AL38" s="11">
        <v>400564</v>
      </c>
      <c r="AM38" s="11">
        <v>0</v>
      </c>
      <c r="AO38" s="106">
        <f t="shared" si="7"/>
        <v>0</v>
      </c>
    </row>
    <row r="39" spans="1:41" ht="15.75">
      <c r="A39" s="133" t="s">
        <v>61</v>
      </c>
      <c r="B39" s="11">
        <v>38521260</v>
      </c>
      <c r="C39" s="11"/>
      <c r="D39" s="11"/>
      <c r="E39" s="11">
        <f t="shared" si="0"/>
        <v>38521260</v>
      </c>
      <c r="F39" s="11"/>
      <c r="G39" s="11">
        <v>19767029</v>
      </c>
      <c r="H39" s="11">
        <v>2002025</v>
      </c>
      <c r="I39" s="11"/>
      <c r="J39" s="11">
        <v>2192202</v>
      </c>
      <c r="K39" s="11">
        <v>4491315</v>
      </c>
      <c r="L39" s="11"/>
      <c r="M39" s="11">
        <v>4115477</v>
      </c>
      <c r="N39" s="11">
        <f t="shared" si="8"/>
        <v>32568048</v>
      </c>
      <c r="O39" s="11"/>
      <c r="P39" s="11"/>
      <c r="Q39" s="11">
        <v>5953212</v>
      </c>
      <c r="R39" s="106">
        <f t="shared" si="1"/>
        <v>0</v>
      </c>
      <c r="S39" s="131">
        <f t="shared" si="10"/>
        <v>0.06731143358668594</v>
      </c>
      <c r="T39" s="131">
        <f t="shared" si="3"/>
        <v>0.05690888615792941</v>
      </c>
      <c r="W39" s="133" t="s">
        <v>61</v>
      </c>
      <c r="X39" s="11">
        <f t="shared" si="4"/>
        <v>5953212</v>
      </c>
      <c r="Y39" s="11">
        <v>0</v>
      </c>
      <c r="Z39" s="11">
        <v>0</v>
      </c>
      <c r="AA39" s="11">
        <f t="shared" si="5"/>
        <v>5953212</v>
      </c>
      <c r="AB39" s="11"/>
      <c r="AC39" s="11">
        <v>0</v>
      </c>
      <c r="AD39" s="11">
        <v>0</v>
      </c>
      <c r="AE39" s="11">
        <v>0</v>
      </c>
      <c r="AF39" s="11">
        <v>0</v>
      </c>
      <c r="AG39" s="11">
        <v>0</v>
      </c>
      <c r="AH39" s="11">
        <v>0</v>
      </c>
      <c r="AI39" s="11">
        <v>0</v>
      </c>
      <c r="AJ39" s="11">
        <f t="shared" si="6"/>
        <v>0</v>
      </c>
      <c r="AK39" s="11"/>
      <c r="AL39" s="11">
        <f>P39</f>
        <v>0</v>
      </c>
      <c r="AM39" s="11">
        <f>Q39</f>
        <v>5953212</v>
      </c>
      <c r="AN39" s="108" t="s">
        <v>294</v>
      </c>
      <c r="AO39" s="106">
        <f t="shared" si="7"/>
        <v>0</v>
      </c>
    </row>
    <row r="40" spans="1:41" ht="15.75">
      <c r="A40" s="133" t="s">
        <v>62</v>
      </c>
      <c r="B40" s="11">
        <v>404034823</v>
      </c>
      <c r="C40" s="11">
        <v>16349984</v>
      </c>
      <c r="D40" s="11">
        <v>40403482</v>
      </c>
      <c r="E40" s="11">
        <f t="shared" si="0"/>
        <v>347281357</v>
      </c>
      <c r="F40" s="11"/>
      <c r="G40" s="11">
        <v>130275953</v>
      </c>
      <c r="H40" s="11">
        <v>15196291</v>
      </c>
      <c r="I40" s="11"/>
      <c r="J40" s="11">
        <v>26462229</v>
      </c>
      <c r="K40" s="11">
        <v>5088498</v>
      </c>
      <c r="L40" s="11"/>
      <c r="M40" s="11"/>
      <c r="N40" s="11">
        <f t="shared" si="8"/>
        <v>177022971</v>
      </c>
      <c r="O40" s="11"/>
      <c r="P40" s="11"/>
      <c r="Q40" s="11">
        <v>170258386</v>
      </c>
      <c r="R40" s="106">
        <f t="shared" si="1"/>
        <v>0</v>
      </c>
      <c r="S40" s="131">
        <f t="shared" si="10"/>
        <v>0.14948471856796483</v>
      </c>
      <c r="T40" s="131">
        <f t="shared" si="3"/>
        <v>0.07619824233755226</v>
      </c>
      <c r="W40" s="133" t="s">
        <v>62</v>
      </c>
      <c r="X40" s="11">
        <f t="shared" si="4"/>
        <v>170258386</v>
      </c>
      <c r="Y40" s="11">
        <f>16349984-C40</f>
        <v>0</v>
      </c>
      <c r="Z40" s="11">
        <f>40403482-D40</f>
        <v>0</v>
      </c>
      <c r="AA40" s="11">
        <f t="shared" si="5"/>
        <v>170258386</v>
      </c>
      <c r="AB40" s="11"/>
      <c r="AC40" s="11">
        <v>0</v>
      </c>
      <c r="AD40" s="11">
        <v>0</v>
      </c>
      <c r="AE40" s="11">
        <v>0</v>
      </c>
      <c r="AF40" s="11">
        <v>0</v>
      </c>
      <c r="AG40" s="11">
        <v>0</v>
      </c>
      <c r="AH40" s="11">
        <v>0</v>
      </c>
      <c r="AI40" s="11">
        <v>0</v>
      </c>
      <c r="AJ40" s="11">
        <f t="shared" si="6"/>
        <v>0</v>
      </c>
      <c r="AK40" s="11"/>
      <c r="AL40" s="11">
        <f>P40</f>
        <v>0</v>
      </c>
      <c r="AM40" s="11">
        <f>Q40</f>
        <v>170258386</v>
      </c>
      <c r="AN40" s="108" t="s">
        <v>294</v>
      </c>
      <c r="AO40" s="106">
        <f t="shared" si="7"/>
        <v>0</v>
      </c>
    </row>
    <row r="41" spans="1:42" ht="15">
      <c r="A41" s="133" t="s">
        <v>63</v>
      </c>
      <c r="B41" s="11">
        <v>129339257</v>
      </c>
      <c r="C41" s="11">
        <v>13304750</v>
      </c>
      <c r="D41" s="11"/>
      <c r="E41" s="11">
        <f t="shared" si="0"/>
        <v>116034507</v>
      </c>
      <c r="F41" s="11"/>
      <c r="G41" s="11">
        <v>75321228</v>
      </c>
      <c r="H41" s="11"/>
      <c r="I41" s="11"/>
      <c r="J41" s="11">
        <v>2822949</v>
      </c>
      <c r="K41" s="11">
        <v>507193</v>
      </c>
      <c r="L41" s="11"/>
      <c r="M41" s="11">
        <v>1571722</v>
      </c>
      <c r="N41" s="11">
        <f t="shared" si="8"/>
        <v>80223092</v>
      </c>
      <c r="O41" s="11"/>
      <c r="P41" s="11">
        <v>4912000</v>
      </c>
      <c r="Q41" s="11">
        <v>30899415</v>
      </c>
      <c r="R41" s="106">
        <f t="shared" si="1"/>
        <v>0</v>
      </c>
      <c r="S41" s="131">
        <f t="shared" si="10"/>
        <v>0.03518873343849674</v>
      </c>
      <c r="T41" s="131">
        <f t="shared" si="3"/>
        <v>0.024328530132850912</v>
      </c>
      <c r="W41" s="133" t="s">
        <v>63</v>
      </c>
      <c r="X41" s="11">
        <f t="shared" si="4"/>
        <v>35811415</v>
      </c>
      <c r="Y41" s="11">
        <v>0</v>
      </c>
      <c r="Z41" s="11">
        <v>0</v>
      </c>
      <c r="AA41" s="11">
        <f t="shared" si="5"/>
        <v>35811415</v>
      </c>
      <c r="AB41" s="11"/>
      <c r="AC41" s="11">
        <f>75321228-G41</f>
        <v>0</v>
      </c>
      <c r="AD41" s="11">
        <v>0</v>
      </c>
      <c r="AE41" s="11">
        <v>0</v>
      </c>
      <c r="AF41" s="11">
        <f>2822949-J41</f>
        <v>0</v>
      </c>
      <c r="AG41" s="11">
        <f>507193-K41</f>
        <v>0</v>
      </c>
      <c r="AH41" s="11">
        <v>0</v>
      </c>
      <c r="AI41" s="11">
        <f>1571722-M41</f>
        <v>0</v>
      </c>
      <c r="AJ41" s="11">
        <f t="shared" si="6"/>
        <v>0</v>
      </c>
      <c r="AK41" s="11"/>
      <c r="AL41" s="11">
        <v>4912000</v>
      </c>
      <c r="AM41" s="11">
        <v>30899415</v>
      </c>
      <c r="AO41" s="106">
        <f t="shared" si="7"/>
        <v>0</v>
      </c>
      <c r="AP41" s="106" t="s">
        <v>249</v>
      </c>
    </row>
    <row r="42" spans="1:41" ht="15">
      <c r="A42" s="133" t="s">
        <v>64</v>
      </c>
      <c r="B42" s="11">
        <v>2442930602</v>
      </c>
      <c r="C42" s="11">
        <v>55000000</v>
      </c>
      <c r="D42" s="11">
        <v>221000000</v>
      </c>
      <c r="E42" s="11">
        <f aca="true" t="shared" si="11" ref="E42:E60">B42-(C42+D42)</f>
        <v>2166930602</v>
      </c>
      <c r="F42" s="11"/>
      <c r="G42" s="11">
        <v>1108875009</v>
      </c>
      <c r="H42" s="11">
        <v>70011181</v>
      </c>
      <c r="I42" s="11"/>
      <c r="J42" s="11">
        <v>233634506</v>
      </c>
      <c r="K42" s="11">
        <v>6413101</v>
      </c>
      <c r="L42" s="11"/>
      <c r="M42" s="11">
        <v>142115532</v>
      </c>
      <c r="N42" s="11">
        <f t="shared" si="8"/>
        <v>1561049329</v>
      </c>
      <c r="O42" s="11"/>
      <c r="P42" s="11"/>
      <c r="Q42" s="11">
        <v>605881273</v>
      </c>
      <c r="R42" s="106">
        <f aca="true" t="shared" si="12" ref="R42:R60">E42-(N42+P42+Q42)</f>
        <v>0</v>
      </c>
      <c r="S42" s="131">
        <f t="shared" si="10"/>
        <v>0.14966503726673713</v>
      </c>
      <c r="T42" s="131">
        <f aca="true" t="shared" si="13" ref="T42:T60">J42/E42</f>
        <v>0.10781817644938128</v>
      </c>
      <c r="W42" s="133" t="s">
        <v>64</v>
      </c>
      <c r="X42" s="11">
        <f aca="true" t="shared" si="14" ref="X42:X60">P42+Q42</f>
        <v>605881273</v>
      </c>
      <c r="Y42" s="11">
        <v>31600000</v>
      </c>
      <c r="Z42" s="11">
        <f>221000000-221000000</f>
        <v>0</v>
      </c>
      <c r="AA42" s="11">
        <f aca="true" t="shared" si="15" ref="AA42:AA60">X42-(Y42+Z42)</f>
        <v>574281273</v>
      </c>
      <c r="AB42" s="11"/>
      <c r="AC42" s="11">
        <f>1201506702-G42</f>
        <v>92631693</v>
      </c>
      <c r="AD42" s="11">
        <f>79228574-H42</f>
        <v>9217393</v>
      </c>
      <c r="AE42" s="11">
        <v>0</v>
      </c>
      <c r="AF42" s="11">
        <f>250843722-J42</f>
        <v>17209216</v>
      </c>
      <c r="AG42" s="11">
        <f>9714210-K42</f>
        <v>3301109</v>
      </c>
      <c r="AH42" s="11">
        <v>0</v>
      </c>
      <c r="AI42" s="11">
        <f>162233857-M42</f>
        <v>20118325</v>
      </c>
      <c r="AJ42" s="11">
        <f t="shared" si="6"/>
        <v>142477736</v>
      </c>
      <c r="AK42" s="11"/>
      <c r="AL42" s="11">
        <v>141424013</v>
      </c>
      <c r="AM42" s="11">
        <v>290379524</v>
      </c>
      <c r="AO42" s="106">
        <f aca="true" t="shared" si="16" ref="AO42:AO60">AA42-(AJ42+AL42+AM42)</f>
        <v>0</v>
      </c>
    </row>
    <row r="43" spans="1:41" ht="15.75">
      <c r="A43" s="133" t="s">
        <v>65</v>
      </c>
      <c r="B43" s="11">
        <v>310935520</v>
      </c>
      <c r="C43" s="11">
        <v>11699518</v>
      </c>
      <c r="D43" s="11">
        <v>970581</v>
      </c>
      <c r="E43" s="11">
        <f t="shared" si="11"/>
        <v>298265421</v>
      </c>
      <c r="F43" s="11"/>
      <c r="G43" s="11">
        <v>159335513</v>
      </c>
      <c r="H43" s="11">
        <v>1969210</v>
      </c>
      <c r="I43" s="11">
        <v>157074</v>
      </c>
      <c r="J43" s="11">
        <v>5077987</v>
      </c>
      <c r="K43" s="11">
        <v>-1789</v>
      </c>
      <c r="L43" s="11">
        <v>36960</v>
      </c>
      <c r="M43" s="11">
        <v>38541485</v>
      </c>
      <c r="N43" s="11">
        <f t="shared" si="8"/>
        <v>205116440</v>
      </c>
      <c r="O43" s="11"/>
      <c r="P43" s="11"/>
      <c r="Q43" s="11">
        <v>93148981</v>
      </c>
      <c r="R43" s="106">
        <f t="shared" si="12"/>
        <v>0</v>
      </c>
      <c r="S43" s="131">
        <f t="shared" si="10"/>
        <v>0.024756606540168112</v>
      </c>
      <c r="T43" s="131">
        <f t="shared" si="13"/>
        <v>0.017025061044538582</v>
      </c>
      <c r="W43" s="133" t="s">
        <v>65</v>
      </c>
      <c r="X43" s="11">
        <f t="shared" si="14"/>
        <v>93148981</v>
      </c>
      <c r="Y43" s="11">
        <f>12342134-11842134</f>
        <v>500000</v>
      </c>
      <c r="Z43" s="11">
        <v>37500</v>
      </c>
      <c r="AA43" s="11">
        <f t="shared" si="15"/>
        <v>92611481</v>
      </c>
      <c r="AB43" s="11"/>
      <c r="AC43" s="11">
        <f>240721225-G43</f>
        <v>81385712</v>
      </c>
      <c r="AD43" s="11">
        <f>2160742-H43</f>
        <v>191532</v>
      </c>
      <c r="AE43" s="11">
        <f>226154-I43</f>
        <v>69080</v>
      </c>
      <c r="AF43" s="11">
        <f>6134514-J43</f>
        <v>1056527</v>
      </c>
      <c r="AG43" s="11">
        <f>-1789</f>
        <v>-1789</v>
      </c>
      <c r="AH43" s="11">
        <f>47349-L43</f>
        <v>10389</v>
      </c>
      <c r="AI43" s="11">
        <f>48439726-M43</f>
        <v>9898241</v>
      </c>
      <c r="AJ43" s="11">
        <f t="shared" si="6"/>
        <v>92609692</v>
      </c>
      <c r="AK43" s="11"/>
      <c r="AL43" s="11">
        <v>0</v>
      </c>
      <c r="AM43" s="11">
        <v>0</v>
      </c>
      <c r="AN43" s="108" t="s">
        <v>295</v>
      </c>
      <c r="AO43" s="106">
        <f t="shared" si="16"/>
        <v>1789</v>
      </c>
    </row>
    <row r="44" spans="1:41" ht="15.75">
      <c r="A44" s="133" t="s">
        <v>66</v>
      </c>
      <c r="B44" s="11">
        <v>26399809</v>
      </c>
      <c r="C44" s="11"/>
      <c r="D44" s="11"/>
      <c r="E44" s="11">
        <f t="shared" si="11"/>
        <v>26399809</v>
      </c>
      <c r="F44" s="11"/>
      <c r="G44" s="11">
        <v>10626554</v>
      </c>
      <c r="H44" s="11">
        <v>1276174</v>
      </c>
      <c r="I44" s="11"/>
      <c r="J44" s="11">
        <v>3959971</v>
      </c>
      <c r="K44" s="11">
        <v>3374390</v>
      </c>
      <c r="L44" s="11"/>
      <c r="M44" s="11">
        <v>1399136</v>
      </c>
      <c r="N44" s="11">
        <f t="shared" si="8"/>
        <v>20636225</v>
      </c>
      <c r="O44" s="11"/>
      <c r="P44" s="11">
        <v>5763584</v>
      </c>
      <c r="Q44" s="11"/>
      <c r="R44" s="106">
        <f t="shared" si="12"/>
        <v>0</v>
      </c>
      <c r="S44" s="131">
        <f t="shared" si="10"/>
        <v>0.1918941569981913</v>
      </c>
      <c r="T44" s="131">
        <f t="shared" si="13"/>
        <v>0.1499999867423283</v>
      </c>
      <c r="W44" s="133" t="s">
        <v>66</v>
      </c>
      <c r="X44" s="11">
        <f t="shared" si="14"/>
        <v>5763584</v>
      </c>
      <c r="Y44" s="11">
        <v>0</v>
      </c>
      <c r="Z44" s="11">
        <v>0</v>
      </c>
      <c r="AA44" s="11">
        <f t="shared" si="15"/>
        <v>5763584</v>
      </c>
      <c r="AB44" s="11"/>
      <c r="AC44" s="11">
        <f>16390138-G44</f>
        <v>5763584</v>
      </c>
      <c r="AD44" s="11">
        <f>1276174-H44</f>
        <v>0</v>
      </c>
      <c r="AE44" s="11">
        <v>0</v>
      </c>
      <c r="AF44" s="11">
        <f>3959971-J44</f>
        <v>0</v>
      </c>
      <c r="AG44" s="11">
        <f>3374390-K44</f>
        <v>0</v>
      </c>
      <c r="AH44" s="11">
        <v>0</v>
      </c>
      <c r="AI44" s="11">
        <f>1399136-M44</f>
        <v>0</v>
      </c>
      <c r="AJ44" s="11">
        <f t="shared" si="6"/>
        <v>5763584</v>
      </c>
      <c r="AK44" s="11"/>
      <c r="AL44" s="11">
        <v>0</v>
      </c>
      <c r="AM44" s="11">
        <f>Q44</f>
        <v>0</v>
      </c>
      <c r="AN44" s="108" t="s">
        <v>249</v>
      </c>
      <c r="AO44" s="106">
        <f t="shared" si="16"/>
        <v>0</v>
      </c>
    </row>
    <row r="45" spans="1:41" ht="15">
      <c r="A45" s="133" t="s">
        <v>67</v>
      </c>
      <c r="B45" s="11">
        <v>727968260</v>
      </c>
      <c r="C45" s="11"/>
      <c r="D45" s="11">
        <v>72796826</v>
      </c>
      <c r="E45" s="11">
        <f t="shared" si="11"/>
        <v>655171434</v>
      </c>
      <c r="F45" s="11"/>
      <c r="G45" s="11">
        <v>125012011</v>
      </c>
      <c r="H45" s="11">
        <v>16088782</v>
      </c>
      <c r="I45" s="11">
        <v>10055375</v>
      </c>
      <c r="J45" s="11">
        <v>36890568</v>
      </c>
      <c r="K45" s="11">
        <v>13784898</v>
      </c>
      <c r="L45" s="11">
        <v>3858137</v>
      </c>
      <c r="M45" s="11">
        <v>102058158</v>
      </c>
      <c r="N45" s="11">
        <f t="shared" si="8"/>
        <v>307747929</v>
      </c>
      <c r="O45" s="11"/>
      <c r="P45" s="11">
        <v>347423929</v>
      </c>
      <c r="Q45" s="11"/>
      <c r="R45" s="106">
        <f t="shared" si="12"/>
        <v>-424</v>
      </c>
      <c r="S45" s="131">
        <f t="shared" si="10"/>
        <v>0.11987267670613634</v>
      </c>
      <c r="T45" s="131">
        <f t="shared" si="13"/>
        <v>0.056306740626301484</v>
      </c>
      <c r="W45" s="133" t="s">
        <v>67</v>
      </c>
      <c r="X45" s="11">
        <f t="shared" si="14"/>
        <v>347423929</v>
      </c>
      <c r="Y45" s="11">
        <f>C45</f>
        <v>0</v>
      </c>
      <c r="Z45" s="11">
        <f>72796826-D45</f>
        <v>0</v>
      </c>
      <c r="AA45" s="11">
        <f t="shared" si="15"/>
        <v>347423929</v>
      </c>
      <c r="AB45" s="11"/>
      <c r="AC45" s="11">
        <f>197819005-G45</f>
        <v>72806994</v>
      </c>
      <c r="AD45" s="11">
        <f>16113133-H45</f>
        <v>24351</v>
      </c>
      <c r="AE45" s="11">
        <f>12890068-I45</f>
        <v>2834693</v>
      </c>
      <c r="AF45" s="11">
        <f>38048953-J45</f>
        <v>1158385</v>
      </c>
      <c r="AG45" s="11">
        <f>13784898-K45</f>
        <v>0</v>
      </c>
      <c r="AH45" s="11">
        <f>3858137-L45</f>
        <v>0</v>
      </c>
      <c r="AI45" s="11">
        <f>117034912-M45</f>
        <v>14976754</v>
      </c>
      <c r="AJ45" s="11">
        <f t="shared" si="6"/>
        <v>91801177</v>
      </c>
      <c r="AK45" s="11"/>
      <c r="AL45" s="11">
        <v>255622328</v>
      </c>
      <c r="AM45" s="11">
        <f>Q45</f>
        <v>0</v>
      </c>
      <c r="AO45" s="106">
        <f t="shared" si="16"/>
        <v>424</v>
      </c>
    </row>
    <row r="46" spans="1:41" ht="15.75">
      <c r="A46" s="133" t="s">
        <v>68</v>
      </c>
      <c r="B46" s="11">
        <v>147842004</v>
      </c>
      <c r="C46" s="11">
        <v>5606134</v>
      </c>
      <c r="D46" s="11">
        <v>11100000</v>
      </c>
      <c r="E46" s="11">
        <f t="shared" si="11"/>
        <v>131135870</v>
      </c>
      <c r="F46" s="11"/>
      <c r="G46" s="11">
        <v>6905754</v>
      </c>
      <c r="H46" s="11">
        <v>7833467</v>
      </c>
      <c r="I46" s="11">
        <v>3600033</v>
      </c>
      <c r="J46" s="11">
        <v>-637207</v>
      </c>
      <c r="K46" s="11">
        <v>156488</v>
      </c>
      <c r="L46" s="11"/>
      <c r="M46" s="11">
        <v>3038856</v>
      </c>
      <c r="N46" s="11">
        <f t="shared" si="8"/>
        <v>20897391</v>
      </c>
      <c r="O46" s="11"/>
      <c r="P46" s="11"/>
      <c r="Q46" s="11">
        <v>110238480</v>
      </c>
      <c r="R46" s="106">
        <f t="shared" si="12"/>
        <v>-1</v>
      </c>
      <c r="S46" s="131">
        <f t="shared" si="10"/>
        <v>-0.030492179621848487</v>
      </c>
      <c r="T46" s="131">
        <f t="shared" si="13"/>
        <v>-0.004859135795568368</v>
      </c>
      <c r="W46" s="133" t="s">
        <v>68</v>
      </c>
      <c r="X46" s="11">
        <f t="shared" si="14"/>
        <v>110238480</v>
      </c>
      <c r="Y46" s="11">
        <f>5606134-C46</f>
        <v>0</v>
      </c>
      <c r="Z46" s="11">
        <f>13700000-11100000</f>
        <v>2600000</v>
      </c>
      <c r="AA46" s="11">
        <f t="shared" si="15"/>
        <v>107638480</v>
      </c>
      <c r="AB46" s="11"/>
      <c r="AC46" s="11">
        <f>28787566-G46</f>
        <v>21881812</v>
      </c>
      <c r="AD46" s="11">
        <f>18976151-H46</f>
        <v>11142684</v>
      </c>
      <c r="AE46" s="11">
        <f>6271118-I46</f>
        <v>2671085</v>
      </c>
      <c r="AF46" s="11">
        <f>1199475-J46</f>
        <v>1836682</v>
      </c>
      <c r="AG46" s="11">
        <f>577993-K46</f>
        <v>421505</v>
      </c>
      <c r="AH46" s="11">
        <v>0</v>
      </c>
      <c r="AI46" s="11">
        <f>8750173-M46</f>
        <v>5711317</v>
      </c>
      <c r="AJ46" s="11">
        <f t="shared" si="6"/>
        <v>43665085</v>
      </c>
      <c r="AK46" s="11"/>
      <c r="AL46" s="11">
        <v>0</v>
      </c>
      <c r="AM46" s="11">
        <v>63973393</v>
      </c>
      <c r="AN46" s="108" t="s">
        <v>249</v>
      </c>
      <c r="AO46" s="106">
        <f t="shared" si="16"/>
        <v>2</v>
      </c>
    </row>
    <row r="47" spans="1:41" ht="15.75">
      <c r="A47" s="133" t="s">
        <v>69</v>
      </c>
      <c r="B47" s="14">
        <v>166798629</v>
      </c>
      <c r="C47" s="15"/>
      <c r="D47" s="15"/>
      <c r="E47" s="14">
        <f t="shared" si="11"/>
        <v>166798629</v>
      </c>
      <c r="F47" s="17"/>
      <c r="G47" s="17">
        <v>76517463</v>
      </c>
      <c r="H47" s="17">
        <v>20720173</v>
      </c>
      <c r="I47" s="17">
        <v>5630641</v>
      </c>
      <c r="J47" s="17">
        <v>9599030</v>
      </c>
      <c r="K47" s="17">
        <v>2286731</v>
      </c>
      <c r="L47" s="17"/>
      <c r="M47" s="17">
        <v>387373</v>
      </c>
      <c r="N47" s="17">
        <f t="shared" si="8"/>
        <v>115141411</v>
      </c>
      <c r="O47" s="17"/>
      <c r="P47" s="17">
        <v>51657218</v>
      </c>
      <c r="Q47" s="17"/>
      <c r="R47" s="106">
        <f t="shared" si="12"/>
        <v>0</v>
      </c>
      <c r="S47" s="131">
        <f t="shared" si="10"/>
        <v>0.08336731256489466</v>
      </c>
      <c r="T47" s="131">
        <f t="shared" si="13"/>
        <v>0.05754861450330026</v>
      </c>
      <c r="W47" s="133" t="s">
        <v>69</v>
      </c>
      <c r="X47" s="11">
        <f t="shared" si="14"/>
        <v>51657218</v>
      </c>
      <c r="Y47" s="15">
        <v>0</v>
      </c>
      <c r="Z47" s="15">
        <v>0</v>
      </c>
      <c r="AA47" s="14">
        <f t="shared" si="15"/>
        <v>51657218</v>
      </c>
      <c r="AB47" s="17"/>
      <c r="AC47" s="11">
        <f>117116073-117116073</f>
        <v>0</v>
      </c>
      <c r="AD47" s="11">
        <f>26806946-26806946</f>
        <v>0</v>
      </c>
      <c r="AE47" s="11">
        <f>5845113-5845113</f>
        <v>0</v>
      </c>
      <c r="AF47" s="11">
        <f>8985818-8985818</f>
        <v>0</v>
      </c>
      <c r="AG47" s="11">
        <f>7657306-7657306</f>
        <v>0</v>
      </c>
      <c r="AH47" s="17">
        <v>0</v>
      </c>
      <c r="AI47" s="11">
        <f>387373-387373</f>
        <v>0</v>
      </c>
      <c r="AJ47" s="17">
        <f t="shared" si="6"/>
        <v>0</v>
      </c>
      <c r="AK47" s="17"/>
      <c r="AL47" s="17">
        <f>P47</f>
        <v>51657218</v>
      </c>
      <c r="AM47" s="17">
        <f>Q47</f>
        <v>0</v>
      </c>
      <c r="AN47" s="108" t="s">
        <v>294</v>
      </c>
      <c r="AO47" s="106">
        <f t="shared" si="16"/>
        <v>0</v>
      </c>
    </row>
    <row r="48" spans="1:41" ht="15">
      <c r="A48" s="133" t="s">
        <v>70</v>
      </c>
      <c r="B48" s="11">
        <v>719499305</v>
      </c>
      <c r="C48" s="11"/>
      <c r="D48" s="11">
        <v>53003526</v>
      </c>
      <c r="E48" s="11">
        <f t="shared" si="11"/>
        <v>666495779</v>
      </c>
      <c r="F48" s="11"/>
      <c r="G48" s="11">
        <v>278198938</v>
      </c>
      <c r="H48" s="11">
        <v>33098686</v>
      </c>
      <c r="I48" s="11"/>
      <c r="J48" s="11">
        <v>14311995</v>
      </c>
      <c r="K48" s="11">
        <v>2390927</v>
      </c>
      <c r="L48" s="11"/>
      <c r="M48" s="11">
        <v>55570809</v>
      </c>
      <c r="N48" s="11">
        <f t="shared" si="8"/>
        <v>383571355</v>
      </c>
      <c r="O48" s="11"/>
      <c r="P48" s="11">
        <v>37888160</v>
      </c>
      <c r="Q48" s="11">
        <v>245036264</v>
      </c>
      <c r="R48" s="106">
        <f t="shared" si="12"/>
        <v>0</v>
      </c>
      <c r="S48" s="131">
        <f t="shared" si="10"/>
        <v>0.03731247084391899</v>
      </c>
      <c r="T48" s="131">
        <f t="shared" si="13"/>
        <v>0.021473496833653617</v>
      </c>
      <c r="W48" s="133" t="s">
        <v>70</v>
      </c>
      <c r="X48" s="11">
        <f t="shared" si="14"/>
        <v>282924424</v>
      </c>
      <c r="Y48" s="11">
        <f>0-C48</f>
        <v>0</v>
      </c>
      <c r="Z48" s="11">
        <f>53003526-D48</f>
        <v>0</v>
      </c>
      <c r="AA48" s="11">
        <f t="shared" si="15"/>
        <v>282924424</v>
      </c>
      <c r="AB48" s="11"/>
      <c r="AC48" s="11">
        <f>352982284-G48</f>
        <v>74783346</v>
      </c>
      <c r="AD48" s="11">
        <f>39309779-H48</f>
        <v>6211093</v>
      </c>
      <c r="AE48" s="11">
        <v>0</v>
      </c>
      <c r="AF48" s="11">
        <f>39704663-J48</f>
        <v>25392668</v>
      </c>
      <c r="AG48" s="11">
        <f>3667381-K48</f>
        <v>1276454</v>
      </c>
      <c r="AH48" s="11">
        <v>0</v>
      </c>
      <c r="AI48" s="11">
        <f>59909758-M48</f>
        <v>4338949</v>
      </c>
      <c r="AJ48" s="11">
        <f t="shared" si="6"/>
        <v>112002510</v>
      </c>
      <c r="AK48" s="11"/>
      <c r="AL48" s="11">
        <v>18658550</v>
      </c>
      <c r="AM48" s="11">
        <v>152263364</v>
      </c>
      <c r="AO48" s="106">
        <f t="shared" si="16"/>
        <v>0</v>
      </c>
    </row>
    <row r="49" spans="1:41" ht="15.75">
      <c r="A49" s="133" t="s">
        <v>71</v>
      </c>
      <c r="B49" s="14">
        <v>95021587</v>
      </c>
      <c r="C49" s="15"/>
      <c r="D49" s="15"/>
      <c r="E49" s="14">
        <f t="shared" si="11"/>
        <v>95021587</v>
      </c>
      <c r="F49" s="17"/>
      <c r="G49" s="17">
        <v>74532577</v>
      </c>
      <c r="H49" s="17">
        <v>2798045</v>
      </c>
      <c r="I49" s="17"/>
      <c r="J49" s="17">
        <v>9867528</v>
      </c>
      <c r="K49" s="17">
        <v>1296844</v>
      </c>
      <c r="L49" s="17"/>
      <c r="M49" s="17"/>
      <c r="N49" s="17">
        <f t="shared" si="8"/>
        <v>88494994</v>
      </c>
      <c r="O49" s="17"/>
      <c r="P49" s="17"/>
      <c r="Q49" s="17">
        <v>6526593</v>
      </c>
      <c r="R49" s="106">
        <f t="shared" si="12"/>
        <v>0</v>
      </c>
      <c r="S49" s="131">
        <f t="shared" si="10"/>
        <v>0.11150379873464933</v>
      </c>
      <c r="T49" s="131">
        <f t="shared" si="13"/>
        <v>0.10384511889914025</v>
      </c>
      <c r="W49" s="133" t="s">
        <v>71</v>
      </c>
      <c r="X49" s="11">
        <f t="shared" si="14"/>
        <v>6526593</v>
      </c>
      <c r="Y49" s="17">
        <f>0-C49</f>
        <v>0</v>
      </c>
      <c r="Z49" s="17">
        <f>0-D49</f>
        <v>0</v>
      </c>
      <c r="AA49" s="14">
        <f t="shared" si="15"/>
        <v>6526593</v>
      </c>
      <c r="AB49" s="17"/>
      <c r="AC49" s="11">
        <f>81001424-G49</f>
        <v>6468847</v>
      </c>
      <c r="AD49" s="11">
        <f>2855791-H49</f>
        <v>57746</v>
      </c>
      <c r="AE49" s="17">
        <v>0</v>
      </c>
      <c r="AF49" s="11">
        <f>9867528-J49</f>
        <v>0</v>
      </c>
      <c r="AG49" s="11">
        <f>1296844-K49</f>
        <v>0</v>
      </c>
      <c r="AH49" s="17">
        <v>0</v>
      </c>
      <c r="AI49" s="17">
        <v>0</v>
      </c>
      <c r="AJ49" s="17">
        <f t="shared" si="6"/>
        <v>6526593</v>
      </c>
      <c r="AK49" s="17"/>
      <c r="AL49" s="17">
        <v>0</v>
      </c>
      <c r="AM49" s="17">
        <v>0</v>
      </c>
      <c r="AN49" s="108" t="s">
        <v>295</v>
      </c>
      <c r="AO49" s="106">
        <f t="shared" si="16"/>
        <v>0</v>
      </c>
    </row>
    <row r="50" spans="1:41" ht="15.75">
      <c r="A50" s="133" t="s">
        <v>72</v>
      </c>
      <c r="B50" s="11">
        <v>99967824</v>
      </c>
      <c r="C50" s="11"/>
      <c r="D50" s="11">
        <v>9996782</v>
      </c>
      <c r="E50" s="11">
        <f t="shared" si="11"/>
        <v>89971042</v>
      </c>
      <c r="F50" s="11"/>
      <c r="G50" s="11">
        <v>35873103</v>
      </c>
      <c r="H50" s="11">
        <v>10257807</v>
      </c>
      <c r="I50" s="11"/>
      <c r="J50" s="11">
        <v>7323345</v>
      </c>
      <c r="K50" s="11">
        <v>2321245</v>
      </c>
      <c r="L50" s="11"/>
      <c r="M50" s="11">
        <v>10384616</v>
      </c>
      <c r="N50" s="11">
        <f t="shared" si="8"/>
        <v>66160116</v>
      </c>
      <c r="O50" s="11"/>
      <c r="P50" s="11"/>
      <c r="Q50" s="11">
        <v>23810926</v>
      </c>
      <c r="R50" s="106">
        <f t="shared" si="12"/>
        <v>0</v>
      </c>
      <c r="S50" s="131">
        <f t="shared" si="10"/>
        <v>0.11069123578924801</v>
      </c>
      <c r="T50" s="131">
        <f t="shared" si="13"/>
        <v>0.08139668983715893</v>
      </c>
      <c r="W50" s="133" t="s">
        <v>72</v>
      </c>
      <c r="X50" s="11">
        <f t="shared" si="14"/>
        <v>23810926</v>
      </c>
      <c r="Y50" s="11"/>
      <c r="Z50" s="11">
        <f>9996782-D50</f>
        <v>0</v>
      </c>
      <c r="AA50" s="11">
        <f t="shared" si="15"/>
        <v>23810926</v>
      </c>
      <c r="AB50" s="11"/>
      <c r="AC50" s="11">
        <v>0</v>
      </c>
      <c r="AD50" s="11">
        <v>0</v>
      </c>
      <c r="AE50" s="11">
        <v>0</v>
      </c>
      <c r="AF50" s="11">
        <v>0</v>
      </c>
      <c r="AG50" s="11">
        <v>0</v>
      </c>
      <c r="AH50" s="11">
        <v>0</v>
      </c>
      <c r="AI50" s="11">
        <v>0</v>
      </c>
      <c r="AJ50" s="11">
        <f t="shared" si="6"/>
        <v>0</v>
      </c>
      <c r="AK50" s="11"/>
      <c r="AL50" s="11">
        <f>P50</f>
        <v>0</v>
      </c>
      <c r="AM50" s="11">
        <f>Q50</f>
        <v>23810926</v>
      </c>
      <c r="AN50" s="108" t="s">
        <v>294</v>
      </c>
      <c r="AO50" s="106">
        <f t="shared" si="16"/>
        <v>0</v>
      </c>
    </row>
    <row r="51" spans="1:41" ht="15.75">
      <c r="A51" s="133" t="s">
        <v>73</v>
      </c>
      <c r="B51" s="11">
        <v>21313413</v>
      </c>
      <c r="C51" s="11"/>
      <c r="D51" s="11">
        <v>2131341</v>
      </c>
      <c r="E51" s="11">
        <f t="shared" si="11"/>
        <v>19182072</v>
      </c>
      <c r="F51" s="11"/>
      <c r="G51" s="11">
        <v>4715110</v>
      </c>
      <c r="H51" s="11">
        <v>1265806</v>
      </c>
      <c r="I51" s="11"/>
      <c r="J51" s="11">
        <v>840540</v>
      </c>
      <c r="K51" s="11">
        <v>78702</v>
      </c>
      <c r="L51" s="11"/>
      <c r="M51" s="11">
        <v>4300278</v>
      </c>
      <c r="N51" s="11">
        <f t="shared" si="8"/>
        <v>11200436</v>
      </c>
      <c r="O51" s="11"/>
      <c r="P51" s="11"/>
      <c r="Q51" s="11">
        <v>7981636</v>
      </c>
      <c r="R51" s="106">
        <f t="shared" si="12"/>
        <v>0</v>
      </c>
      <c r="S51" s="131">
        <f t="shared" si="10"/>
        <v>0.07504529287967004</v>
      </c>
      <c r="T51" s="131">
        <f t="shared" si="13"/>
        <v>0.043819041029561356</v>
      </c>
      <c r="W51" s="133" t="s">
        <v>73</v>
      </c>
      <c r="X51" s="11">
        <f t="shared" si="14"/>
        <v>7981636</v>
      </c>
      <c r="Y51" s="11"/>
      <c r="Z51" s="11">
        <f>2131341-D51</f>
        <v>0</v>
      </c>
      <c r="AA51" s="11">
        <f t="shared" si="15"/>
        <v>7981636</v>
      </c>
      <c r="AB51" s="11"/>
      <c r="AC51" s="11">
        <f>4715110-G51</f>
        <v>0</v>
      </c>
      <c r="AD51" s="11">
        <f>1265806-H51</f>
        <v>0</v>
      </c>
      <c r="AE51" s="11"/>
      <c r="AF51" s="11">
        <f>840540-J51</f>
        <v>0</v>
      </c>
      <c r="AG51" s="11">
        <f>78702-K51</f>
        <v>0</v>
      </c>
      <c r="AH51" s="11"/>
      <c r="AI51" s="11">
        <f>4300278-M51</f>
        <v>0</v>
      </c>
      <c r="AJ51" s="11">
        <f t="shared" si="6"/>
        <v>0</v>
      </c>
      <c r="AK51" s="11"/>
      <c r="AL51" s="11">
        <v>0</v>
      </c>
      <c r="AM51" s="11">
        <v>7981636</v>
      </c>
      <c r="AN51" s="108" t="s">
        <v>294</v>
      </c>
      <c r="AO51" s="106">
        <f t="shared" si="16"/>
        <v>0</v>
      </c>
    </row>
    <row r="52" spans="1:41" ht="15.75">
      <c r="A52" s="133" t="s">
        <v>74</v>
      </c>
      <c r="B52" s="14">
        <v>196717069</v>
      </c>
      <c r="C52" s="14">
        <v>14704274</v>
      </c>
      <c r="D52" s="14">
        <v>909900</v>
      </c>
      <c r="E52" s="14">
        <f t="shared" si="11"/>
        <v>181102895</v>
      </c>
      <c r="F52" s="17"/>
      <c r="G52" s="17">
        <v>78975056</v>
      </c>
      <c r="H52" s="17">
        <v>20988230</v>
      </c>
      <c r="I52" s="17"/>
      <c r="J52" s="17">
        <v>8455830</v>
      </c>
      <c r="K52" s="17">
        <v>3750545</v>
      </c>
      <c r="L52" s="17"/>
      <c r="M52" s="17">
        <v>7745329</v>
      </c>
      <c r="N52" s="17">
        <f t="shared" si="8"/>
        <v>119914990</v>
      </c>
      <c r="O52" s="17"/>
      <c r="P52" s="17">
        <v>12921983</v>
      </c>
      <c r="Q52" s="17">
        <v>48265922</v>
      </c>
      <c r="R52" s="106">
        <f t="shared" si="12"/>
        <v>0</v>
      </c>
      <c r="S52" s="131">
        <f t="shared" si="10"/>
        <v>0.07051520414587034</v>
      </c>
      <c r="T52" s="131">
        <f t="shared" si="13"/>
        <v>0.04669075002914779</v>
      </c>
      <c r="W52" s="133" t="s">
        <v>74</v>
      </c>
      <c r="X52" s="11">
        <f t="shared" si="14"/>
        <v>61187905</v>
      </c>
      <c r="Y52" s="14">
        <f>14704274-C52</f>
        <v>0</v>
      </c>
      <c r="Z52" s="14">
        <f>909900-D52</f>
        <v>0</v>
      </c>
      <c r="AA52" s="14">
        <f t="shared" si="15"/>
        <v>61187905</v>
      </c>
      <c r="AB52" s="17"/>
      <c r="AC52" s="17">
        <v>0</v>
      </c>
      <c r="AD52" s="17">
        <v>0</v>
      </c>
      <c r="AE52" s="17">
        <v>0</v>
      </c>
      <c r="AF52" s="17">
        <v>0</v>
      </c>
      <c r="AG52" s="17">
        <v>0</v>
      </c>
      <c r="AH52" s="17">
        <v>0</v>
      </c>
      <c r="AI52" s="17">
        <v>0</v>
      </c>
      <c r="AJ52" s="17">
        <f t="shared" si="6"/>
        <v>0</v>
      </c>
      <c r="AK52" s="17"/>
      <c r="AL52" s="17">
        <f>P52</f>
        <v>12921983</v>
      </c>
      <c r="AM52" s="17">
        <f>Q52</f>
        <v>48265922</v>
      </c>
      <c r="AN52" s="108" t="s">
        <v>294</v>
      </c>
      <c r="AO52" s="106">
        <f t="shared" si="16"/>
        <v>0</v>
      </c>
    </row>
    <row r="53" spans="1:41" ht="15">
      <c r="A53" s="133" t="s">
        <v>75</v>
      </c>
      <c r="B53" s="11">
        <v>498949726</v>
      </c>
      <c r="C53" s="11">
        <v>12183631</v>
      </c>
      <c r="D53" s="11">
        <v>23105516</v>
      </c>
      <c r="E53" s="11">
        <f t="shared" si="11"/>
        <v>463660579</v>
      </c>
      <c r="F53" s="11"/>
      <c r="G53" s="11">
        <v>146100590</v>
      </c>
      <c r="H53" s="11">
        <v>2227927</v>
      </c>
      <c r="I53" s="11"/>
      <c r="J53" s="11">
        <v>15567887</v>
      </c>
      <c r="K53" s="11">
        <v>6372853</v>
      </c>
      <c r="L53" s="11"/>
      <c r="M53" s="11">
        <v>88125809</v>
      </c>
      <c r="N53" s="11">
        <f t="shared" si="8"/>
        <v>258395066</v>
      </c>
      <c r="O53" s="11"/>
      <c r="P53" s="11">
        <v>205265513</v>
      </c>
      <c r="Q53" s="11"/>
      <c r="R53" s="106">
        <f t="shared" si="12"/>
        <v>0</v>
      </c>
      <c r="S53" s="131">
        <f t="shared" si="10"/>
        <v>0.06024839112059516</v>
      </c>
      <c r="T53" s="131">
        <f t="shared" si="13"/>
        <v>0.033576041839864935</v>
      </c>
      <c r="W53" s="133" t="s">
        <v>75</v>
      </c>
      <c r="X53" s="11">
        <f t="shared" si="14"/>
        <v>205265513</v>
      </c>
      <c r="Y53" s="11">
        <f>12183631-12183631</f>
        <v>0</v>
      </c>
      <c r="Z53" s="11">
        <f>23105516-23105516</f>
        <v>0</v>
      </c>
      <c r="AA53" s="11">
        <f t="shared" si="15"/>
        <v>205265513</v>
      </c>
      <c r="AB53" s="11"/>
      <c r="AC53" s="11">
        <f>155106988-G53</f>
        <v>9006398</v>
      </c>
      <c r="AD53" s="11">
        <f>32956878-H53</f>
        <v>30728951</v>
      </c>
      <c r="AE53" s="11">
        <v>0</v>
      </c>
      <c r="AF53" s="11">
        <f>24484379-J53</f>
        <v>8916492</v>
      </c>
      <c r="AG53" s="11">
        <f>6780062-K53</f>
        <v>407209</v>
      </c>
      <c r="AH53" s="11">
        <v>0</v>
      </c>
      <c r="AI53" s="11">
        <f>98573633-M53</f>
        <v>10447824</v>
      </c>
      <c r="AJ53" s="11">
        <f t="shared" si="6"/>
        <v>59506874</v>
      </c>
      <c r="AK53" s="11"/>
      <c r="AL53" s="11">
        <v>145758639</v>
      </c>
      <c r="AM53" s="11">
        <v>0</v>
      </c>
      <c r="AO53" s="106">
        <f t="shared" si="16"/>
        <v>0</v>
      </c>
    </row>
    <row r="54" spans="1:41" ht="15.75">
      <c r="A54" s="133" t="s">
        <v>76</v>
      </c>
      <c r="B54" s="14">
        <v>78925393</v>
      </c>
      <c r="C54" s="14"/>
      <c r="D54" s="14">
        <v>3116423</v>
      </c>
      <c r="E54" s="14">
        <f t="shared" si="11"/>
        <v>75808970</v>
      </c>
      <c r="F54" s="17"/>
      <c r="G54" s="17">
        <v>34071529</v>
      </c>
      <c r="H54" s="17">
        <v>17691413</v>
      </c>
      <c r="I54" s="17">
        <v>4451057</v>
      </c>
      <c r="J54" s="17">
        <v>5257353</v>
      </c>
      <c r="K54" s="17">
        <v>667831</v>
      </c>
      <c r="L54" s="17">
        <v>7791</v>
      </c>
      <c r="M54" s="17">
        <v>111565</v>
      </c>
      <c r="N54" s="17">
        <f t="shared" si="8"/>
        <v>62258539</v>
      </c>
      <c r="O54" s="17"/>
      <c r="P54" s="17"/>
      <c r="Q54" s="17">
        <v>13550431</v>
      </c>
      <c r="R54" s="106">
        <f t="shared" si="12"/>
        <v>0</v>
      </c>
      <c r="S54" s="131">
        <f t="shared" si="10"/>
        <v>0.08444388648439052</v>
      </c>
      <c r="T54" s="131">
        <f t="shared" si="13"/>
        <v>0.06935001227427308</v>
      </c>
      <c r="W54" s="133" t="s">
        <v>76</v>
      </c>
      <c r="X54" s="11">
        <f t="shared" si="14"/>
        <v>13550431</v>
      </c>
      <c r="Y54" s="14">
        <v>0</v>
      </c>
      <c r="Z54" s="14">
        <f>3116423-D54</f>
        <v>0</v>
      </c>
      <c r="AA54" s="14">
        <f t="shared" si="15"/>
        <v>13550431</v>
      </c>
      <c r="AB54" s="17"/>
      <c r="AC54" s="11">
        <v>0</v>
      </c>
      <c r="AD54" s="11">
        <v>0</v>
      </c>
      <c r="AE54" s="11">
        <v>0</v>
      </c>
      <c r="AF54" s="11">
        <v>0</v>
      </c>
      <c r="AG54" s="11">
        <v>0</v>
      </c>
      <c r="AH54" s="11">
        <v>0</v>
      </c>
      <c r="AI54" s="11">
        <v>0</v>
      </c>
      <c r="AJ54" s="17">
        <v>0</v>
      </c>
      <c r="AK54" s="17">
        <v>0</v>
      </c>
      <c r="AL54" s="17">
        <f>P54</f>
        <v>0</v>
      </c>
      <c r="AM54" s="17">
        <f>Q54</f>
        <v>13550431</v>
      </c>
      <c r="AN54" s="108" t="s">
        <v>294</v>
      </c>
      <c r="AO54" s="106">
        <f t="shared" si="16"/>
        <v>0</v>
      </c>
    </row>
    <row r="55" spans="1:41" ht="15.75">
      <c r="A55" s="133" t="s">
        <v>77</v>
      </c>
      <c r="B55" s="11">
        <v>47353181</v>
      </c>
      <c r="C55" s="11">
        <v>6480552</v>
      </c>
      <c r="D55" s="11">
        <v>4735318</v>
      </c>
      <c r="E55" s="11">
        <f t="shared" si="11"/>
        <v>36137311</v>
      </c>
      <c r="F55" s="11"/>
      <c r="G55" s="11">
        <v>24578863</v>
      </c>
      <c r="H55" s="11">
        <v>150767</v>
      </c>
      <c r="I55" s="11">
        <v>428052</v>
      </c>
      <c r="J55" s="11">
        <v>5179293</v>
      </c>
      <c r="K55" s="11">
        <v>228763</v>
      </c>
      <c r="L55" s="11"/>
      <c r="M55" s="11"/>
      <c r="N55" s="11">
        <f t="shared" si="8"/>
        <v>30565738</v>
      </c>
      <c r="O55" s="11"/>
      <c r="P55" s="11"/>
      <c r="Q55" s="11">
        <v>5571572</v>
      </c>
      <c r="R55" s="106">
        <f t="shared" si="12"/>
        <v>1</v>
      </c>
      <c r="S55" s="131">
        <f t="shared" si="10"/>
        <v>0.16944766718866727</v>
      </c>
      <c r="T55" s="131">
        <f t="shared" si="13"/>
        <v>0.14332258977431941</v>
      </c>
      <c r="W55" s="133" t="s">
        <v>77</v>
      </c>
      <c r="X55" s="11">
        <f t="shared" si="14"/>
        <v>5571572</v>
      </c>
      <c r="Y55" s="11">
        <f>6353291-6480552</f>
        <v>-127261</v>
      </c>
      <c r="Z55" s="11">
        <f>4735318-4735318</f>
        <v>0</v>
      </c>
      <c r="AA55" s="11">
        <f t="shared" si="15"/>
        <v>5698833</v>
      </c>
      <c r="AB55" s="11"/>
      <c r="AC55" s="11">
        <f>30036394-G55</f>
        <v>5457531</v>
      </c>
      <c r="AD55" s="11">
        <f>150767-H55</f>
        <v>0</v>
      </c>
      <c r="AE55" s="11">
        <f>428052-I55</f>
        <v>0</v>
      </c>
      <c r="AF55" s="11">
        <f>5420596-J55</f>
        <v>241303</v>
      </c>
      <c r="AG55" s="11">
        <f>228763-K55</f>
        <v>0</v>
      </c>
      <c r="AH55" s="11">
        <v>0</v>
      </c>
      <c r="AI55" s="11">
        <f>M55</f>
        <v>0</v>
      </c>
      <c r="AJ55" s="11">
        <f>SUM(AC55:AI55)</f>
        <v>5698834</v>
      </c>
      <c r="AK55" s="11"/>
      <c r="AL55" s="11">
        <v>0</v>
      </c>
      <c r="AM55" s="11">
        <v>0</v>
      </c>
      <c r="AN55" s="108" t="s">
        <v>295</v>
      </c>
      <c r="AO55" s="106">
        <f t="shared" si="16"/>
        <v>-1</v>
      </c>
    </row>
    <row r="56" spans="1:41" ht="15.75">
      <c r="A56" s="133" t="s">
        <v>78</v>
      </c>
      <c r="B56" s="14">
        <v>158285172</v>
      </c>
      <c r="C56" s="14">
        <v>23742776</v>
      </c>
      <c r="D56" s="14">
        <v>11871388</v>
      </c>
      <c r="E56" s="14">
        <f t="shared" si="11"/>
        <v>122671008</v>
      </c>
      <c r="F56" s="17"/>
      <c r="G56" s="17">
        <v>32918848</v>
      </c>
      <c r="H56" s="17">
        <v>28643546</v>
      </c>
      <c r="I56" s="17">
        <v>1391498</v>
      </c>
      <c r="J56" s="17">
        <v>18400651</v>
      </c>
      <c r="K56" s="17">
        <v>8904508</v>
      </c>
      <c r="L56" s="17">
        <v>65917</v>
      </c>
      <c r="M56" s="17">
        <v>387</v>
      </c>
      <c r="N56" s="11">
        <f t="shared" si="8"/>
        <v>90325355</v>
      </c>
      <c r="O56" s="17"/>
      <c r="P56" s="17">
        <v>32345653</v>
      </c>
      <c r="Q56" s="17"/>
      <c r="R56" s="106">
        <f t="shared" si="12"/>
        <v>0</v>
      </c>
      <c r="S56" s="131">
        <f t="shared" si="10"/>
        <v>0.20371523588254925</v>
      </c>
      <c r="T56" s="131">
        <f t="shared" si="13"/>
        <v>0.1499999983696229</v>
      </c>
      <c r="W56" s="133" t="s">
        <v>78</v>
      </c>
      <c r="X56" s="11">
        <f t="shared" si="14"/>
        <v>32345653</v>
      </c>
      <c r="Y56" s="14">
        <f>23742776-23742776</f>
        <v>0</v>
      </c>
      <c r="Z56" s="14">
        <f>11871388-11871388</f>
        <v>0</v>
      </c>
      <c r="AA56" s="14">
        <f t="shared" si="15"/>
        <v>32345653</v>
      </c>
      <c r="AB56" s="17"/>
      <c r="AC56" s="11">
        <f>58412093-G56</f>
        <v>25493245</v>
      </c>
      <c r="AD56" s="11">
        <f>34844550-H56</f>
        <v>6201004</v>
      </c>
      <c r="AE56" s="11">
        <f>1960401-I56</f>
        <v>568903</v>
      </c>
      <c r="AF56" s="11">
        <f>18400651-J56</f>
        <v>0</v>
      </c>
      <c r="AG56" s="11">
        <f>8955678-K56</f>
        <v>51170</v>
      </c>
      <c r="AH56" s="11">
        <f>97115-L56</f>
        <v>31198</v>
      </c>
      <c r="AI56" s="11">
        <f>520-M56</f>
        <v>133</v>
      </c>
      <c r="AJ56" s="11">
        <f>SUM(AC56:AI56)</f>
        <v>32345653</v>
      </c>
      <c r="AK56" s="17"/>
      <c r="AL56" s="17">
        <f>P55</f>
        <v>0</v>
      </c>
      <c r="AM56" s="17">
        <v>0</v>
      </c>
      <c r="AN56" s="108" t="s">
        <v>295</v>
      </c>
      <c r="AO56" s="106">
        <f t="shared" si="16"/>
        <v>0</v>
      </c>
    </row>
    <row r="57" spans="1:41" ht="15">
      <c r="A57" s="133" t="s">
        <v>79</v>
      </c>
      <c r="B57" s="11">
        <v>404331754</v>
      </c>
      <c r="C57" s="11">
        <v>28973849</v>
      </c>
      <c r="D57" s="11"/>
      <c r="E57" s="11">
        <f t="shared" si="11"/>
        <v>375357905</v>
      </c>
      <c r="F57" s="11"/>
      <c r="G57" s="11">
        <v>149172346</v>
      </c>
      <c r="H57" s="11">
        <v>26565372</v>
      </c>
      <c r="I57" s="11"/>
      <c r="J57" s="11">
        <v>26078005</v>
      </c>
      <c r="K57" s="11">
        <v>2582084</v>
      </c>
      <c r="L57" s="11"/>
      <c r="M57" s="11">
        <v>28557988</v>
      </c>
      <c r="N57" s="11">
        <f t="shared" si="8"/>
        <v>232955795</v>
      </c>
      <c r="O57" s="11"/>
      <c r="P57" s="11">
        <v>949341</v>
      </c>
      <c r="Q57" s="11">
        <v>141452770</v>
      </c>
      <c r="R57" s="106">
        <f t="shared" si="12"/>
        <v>-1</v>
      </c>
      <c r="S57" s="131">
        <f t="shared" si="10"/>
        <v>0.11194400637253947</v>
      </c>
      <c r="T57" s="131">
        <f t="shared" si="13"/>
        <v>0.06947503876333709</v>
      </c>
      <c r="W57" s="133" t="s">
        <v>79</v>
      </c>
      <c r="X57" s="11">
        <f t="shared" si="14"/>
        <v>142402111</v>
      </c>
      <c r="Y57" s="11">
        <f>28973849-28973849</f>
        <v>0</v>
      </c>
      <c r="Z57" s="11">
        <f>0-D57</f>
        <v>0</v>
      </c>
      <c r="AA57" s="11">
        <f t="shared" si="15"/>
        <v>142402111</v>
      </c>
      <c r="AB57" s="11"/>
      <c r="AC57" s="11">
        <f>244818900-G57</f>
        <v>95646554</v>
      </c>
      <c r="AD57" s="11">
        <f>36146447-H57</f>
        <v>9581075</v>
      </c>
      <c r="AE57" s="11">
        <v>0</v>
      </c>
      <c r="AF57" s="11">
        <f>35812972-J57</f>
        <v>9734967</v>
      </c>
      <c r="AG57" s="11">
        <f>4067083-K57</f>
        <v>1484999</v>
      </c>
      <c r="AH57" s="11">
        <v>0</v>
      </c>
      <c r="AI57" s="11">
        <f>40459457-M57</f>
        <v>11901469</v>
      </c>
      <c r="AJ57" s="11">
        <f>SUM(AC57:AI57)</f>
        <v>128349064</v>
      </c>
      <c r="AK57" s="11"/>
      <c r="AL57" s="11">
        <v>0</v>
      </c>
      <c r="AM57" s="11">
        <v>14053016</v>
      </c>
      <c r="AO57" s="106">
        <f t="shared" si="16"/>
        <v>31</v>
      </c>
    </row>
    <row r="58" spans="1:41" ht="15">
      <c r="A58" s="133" t="s">
        <v>80</v>
      </c>
      <c r="B58" s="11">
        <v>110176310</v>
      </c>
      <c r="C58" s="11">
        <v>10000000</v>
      </c>
      <c r="D58" s="11">
        <v>7400000</v>
      </c>
      <c r="E58" s="11">
        <f t="shared" si="11"/>
        <v>92776310</v>
      </c>
      <c r="F58" s="11"/>
      <c r="G58" s="11">
        <v>2911635</v>
      </c>
      <c r="H58" s="11">
        <v>618869</v>
      </c>
      <c r="I58" s="11"/>
      <c r="J58" s="11">
        <v>1865899</v>
      </c>
      <c r="K58" s="11">
        <v>3397448</v>
      </c>
      <c r="L58" s="11"/>
      <c r="M58" s="11">
        <v>3265027</v>
      </c>
      <c r="N58" s="11">
        <f t="shared" si="8"/>
        <v>12058878</v>
      </c>
      <c r="O58" s="11"/>
      <c r="P58" s="11"/>
      <c r="Q58" s="11">
        <v>80717433</v>
      </c>
      <c r="R58" s="106">
        <f t="shared" si="12"/>
        <v>-1</v>
      </c>
      <c r="S58" s="131">
        <f t="shared" si="10"/>
        <v>0.15473238886735566</v>
      </c>
      <c r="T58" s="131">
        <f t="shared" si="13"/>
        <v>0.02011180440351637</v>
      </c>
      <c r="W58" s="133" t="s">
        <v>80</v>
      </c>
      <c r="X58" s="11">
        <f t="shared" si="14"/>
        <v>80717433</v>
      </c>
      <c r="Y58" s="11">
        <f>10000000-10000000</f>
        <v>0</v>
      </c>
      <c r="Z58" s="11">
        <v>800000</v>
      </c>
      <c r="AA58" s="11">
        <f t="shared" si="15"/>
        <v>79917433</v>
      </c>
      <c r="AB58" s="11"/>
      <c r="AC58" s="11">
        <f>6533845-G58</f>
        <v>3622210</v>
      </c>
      <c r="AD58" s="11">
        <f>748297-H58</f>
        <v>129428</v>
      </c>
      <c r="AE58" s="11">
        <v>0</v>
      </c>
      <c r="AF58" s="11">
        <f>5397754-J58</f>
        <v>3531855</v>
      </c>
      <c r="AG58" s="11">
        <f>3995872-K58</f>
        <v>598424</v>
      </c>
      <c r="AH58" s="11">
        <v>0</v>
      </c>
      <c r="AI58" s="11">
        <f>3742611-M58</f>
        <v>477584</v>
      </c>
      <c r="AJ58" s="11">
        <f>SUM(AC58:AI58)</f>
        <v>8359501</v>
      </c>
      <c r="AK58" s="11"/>
      <c r="AL58" s="11">
        <v>0</v>
      </c>
      <c r="AM58" s="11">
        <v>71557931</v>
      </c>
      <c r="AO58" s="106">
        <f t="shared" si="16"/>
        <v>1</v>
      </c>
    </row>
    <row r="59" spans="1:41" ht="15">
      <c r="A59" s="133" t="s">
        <v>81</v>
      </c>
      <c r="B59" s="11">
        <v>317505180</v>
      </c>
      <c r="C59" s="11">
        <v>26021418</v>
      </c>
      <c r="D59" s="11">
        <v>31750000</v>
      </c>
      <c r="E59" s="11">
        <f t="shared" si="11"/>
        <v>259733762</v>
      </c>
      <c r="F59" s="11"/>
      <c r="G59" s="11">
        <v>14808597</v>
      </c>
      <c r="H59" s="11">
        <v>20812811</v>
      </c>
      <c r="I59" s="11"/>
      <c r="J59" s="11">
        <v>12529162</v>
      </c>
      <c r="K59" s="11">
        <v>10703353</v>
      </c>
      <c r="L59" s="11"/>
      <c r="M59" s="11">
        <v>4801676</v>
      </c>
      <c r="N59" s="11">
        <f t="shared" si="8"/>
        <v>63655599</v>
      </c>
      <c r="O59" s="11"/>
      <c r="P59" s="11">
        <v>147058622</v>
      </c>
      <c r="Q59" s="11">
        <v>49019541</v>
      </c>
      <c r="R59" s="106">
        <f t="shared" si="12"/>
        <v>0</v>
      </c>
      <c r="S59" s="131">
        <f t="shared" si="10"/>
        <v>0.19682733642958886</v>
      </c>
      <c r="T59" s="131">
        <f t="shared" si="13"/>
        <v>0.04823848044829844</v>
      </c>
      <c r="W59" s="133" t="s">
        <v>81</v>
      </c>
      <c r="X59" s="11">
        <f t="shared" si="14"/>
        <v>196078163</v>
      </c>
      <c r="Y59" s="11">
        <f>6073083+1763906</f>
        <v>7836989</v>
      </c>
      <c r="Z59" s="11">
        <f>31800000-31750000</f>
        <v>50000</v>
      </c>
      <c r="AA59" s="11">
        <f t="shared" si="15"/>
        <v>188191174</v>
      </c>
      <c r="AB59" s="11"/>
      <c r="AC59" s="11">
        <f>44847839-G59</f>
        <v>30039242</v>
      </c>
      <c r="AD59" s="11">
        <f>12865676-H59</f>
        <v>-7947135</v>
      </c>
      <c r="AE59" s="11">
        <v>0</v>
      </c>
      <c r="AF59" s="11">
        <f>17779846-J59</f>
        <v>5250684</v>
      </c>
      <c r="AG59" s="11">
        <f>15368257-K59</f>
        <v>4664904</v>
      </c>
      <c r="AH59" s="11">
        <v>0</v>
      </c>
      <c r="AI59" s="11">
        <f>22615042-M59</f>
        <v>17813366</v>
      </c>
      <c r="AJ59" s="11">
        <f>SUM(AC59:AI59)</f>
        <v>49821061</v>
      </c>
      <c r="AK59" s="11"/>
      <c r="AL59" s="11">
        <v>121765699</v>
      </c>
      <c r="AM59" s="11">
        <v>16604414</v>
      </c>
      <c r="AO59" s="106">
        <f t="shared" si="16"/>
        <v>0</v>
      </c>
    </row>
    <row r="60" spans="1:41" ht="15.75">
      <c r="A60" s="134" t="s">
        <v>82</v>
      </c>
      <c r="B60" s="20">
        <v>21538089</v>
      </c>
      <c r="C60" s="21"/>
      <c r="D60" s="21"/>
      <c r="E60" s="14">
        <f t="shared" si="11"/>
        <v>21538089</v>
      </c>
      <c r="F60" s="17"/>
      <c r="G60" s="17"/>
      <c r="H60" s="17">
        <v>119</v>
      </c>
      <c r="I60" s="17"/>
      <c r="J60" s="17">
        <v>161283</v>
      </c>
      <c r="K60" s="17"/>
      <c r="L60" s="17"/>
      <c r="M60" s="17"/>
      <c r="N60" s="17">
        <f t="shared" si="8"/>
        <v>161402</v>
      </c>
      <c r="O60" s="17"/>
      <c r="P60" s="17">
        <v>21376687</v>
      </c>
      <c r="Q60" s="17"/>
      <c r="R60" s="106">
        <f t="shared" si="12"/>
        <v>0</v>
      </c>
      <c r="S60" s="131">
        <f t="shared" si="10"/>
        <v>0.9992627104992503</v>
      </c>
      <c r="T60" s="131">
        <f t="shared" si="13"/>
        <v>0.007488268806020813</v>
      </c>
      <c r="W60" s="134" t="s">
        <v>82</v>
      </c>
      <c r="X60" s="11">
        <f t="shared" si="14"/>
        <v>21376687</v>
      </c>
      <c r="Y60" s="21">
        <f>C60</f>
        <v>0</v>
      </c>
      <c r="Z60" s="21">
        <f>D60</f>
        <v>0</v>
      </c>
      <c r="AA60" s="14">
        <f t="shared" si="15"/>
        <v>21376687</v>
      </c>
      <c r="AB60" s="17"/>
      <c r="AC60" s="17">
        <v>0</v>
      </c>
      <c r="AD60" s="11">
        <v>0</v>
      </c>
      <c r="AE60" s="17">
        <v>0</v>
      </c>
      <c r="AF60" s="11">
        <v>0</v>
      </c>
      <c r="AG60" s="11">
        <f>0-K60</f>
        <v>0</v>
      </c>
      <c r="AH60" s="17">
        <v>0</v>
      </c>
      <c r="AI60" s="17">
        <v>0</v>
      </c>
      <c r="AJ60" s="17">
        <v>0</v>
      </c>
      <c r="AK60" s="17"/>
      <c r="AL60" s="17">
        <v>21376687</v>
      </c>
      <c r="AM60" s="17">
        <v>0</v>
      </c>
      <c r="AN60" s="108" t="s">
        <v>293</v>
      </c>
      <c r="AO60" s="106">
        <f t="shared" si="16"/>
        <v>0</v>
      </c>
    </row>
    <row r="61" spans="1:39" ht="15">
      <c r="A61" s="133"/>
      <c r="C61" s="119"/>
      <c r="D61" s="119"/>
      <c r="E61" s="11"/>
      <c r="F61" s="11"/>
      <c r="G61" s="11"/>
      <c r="H61" s="11"/>
      <c r="I61" s="11"/>
      <c r="J61" s="11"/>
      <c r="K61" s="11"/>
      <c r="L61" s="11"/>
      <c r="M61" s="11"/>
      <c r="N61" s="11"/>
      <c r="O61" s="11"/>
      <c r="P61" s="11"/>
      <c r="Q61" s="11"/>
      <c r="S61" s="131"/>
      <c r="T61" s="131"/>
      <c r="W61" s="133"/>
      <c r="Y61" s="119"/>
      <c r="Z61" s="119"/>
      <c r="AA61" s="11"/>
      <c r="AB61" s="11"/>
      <c r="AC61" s="11"/>
      <c r="AD61" s="11"/>
      <c r="AE61" s="11"/>
      <c r="AF61" s="11"/>
      <c r="AG61" s="11"/>
      <c r="AH61" s="11"/>
      <c r="AI61" s="11"/>
      <c r="AJ61" s="11"/>
      <c r="AK61" s="11"/>
      <c r="AL61" s="11"/>
      <c r="AM61" s="11"/>
    </row>
    <row r="62" spans="1:41" ht="15.75" thickBot="1">
      <c r="A62" s="135" t="s">
        <v>83</v>
      </c>
      <c r="B62" s="147">
        <f>SUM(B10:B60)</f>
        <v>16562380591</v>
      </c>
      <c r="C62" s="136">
        <f>SUM(C10:C60)</f>
        <v>664737845</v>
      </c>
      <c r="D62" s="136">
        <f>SUM(D10:D60)</f>
        <v>1082883298</v>
      </c>
      <c r="E62" s="136">
        <f>SUM(E10:E60)</f>
        <v>14814759448</v>
      </c>
      <c r="F62" s="136"/>
      <c r="G62" s="136">
        <f aca="true" t="shared" si="17" ref="G62:N62">SUM(G10:G60)</f>
        <v>6823937418</v>
      </c>
      <c r="H62" s="136">
        <f t="shared" si="17"/>
        <v>666009373</v>
      </c>
      <c r="I62" s="136">
        <f t="shared" si="17"/>
        <v>264460608</v>
      </c>
      <c r="J62" s="136">
        <f t="shared" si="17"/>
        <v>937438005</v>
      </c>
      <c r="K62" s="136">
        <f t="shared" si="17"/>
        <v>213230494</v>
      </c>
      <c r="L62" s="136">
        <f t="shared" si="17"/>
        <v>5146642</v>
      </c>
      <c r="M62" s="136">
        <f t="shared" si="17"/>
        <v>1146340202</v>
      </c>
      <c r="N62" s="137">
        <f t="shared" si="17"/>
        <v>10056562742</v>
      </c>
      <c r="O62" s="136" t="s">
        <v>249</v>
      </c>
      <c r="P62" s="136">
        <f>SUM(P10:P60)</f>
        <v>2164109569</v>
      </c>
      <c r="Q62" s="136">
        <f>SUM(Q10:Q60)</f>
        <v>2625069355</v>
      </c>
      <c r="S62" s="131">
        <f>+J62/N62</f>
        <v>0.09321654217746837</v>
      </c>
      <c r="T62" s="131">
        <f>+J62/E62</f>
        <v>0.06327730182122901</v>
      </c>
      <c r="W62" s="135" t="s">
        <v>83</v>
      </c>
      <c r="X62" s="147">
        <f>SUM(X10:X60)</f>
        <v>4817244679</v>
      </c>
      <c r="Y62" s="136">
        <f>SUM(Y10:Y60)</f>
        <v>172247920</v>
      </c>
      <c r="Z62" s="136">
        <f>SUM(Z10:Z60)</f>
        <v>15950272</v>
      </c>
      <c r="AA62" s="136">
        <f>SUM(AA10:AA60)</f>
        <v>4629046487</v>
      </c>
      <c r="AB62" s="136"/>
      <c r="AC62" s="136">
        <f aca="true" t="shared" si="18" ref="AC62:AJ62">SUM(AC10:AC60)</f>
        <v>878342745</v>
      </c>
      <c r="AD62" s="136">
        <f t="shared" si="18"/>
        <v>184283330</v>
      </c>
      <c r="AE62" s="136">
        <f t="shared" si="18"/>
        <v>38644662</v>
      </c>
      <c r="AF62" s="136">
        <f t="shared" si="18"/>
        <v>130101604</v>
      </c>
      <c r="AG62" s="136">
        <f t="shared" si="18"/>
        <v>39639942</v>
      </c>
      <c r="AH62" s="136">
        <f t="shared" si="18"/>
        <v>566188</v>
      </c>
      <c r="AI62" s="136">
        <f t="shared" si="18"/>
        <v>169811994</v>
      </c>
      <c r="AJ62" s="136">
        <f t="shared" si="18"/>
        <v>1441390465</v>
      </c>
      <c r="AK62" s="136" t="s">
        <v>249</v>
      </c>
      <c r="AL62" s="136">
        <f>SUM(AL10:AL60)</f>
        <v>1674909430</v>
      </c>
      <c r="AM62" s="136">
        <f>SUM(AM10:AM60)</f>
        <v>1525149569</v>
      </c>
      <c r="AO62" s="136">
        <f>SUM(AO10:AO60)</f>
        <v>-1852278</v>
      </c>
    </row>
    <row r="63" spans="7:39" ht="15.75" thickTop="1">
      <c r="G63" s="18"/>
      <c r="H63" s="18"/>
      <c r="I63" s="18"/>
      <c r="J63" s="18"/>
      <c r="K63" s="18"/>
      <c r="L63" s="18"/>
      <c r="M63" s="18"/>
      <c r="N63" s="18"/>
      <c r="O63" s="18"/>
      <c r="P63" s="18"/>
      <c r="Q63" s="24"/>
      <c r="AA63" s="103" t="s">
        <v>249</v>
      </c>
      <c r="AC63" s="18"/>
      <c r="AD63" s="18"/>
      <c r="AE63" s="18"/>
      <c r="AF63" s="18"/>
      <c r="AG63" s="18"/>
      <c r="AH63" s="18"/>
      <c r="AI63" s="18"/>
      <c r="AJ63" s="18"/>
      <c r="AK63" s="18"/>
      <c r="AL63" s="18"/>
      <c r="AM63" s="24"/>
    </row>
    <row r="64" spans="1:39" ht="15.75">
      <c r="A64" s="129" t="s">
        <v>84</v>
      </c>
      <c r="C64" s="36">
        <f>D62/B62</f>
        <v>0.06538210446561281</v>
      </c>
      <c r="D64" s="36">
        <f>D62/B62</f>
        <v>0.06538210446561281</v>
      </c>
      <c r="E64" s="36">
        <f>E62/B62</f>
        <v>0.8944824910043634</v>
      </c>
      <c r="G64" s="36">
        <f>G62/N62</f>
        <v>0.6785556450118551</v>
      </c>
      <c r="H64" s="36">
        <f>H62/N62</f>
        <v>0.06622634294503962</v>
      </c>
      <c r="I64" s="36">
        <f>I62/N62</f>
        <v>0.0262973159701488</v>
      </c>
      <c r="J64" s="36">
        <f>J62/N62</f>
        <v>0.09321654217746837</v>
      </c>
      <c r="K64" s="36">
        <f>K62/N62</f>
        <v>0.021203118746474778</v>
      </c>
      <c r="L64" s="36">
        <f>L62/N62</f>
        <v>0.0005117694914292814</v>
      </c>
      <c r="M64" s="36">
        <f>M62/N62</f>
        <v>0.11398926565758406</v>
      </c>
      <c r="N64" s="36">
        <f>N62/E62</f>
        <v>0.6788205220137841</v>
      </c>
      <c r="O64" s="41"/>
      <c r="P64" s="80">
        <f>P62/E62</f>
        <v>0.14607794183874892</v>
      </c>
      <c r="Q64" s="80">
        <f>Q62/E62</f>
        <v>0.17719284367822696</v>
      </c>
      <c r="W64" s="129" t="s">
        <v>84</v>
      </c>
      <c r="X64" s="107"/>
      <c r="Y64" s="148">
        <f>Y62/X62</f>
        <v>0.035756522966517976</v>
      </c>
      <c r="Z64" s="149">
        <f>Z62/X62</f>
        <v>0.0033110778178930033</v>
      </c>
      <c r="AA64" s="148">
        <f>AA62/X62</f>
        <v>0.960932399215589</v>
      </c>
      <c r="AB64" s="107"/>
      <c r="AC64" s="148">
        <f>AC62/AJ62</f>
        <v>0.6093718297213795</v>
      </c>
      <c r="AD64" s="148">
        <f>AD62/AJ62</f>
        <v>0.12785108162901576</v>
      </c>
      <c r="AE64" s="148">
        <f>AE62/AJ62</f>
        <v>0.026810682419770273</v>
      </c>
      <c r="AF64" s="148">
        <f>AF62/AJ62</f>
        <v>0.09026117985316352</v>
      </c>
      <c r="AG64" s="148">
        <f>AG62/AJ62</f>
        <v>0.02750118233923519</v>
      </c>
      <c r="AH64" s="148">
        <f>AH62/AJ62</f>
        <v>0.0003928068165762426</v>
      </c>
      <c r="AI64" s="148">
        <f>AI62/AJ62</f>
        <v>0.11781123722085951</v>
      </c>
      <c r="AJ64" s="148">
        <f>AJ62/AA62</f>
        <v>0.31137956143839435</v>
      </c>
      <c r="AK64" s="150"/>
      <c r="AL64" s="151">
        <f>AL62/AA62</f>
        <v>0.3618260120531816</v>
      </c>
      <c r="AM64" s="151">
        <f>AM62/AA62</f>
        <v>0.32947380703200096</v>
      </c>
    </row>
    <row r="65" spans="7:39" ht="15">
      <c r="G65" s="18"/>
      <c r="H65" s="18"/>
      <c r="I65" s="18"/>
      <c r="J65" s="18"/>
      <c r="K65" s="18"/>
      <c r="L65" s="18"/>
      <c r="M65" s="18"/>
      <c r="N65" s="18"/>
      <c r="O65" s="18"/>
      <c r="P65" s="18"/>
      <c r="Q65" s="24"/>
      <c r="R65" s="85" t="s">
        <v>249</v>
      </c>
      <c r="AC65" s="18"/>
      <c r="AD65" s="18"/>
      <c r="AE65" s="18"/>
      <c r="AF65" s="18"/>
      <c r="AG65" s="18"/>
      <c r="AH65" s="18"/>
      <c r="AI65" s="18"/>
      <c r="AJ65" s="18"/>
      <c r="AK65" s="18"/>
      <c r="AL65" s="18"/>
      <c r="AM65" s="24"/>
    </row>
    <row r="66" spans="1:37" ht="15">
      <c r="A66" s="107" t="s">
        <v>85</v>
      </c>
      <c r="G66" s="18"/>
      <c r="H66" s="18"/>
      <c r="I66" s="18"/>
      <c r="J66" s="18"/>
      <c r="K66" s="18"/>
      <c r="L66" s="18"/>
      <c r="M66" s="18"/>
      <c r="N66" s="45"/>
      <c r="O66" s="45"/>
      <c r="W66" s="107" t="s">
        <v>85</v>
      </c>
      <c r="AC66" s="18"/>
      <c r="AD66" s="18"/>
      <c r="AE66" s="18"/>
      <c r="AF66" s="18"/>
      <c r="AG66" s="18"/>
      <c r="AH66" s="18"/>
      <c r="AI66" s="18"/>
      <c r="AJ66" s="45"/>
      <c r="AK66" s="45"/>
    </row>
    <row r="67" spans="1:39" ht="15">
      <c r="A67" s="152"/>
      <c r="G67" s="18"/>
      <c r="H67" s="18"/>
      <c r="I67" s="18"/>
      <c r="J67" s="18"/>
      <c r="K67" s="18"/>
      <c r="L67" s="18"/>
      <c r="M67" s="18"/>
      <c r="N67" s="18"/>
      <c r="O67" s="18"/>
      <c r="P67" s="18"/>
      <c r="Q67" s="18"/>
      <c r="W67" s="152"/>
      <c r="AC67" s="18"/>
      <c r="AD67" s="18"/>
      <c r="AE67" s="18"/>
      <c r="AF67" s="18"/>
      <c r="AG67" s="18"/>
      <c r="AH67" s="18"/>
      <c r="AI67" s="18"/>
      <c r="AJ67" s="18"/>
      <c r="AK67" s="18"/>
      <c r="AL67" s="18"/>
      <c r="AM67" s="18"/>
    </row>
    <row r="68" spans="1:39" ht="15.75">
      <c r="A68" s="138" t="s">
        <v>296</v>
      </c>
      <c r="G68" s="18"/>
      <c r="H68" s="18"/>
      <c r="I68" s="18"/>
      <c r="J68" s="18"/>
      <c r="K68" s="18"/>
      <c r="L68" s="18"/>
      <c r="M68" s="18"/>
      <c r="N68" s="18"/>
      <c r="O68" s="18"/>
      <c r="P68" s="18"/>
      <c r="Q68" s="18"/>
      <c r="W68" s="138" t="s">
        <v>297</v>
      </c>
      <c r="AC68" s="18"/>
      <c r="AD68" s="18"/>
      <c r="AE68" s="18"/>
      <c r="AF68" s="18"/>
      <c r="AG68" s="18"/>
      <c r="AH68" s="18"/>
      <c r="AI68" s="18"/>
      <c r="AJ68" s="18"/>
      <c r="AK68" s="18"/>
      <c r="AL68" s="18"/>
      <c r="AM68" s="18"/>
    </row>
    <row r="69" spans="1:39" ht="15.75">
      <c r="A69" s="138" t="s">
        <v>86</v>
      </c>
      <c r="G69" s="18"/>
      <c r="H69" s="18"/>
      <c r="I69" s="18"/>
      <c r="J69" s="18"/>
      <c r="K69" s="18"/>
      <c r="L69" s="18"/>
      <c r="M69" s="18"/>
      <c r="N69" s="18"/>
      <c r="O69" s="18"/>
      <c r="P69" s="18"/>
      <c r="Q69" s="18"/>
      <c r="W69" s="138" t="s">
        <v>86</v>
      </c>
      <c r="AC69" s="18"/>
      <c r="AD69" s="18"/>
      <c r="AE69" s="18"/>
      <c r="AF69" s="18"/>
      <c r="AG69" s="18"/>
      <c r="AH69" s="18"/>
      <c r="AI69" s="18"/>
      <c r="AJ69" s="18"/>
      <c r="AK69" s="18"/>
      <c r="AL69" s="18"/>
      <c r="AM69" s="18"/>
    </row>
    <row r="70" spans="7:39" ht="15">
      <c r="G70" s="18"/>
      <c r="H70" s="18"/>
      <c r="I70" s="18"/>
      <c r="J70" s="18"/>
      <c r="K70" s="18"/>
      <c r="L70" s="18"/>
      <c r="M70" s="18"/>
      <c r="N70" s="18"/>
      <c r="O70" s="18"/>
      <c r="P70" s="18"/>
      <c r="Q70" s="18"/>
      <c r="AC70" s="18"/>
      <c r="AD70" s="18"/>
      <c r="AE70" s="18"/>
      <c r="AF70" s="18"/>
      <c r="AG70" s="18"/>
      <c r="AH70" s="18"/>
      <c r="AI70" s="18"/>
      <c r="AJ70" s="18"/>
      <c r="AK70" s="18"/>
      <c r="AL70" s="18"/>
      <c r="AM70" s="18"/>
    </row>
    <row r="71" spans="1:39" ht="15">
      <c r="A71" s="107" t="s">
        <v>87</v>
      </c>
      <c r="G71" s="18"/>
      <c r="H71" s="18"/>
      <c r="I71" s="18"/>
      <c r="J71" s="18"/>
      <c r="K71" s="18"/>
      <c r="L71" s="18"/>
      <c r="M71" s="18"/>
      <c r="N71" s="18"/>
      <c r="O71" s="18"/>
      <c r="P71" s="18"/>
      <c r="Q71" s="18"/>
      <c r="W71" s="107" t="s">
        <v>87</v>
      </c>
      <c r="AC71" s="18"/>
      <c r="AD71" s="18"/>
      <c r="AE71" s="18"/>
      <c r="AF71" s="18"/>
      <c r="AG71" s="18"/>
      <c r="AH71" s="18"/>
      <c r="AI71" s="18"/>
      <c r="AJ71" s="18"/>
      <c r="AK71" s="18"/>
      <c r="AL71" s="18"/>
      <c r="AM71" s="18"/>
    </row>
    <row r="72" spans="1:39" ht="15">
      <c r="A72" s="107" t="s">
        <v>298</v>
      </c>
      <c r="G72" s="18"/>
      <c r="H72" s="18"/>
      <c r="I72" s="18"/>
      <c r="J72" s="18"/>
      <c r="K72" s="18"/>
      <c r="L72" s="18"/>
      <c r="M72" s="18"/>
      <c r="N72" s="18"/>
      <c r="O72" s="18"/>
      <c r="P72" s="18"/>
      <c r="Q72" s="18"/>
      <c r="W72" s="107" t="s">
        <v>299</v>
      </c>
      <c r="AC72" s="18"/>
      <c r="AD72" s="18"/>
      <c r="AE72" s="18"/>
      <c r="AF72" s="18"/>
      <c r="AG72" s="18"/>
      <c r="AH72" s="18"/>
      <c r="AI72" s="18"/>
      <c r="AJ72" s="18"/>
      <c r="AK72" s="18"/>
      <c r="AL72" s="18"/>
      <c r="AM72" s="18"/>
    </row>
    <row r="73" spans="1:23" ht="15">
      <c r="A73" s="107" t="s">
        <v>88</v>
      </c>
      <c r="W73" s="107" t="s">
        <v>88</v>
      </c>
    </row>
    <row r="74" spans="1:39" ht="15">
      <c r="A74" s="107" t="s">
        <v>89</v>
      </c>
      <c r="G74" s="18"/>
      <c r="H74" s="18"/>
      <c r="I74" s="18"/>
      <c r="J74" s="18"/>
      <c r="K74" s="18"/>
      <c r="L74" s="18"/>
      <c r="M74" s="18"/>
      <c r="N74" s="18"/>
      <c r="O74" s="18"/>
      <c r="P74" s="18"/>
      <c r="Q74" s="18"/>
      <c r="W74" s="107" t="s">
        <v>89</v>
      </c>
      <c r="AC74" s="18"/>
      <c r="AD74" s="18"/>
      <c r="AE74" s="18"/>
      <c r="AF74" s="18"/>
      <c r="AG74" s="18"/>
      <c r="AH74" s="18"/>
      <c r="AI74" s="18"/>
      <c r="AJ74" s="18"/>
      <c r="AK74" s="18"/>
      <c r="AL74" s="18"/>
      <c r="AM74" s="18"/>
    </row>
    <row r="75" spans="7:17" ht="15">
      <c r="G75" s="18"/>
      <c r="H75" s="18"/>
      <c r="I75" s="18"/>
      <c r="J75" s="18"/>
      <c r="K75" s="18"/>
      <c r="L75" s="18"/>
      <c r="M75" s="18"/>
      <c r="N75" s="18"/>
      <c r="O75" s="18"/>
      <c r="P75" s="18"/>
      <c r="Q75" s="18"/>
    </row>
    <row r="76" spans="7:17" ht="15">
      <c r="G76" s="18"/>
      <c r="H76" s="18"/>
      <c r="I76" s="18"/>
      <c r="J76" s="18"/>
      <c r="K76" s="18"/>
      <c r="L76" s="18"/>
      <c r="M76" s="18"/>
      <c r="N76" s="18"/>
      <c r="O76" s="18"/>
      <c r="P76" s="18"/>
      <c r="Q76" s="18"/>
    </row>
    <row r="77" spans="7:26" ht="15">
      <c r="G77" s="18"/>
      <c r="H77" s="18"/>
      <c r="I77" s="18"/>
      <c r="J77" s="18"/>
      <c r="K77" s="18"/>
      <c r="L77" s="18"/>
      <c r="M77" s="18"/>
      <c r="N77" s="18"/>
      <c r="O77" s="18"/>
      <c r="P77" s="18"/>
      <c r="Q77" s="18"/>
      <c r="Z77" s="103"/>
    </row>
    <row r="78" spans="7:26" ht="15">
      <c r="G78" s="18"/>
      <c r="H78" s="18"/>
      <c r="I78" s="18"/>
      <c r="J78" s="18"/>
      <c r="K78" s="18"/>
      <c r="L78" s="18"/>
      <c r="M78" s="18"/>
      <c r="N78" s="18"/>
      <c r="O78" s="18"/>
      <c r="P78" s="18"/>
      <c r="Q78" s="18"/>
      <c r="Z78" s="103"/>
    </row>
    <row r="79" spans="3:26" ht="15">
      <c r="C79" s="103" t="s">
        <v>249</v>
      </c>
      <c r="Z79" s="103"/>
    </row>
    <row r="81" ht="15">
      <c r="Y81" s="103"/>
    </row>
  </sheetData>
  <printOptions gridLines="1" horizontalCentered="1"/>
  <pageMargins left="0.2" right="0" top="0.36" bottom="0.25" header="0.24" footer="0"/>
  <pageSetup fitToHeight="1" fitToWidth="1" horizontalDpi="300" verticalDpi="300" orientation="landscape" scale="50" r:id="rId1"/>
  <headerFooter alignWithMargins="0">
    <oddHeader>&amp;C&amp;A&amp;R&amp;9&amp;D</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BK211"/>
  <sheetViews>
    <sheetView zoomScale="75" zoomScaleNormal="75" workbookViewId="0" topLeftCell="AQ1">
      <pane xSplit="1" ySplit="8" topLeftCell="AR9" activePane="bottomRight" state="frozen"/>
      <selection pane="topLeft" activeCell="A3" sqref="A3"/>
      <selection pane="topRight" activeCell="A3" sqref="A3"/>
      <selection pane="bottomLeft" activeCell="A3" sqref="A3"/>
      <selection pane="bottomRight" activeCell="AR9" sqref="AR9"/>
    </sheetView>
  </sheetViews>
  <sheetFormatPr defaultColWidth="9.140625" defaultRowHeight="12.75"/>
  <cols>
    <col min="1" max="1" width="20.421875" style="144" customWidth="1"/>
    <col min="2" max="2" width="17.00390625" style="144" customWidth="1"/>
    <col min="3" max="3" width="14.7109375" style="144" customWidth="1"/>
    <col min="4" max="4" width="15.28125" style="144" customWidth="1"/>
    <col min="5" max="5" width="16.00390625" style="144" customWidth="1"/>
    <col min="6" max="6" width="0.9921875" style="144" customWidth="1"/>
    <col min="7" max="7" width="19.57421875" style="144" customWidth="1"/>
    <col min="8" max="8" width="14.8515625" style="144" customWidth="1"/>
    <col min="9" max="9" width="12.00390625" style="144" customWidth="1"/>
    <col min="10" max="10" width="16.57421875" style="144" customWidth="1"/>
    <col min="11" max="11" width="12.7109375" style="144" customWidth="1"/>
    <col min="12" max="12" width="14.8515625" style="144" customWidth="1"/>
    <col min="13" max="13" width="16.28125" style="144" customWidth="1"/>
    <col min="14" max="14" width="15.7109375" style="144" customWidth="1"/>
    <col min="15" max="15" width="1.1484375" style="144" customWidth="1"/>
    <col min="16" max="16" width="14.8515625" style="144" customWidth="1"/>
    <col min="17" max="17" width="15.28125" style="144" customWidth="1"/>
    <col min="18" max="18" width="14.8515625" style="144" customWidth="1"/>
    <col min="19" max="19" width="17.140625" style="144" customWidth="1"/>
    <col min="20" max="20" width="17.8515625" style="144" customWidth="1"/>
    <col min="21" max="23" width="9.140625" style="144" customWidth="1"/>
    <col min="24" max="24" width="20.421875" style="144" customWidth="1"/>
    <col min="25" max="25" width="16.28125" style="144" customWidth="1"/>
    <col min="26" max="26" width="15.00390625" style="144" customWidth="1"/>
    <col min="27" max="27" width="14.28125" style="144" customWidth="1"/>
    <col min="28" max="28" width="15.421875" style="144" customWidth="1"/>
    <col min="29" max="29" width="2.140625" style="144" customWidth="1"/>
    <col min="30" max="30" width="20.28125" style="144" customWidth="1"/>
    <col min="31" max="31" width="12.7109375" style="144" customWidth="1"/>
    <col min="32" max="32" width="11.7109375" style="144" customWidth="1"/>
    <col min="33" max="33" width="13.28125" style="144" customWidth="1"/>
    <col min="34" max="34" width="12.421875" style="144" customWidth="1"/>
    <col min="35" max="35" width="17.140625" style="144" customWidth="1"/>
    <col min="36" max="36" width="16.00390625" style="144" customWidth="1"/>
    <col min="37" max="37" width="15.140625" style="144" bestFit="1" customWidth="1"/>
    <col min="38" max="38" width="1.421875" style="144" customWidth="1"/>
    <col min="39" max="39" width="15.57421875" style="144" customWidth="1"/>
    <col min="40" max="40" width="14.7109375" style="144" customWidth="1"/>
    <col min="41" max="42" width="9.140625" style="144" customWidth="1"/>
    <col min="43" max="43" width="21.421875" style="144" customWidth="1"/>
    <col min="44" max="44" width="22.57421875" style="144" customWidth="1"/>
    <col min="45" max="46" width="15.140625" style="144" customWidth="1"/>
    <col min="47" max="47" width="16.8515625" style="144" customWidth="1"/>
    <col min="48" max="48" width="1.28515625" style="144" customWidth="1"/>
    <col min="49" max="49" width="16.421875" style="144" customWidth="1"/>
    <col min="50" max="50" width="14.7109375" style="144" customWidth="1"/>
    <col min="51" max="51" width="11.140625" style="144" bestFit="1" customWidth="1"/>
    <col min="52" max="52" width="13.00390625" style="144" customWidth="1"/>
    <col min="53" max="53" width="17.421875" style="144" customWidth="1"/>
    <col min="54" max="54" width="15.8515625" style="144" customWidth="1"/>
    <col min="55" max="56" width="15.140625" style="144" customWidth="1"/>
    <col min="57" max="57" width="2.00390625" style="144" customWidth="1"/>
    <col min="58" max="58" width="15.7109375" style="144" customWidth="1"/>
    <col min="59" max="59" width="16.00390625" style="144" customWidth="1"/>
    <col min="60" max="60" width="9.140625" style="144" customWidth="1"/>
    <col min="61" max="61" width="11.28125" style="144" bestFit="1" customWidth="1"/>
    <col min="62" max="16384" width="9.140625" style="144" customWidth="1"/>
  </cols>
  <sheetData>
    <row r="1" spans="1:52" ht="15.75">
      <c r="A1" s="153"/>
      <c r="B1" s="153"/>
      <c r="C1" s="153"/>
      <c r="D1" s="153"/>
      <c r="E1" s="153"/>
      <c r="F1" s="153"/>
      <c r="AW1" s="108" t="s">
        <v>346</v>
      </c>
      <c r="AX1" s="85"/>
      <c r="AY1" s="85"/>
      <c r="AZ1" s="85"/>
    </row>
    <row r="2" spans="1:59" ht="15.75">
      <c r="A2" s="154" t="s">
        <v>0</v>
      </c>
      <c r="B2" s="140"/>
      <c r="C2" s="140"/>
      <c r="D2" s="140"/>
      <c r="E2" s="140"/>
      <c r="F2" s="140"/>
      <c r="G2" s="140"/>
      <c r="H2" s="140"/>
      <c r="I2" s="140"/>
      <c r="J2" s="140"/>
      <c r="K2" s="140"/>
      <c r="L2" s="140"/>
      <c r="M2" s="140"/>
      <c r="N2" s="140"/>
      <c r="O2" s="140"/>
      <c r="P2" s="140"/>
      <c r="Q2" s="140"/>
      <c r="X2" s="154" t="s">
        <v>0</v>
      </c>
      <c r="Y2" s="140"/>
      <c r="Z2" s="140"/>
      <c r="AA2" s="140"/>
      <c r="AB2" s="140"/>
      <c r="AC2" s="140"/>
      <c r="AD2" s="140"/>
      <c r="AE2" s="140"/>
      <c r="AF2" s="140"/>
      <c r="AG2" s="140"/>
      <c r="AH2" s="140"/>
      <c r="AI2" s="140"/>
      <c r="AJ2" s="140"/>
      <c r="AK2" s="140"/>
      <c r="AL2" s="140"/>
      <c r="AM2" s="140"/>
      <c r="AN2" s="155"/>
      <c r="AQ2" s="154" t="s">
        <v>0</v>
      </c>
      <c r="AR2" s="140"/>
      <c r="AS2" s="140"/>
      <c r="AT2" s="140"/>
      <c r="AU2" s="140"/>
      <c r="AV2" s="140"/>
      <c r="AW2" s="140"/>
      <c r="AX2" s="140"/>
      <c r="AY2" s="140"/>
      <c r="AZ2" s="140"/>
      <c r="BA2" s="140"/>
      <c r="BB2" s="140"/>
      <c r="BC2" s="140"/>
      <c r="BD2" s="140"/>
      <c r="BE2" s="140"/>
      <c r="BF2" s="140"/>
      <c r="BG2" s="155"/>
    </row>
    <row r="3" spans="1:59" ht="12.75">
      <c r="A3" s="140" t="s">
        <v>300</v>
      </c>
      <c r="B3" s="140"/>
      <c r="C3" s="140"/>
      <c r="D3" s="140"/>
      <c r="E3" s="140"/>
      <c r="F3" s="140"/>
      <c r="G3" s="140"/>
      <c r="H3" s="140"/>
      <c r="I3" s="140"/>
      <c r="J3" s="140"/>
      <c r="K3" s="140"/>
      <c r="L3" s="140"/>
      <c r="M3" s="140"/>
      <c r="N3" s="140"/>
      <c r="O3" s="140"/>
      <c r="P3" s="140"/>
      <c r="Q3" s="140"/>
      <c r="X3" s="140" t="s">
        <v>301</v>
      </c>
      <c r="Y3" s="140"/>
      <c r="Z3" s="140"/>
      <c r="AA3" s="140"/>
      <c r="AB3" s="140"/>
      <c r="AC3" s="140"/>
      <c r="AD3" s="140"/>
      <c r="AE3" s="140"/>
      <c r="AF3" s="140"/>
      <c r="AG3" s="140"/>
      <c r="AH3" s="140"/>
      <c r="AI3" s="140"/>
      <c r="AJ3" s="140"/>
      <c r="AK3" s="140"/>
      <c r="AL3" s="140"/>
      <c r="AM3" s="140"/>
      <c r="AN3" s="140"/>
      <c r="AQ3" s="140" t="s">
        <v>302</v>
      </c>
      <c r="AR3" s="140"/>
      <c r="AS3" s="140"/>
      <c r="AT3" s="140"/>
      <c r="AU3" s="140"/>
      <c r="AV3" s="140"/>
      <c r="AW3" s="140"/>
      <c r="AX3" s="140"/>
      <c r="AY3" s="140"/>
      <c r="AZ3" s="140"/>
      <c r="BA3" s="140"/>
      <c r="BB3" s="140"/>
      <c r="BC3" s="140"/>
      <c r="BD3" s="140"/>
      <c r="BE3" s="140"/>
      <c r="BF3" s="140"/>
      <c r="BG3" s="140"/>
    </row>
    <row r="4" spans="1:59" ht="12.75">
      <c r="A4" s="156" t="s">
        <v>1</v>
      </c>
      <c r="B4" s="140"/>
      <c r="C4" s="140"/>
      <c r="D4" s="140"/>
      <c r="E4" s="140"/>
      <c r="F4" s="140"/>
      <c r="G4" s="140"/>
      <c r="H4" s="140"/>
      <c r="I4" s="140"/>
      <c r="J4" s="140"/>
      <c r="K4" s="140"/>
      <c r="L4" s="140"/>
      <c r="M4" s="140"/>
      <c r="N4" s="140"/>
      <c r="O4" s="140"/>
      <c r="P4" s="140"/>
      <c r="Q4" s="140"/>
      <c r="X4" s="156" t="s">
        <v>1</v>
      </c>
      <c r="Y4" s="140"/>
      <c r="Z4" s="140"/>
      <c r="AA4" s="140"/>
      <c r="AB4" s="140"/>
      <c r="AC4" s="140"/>
      <c r="AD4" s="140"/>
      <c r="AE4" s="140"/>
      <c r="AF4" s="140"/>
      <c r="AG4" s="140"/>
      <c r="AH4" s="140"/>
      <c r="AI4" s="140"/>
      <c r="AJ4" s="140"/>
      <c r="AK4" s="140"/>
      <c r="AL4" s="140"/>
      <c r="AM4" s="140"/>
      <c r="AN4" s="140"/>
      <c r="AQ4" s="156" t="s">
        <v>1</v>
      </c>
      <c r="AR4" s="140"/>
      <c r="AS4" s="140"/>
      <c r="AT4" s="140"/>
      <c r="AU4" s="140"/>
      <c r="AV4" s="140"/>
      <c r="AW4" s="140"/>
      <c r="AX4" s="140"/>
      <c r="AY4" s="140"/>
      <c r="AZ4" s="140"/>
      <c r="BA4" s="140"/>
      <c r="BB4" s="140"/>
      <c r="BC4" s="140"/>
      <c r="BD4" s="140"/>
      <c r="BE4" s="140"/>
      <c r="BF4" s="140"/>
      <c r="BG4" s="140"/>
    </row>
    <row r="5" spans="1:59" ht="15.75">
      <c r="A5" s="144" t="s">
        <v>2</v>
      </c>
      <c r="B5" s="140"/>
      <c r="C5" s="140"/>
      <c r="D5" s="140"/>
      <c r="E5" s="140"/>
      <c r="F5" s="140"/>
      <c r="G5" s="140"/>
      <c r="H5" s="140"/>
      <c r="I5" s="140"/>
      <c r="J5" s="140"/>
      <c r="K5" s="140"/>
      <c r="L5" s="140"/>
      <c r="M5" s="140"/>
      <c r="N5" s="140"/>
      <c r="O5" s="140"/>
      <c r="P5" s="140"/>
      <c r="Q5" s="140"/>
      <c r="X5" s="144" t="s">
        <v>2</v>
      </c>
      <c r="Y5" s="140"/>
      <c r="Z5" s="140"/>
      <c r="AA5" s="140"/>
      <c r="AB5" s="140"/>
      <c r="AC5" s="140"/>
      <c r="AD5" s="141">
        <v>5</v>
      </c>
      <c r="AE5" s="140"/>
      <c r="AF5" s="140"/>
      <c r="AG5" s="140"/>
      <c r="AH5" s="140"/>
      <c r="AI5" s="140"/>
      <c r="AJ5" s="140"/>
      <c r="AK5" s="140"/>
      <c r="AL5" s="140"/>
      <c r="AM5" s="140"/>
      <c r="AN5" s="140"/>
      <c r="AQ5" s="144" t="s">
        <v>2</v>
      </c>
      <c r="AR5" s="112">
        <v>1</v>
      </c>
      <c r="AS5" s="113">
        <v>2</v>
      </c>
      <c r="AT5" s="113">
        <v>3</v>
      </c>
      <c r="AU5" s="113">
        <v>4</v>
      </c>
      <c r="AV5" s="140"/>
      <c r="AW5" s="141">
        <v>5</v>
      </c>
      <c r="AX5" s="141">
        <v>6</v>
      </c>
      <c r="AY5" s="141">
        <v>7</v>
      </c>
      <c r="AZ5" s="141">
        <v>8</v>
      </c>
      <c r="BA5" s="141" t="s">
        <v>4</v>
      </c>
      <c r="BB5" s="141">
        <v>9</v>
      </c>
      <c r="BC5" s="141">
        <v>10</v>
      </c>
      <c r="BD5" s="141">
        <v>11</v>
      </c>
      <c r="BE5" s="113"/>
      <c r="BF5" s="113">
        <v>12</v>
      </c>
      <c r="BG5" s="113">
        <v>13</v>
      </c>
    </row>
    <row r="6" spans="1:49" ht="15.75">
      <c r="A6" s="142" t="s">
        <v>91</v>
      </c>
      <c r="B6" s="113">
        <v>1</v>
      </c>
      <c r="C6" s="113">
        <v>2</v>
      </c>
      <c r="D6" s="113">
        <v>3</v>
      </c>
      <c r="E6" s="113">
        <v>4</v>
      </c>
      <c r="F6" s="142"/>
      <c r="G6" s="113">
        <v>5</v>
      </c>
      <c r="H6" s="113">
        <v>6</v>
      </c>
      <c r="I6" s="113">
        <v>7</v>
      </c>
      <c r="J6" s="113">
        <v>8</v>
      </c>
      <c r="K6" s="113" t="s">
        <v>4</v>
      </c>
      <c r="L6" s="113">
        <v>9</v>
      </c>
      <c r="M6" s="113">
        <v>10</v>
      </c>
      <c r="N6" s="113">
        <v>11</v>
      </c>
      <c r="O6" s="113"/>
      <c r="P6" s="113">
        <v>12</v>
      </c>
      <c r="Q6" s="113">
        <v>13</v>
      </c>
      <c r="S6" s="144" t="s">
        <v>5</v>
      </c>
      <c r="T6" s="144" t="s">
        <v>5</v>
      </c>
      <c r="X6" s="142" t="s">
        <v>91</v>
      </c>
      <c r="Y6" s="113">
        <v>1</v>
      </c>
      <c r="Z6" s="113">
        <v>2</v>
      </c>
      <c r="AA6" s="113">
        <v>3</v>
      </c>
      <c r="AB6" s="113">
        <v>4</v>
      </c>
      <c r="AC6" s="142"/>
      <c r="AD6" s="143" t="s">
        <v>283</v>
      </c>
      <c r="AE6" s="141">
        <v>6</v>
      </c>
      <c r="AF6" s="141">
        <v>7</v>
      </c>
      <c r="AG6" s="141">
        <v>8</v>
      </c>
      <c r="AH6" s="141" t="s">
        <v>4</v>
      </c>
      <c r="AI6" s="141">
        <v>9</v>
      </c>
      <c r="AJ6" s="141">
        <v>10</v>
      </c>
      <c r="AK6" s="141">
        <v>11</v>
      </c>
      <c r="AL6" s="113"/>
      <c r="AM6" s="113">
        <v>12</v>
      </c>
      <c r="AN6" s="113">
        <v>13</v>
      </c>
      <c r="AQ6" s="142" t="s">
        <v>91</v>
      </c>
      <c r="AR6" s="114" t="s">
        <v>282</v>
      </c>
      <c r="AS6" s="115" t="s">
        <v>7</v>
      </c>
      <c r="AT6" s="115" t="s">
        <v>7</v>
      </c>
      <c r="AU6" s="115" t="s">
        <v>263</v>
      </c>
      <c r="AV6" s="142"/>
      <c r="AW6" s="143" t="s">
        <v>283</v>
      </c>
    </row>
    <row r="7" spans="1:61" ht="12.75">
      <c r="A7" s="142"/>
      <c r="B7" s="115" t="s">
        <v>6</v>
      </c>
      <c r="C7" s="115" t="s">
        <v>7</v>
      </c>
      <c r="D7" s="115" t="s">
        <v>7</v>
      </c>
      <c r="E7" s="115" t="s">
        <v>8</v>
      </c>
      <c r="F7" s="115"/>
      <c r="G7" s="115" t="s">
        <v>9</v>
      </c>
      <c r="H7" s="115" t="s">
        <v>10</v>
      </c>
      <c r="I7" s="115" t="s">
        <v>11</v>
      </c>
      <c r="J7" s="115" t="s">
        <v>12</v>
      </c>
      <c r="K7" s="115" t="s">
        <v>13</v>
      </c>
      <c r="L7" s="115" t="s">
        <v>14</v>
      </c>
      <c r="M7" s="115" t="s">
        <v>15</v>
      </c>
      <c r="N7" s="115" t="s">
        <v>16</v>
      </c>
      <c r="O7" s="115"/>
      <c r="P7" s="115" t="s">
        <v>17</v>
      </c>
      <c r="Q7" s="115" t="s">
        <v>18</v>
      </c>
      <c r="S7" s="144" t="s">
        <v>19</v>
      </c>
      <c r="T7" s="144" t="s">
        <v>19</v>
      </c>
      <c r="X7" s="142"/>
      <c r="Y7" s="115" t="s">
        <v>6</v>
      </c>
      <c r="Z7" s="115" t="s">
        <v>7</v>
      </c>
      <c r="AA7" s="115" t="s">
        <v>7</v>
      </c>
      <c r="AB7" s="115" t="s">
        <v>8</v>
      </c>
      <c r="AC7" s="115"/>
      <c r="AD7" s="143" t="s">
        <v>286</v>
      </c>
      <c r="AE7" s="143" t="s">
        <v>10</v>
      </c>
      <c r="AF7" s="143" t="s">
        <v>11</v>
      </c>
      <c r="AG7" s="143" t="s">
        <v>287</v>
      </c>
      <c r="AH7" s="143" t="s">
        <v>13</v>
      </c>
      <c r="AI7" s="143" t="s">
        <v>14</v>
      </c>
      <c r="AJ7" s="143" t="s">
        <v>15</v>
      </c>
      <c r="AK7" s="143" t="s">
        <v>16</v>
      </c>
      <c r="AL7" s="115"/>
      <c r="AM7" s="115" t="s">
        <v>17</v>
      </c>
      <c r="AN7" s="115" t="s">
        <v>18</v>
      </c>
      <c r="AQ7" s="142"/>
      <c r="AR7" s="145" t="s">
        <v>285</v>
      </c>
      <c r="AS7" s="115" t="s">
        <v>21</v>
      </c>
      <c r="AT7" s="115" t="s">
        <v>22</v>
      </c>
      <c r="AU7" s="115" t="s">
        <v>8</v>
      </c>
      <c r="AV7" s="115"/>
      <c r="AW7" s="143" t="s">
        <v>286</v>
      </c>
      <c r="AX7" s="143" t="s">
        <v>10</v>
      </c>
      <c r="AY7" s="143" t="s">
        <v>11</v>
      </c>
      <c r="AZ7" s="143" t="s">
        <v>287</v>
      </c>
      <c r="BA7" s="143" t="s">
        <v>13</v>
      </c>
      <c r="BB7" s="143" t="s">
        <v>14</v>
      </c>
      <c r="BC7" s="143" t="s">
        <v>15</v>
      </c>
      <c r="BD7" s="143" t="s">
        <v>16</v>
      </c>
      <c r="BE7" s="115"/>
      <c r="BF7" s="115" t="s">
        <v>17</v>
      </c>
      <c r="BG7" s="115" t="s">
        <v>18</v>
      </c>
      <c r="BH7" s="123" t="s">
        <v>303</v>
      </c>
      <c r="BI7" s="157" t="s">
        <v>278</v>
      </c>
    </row>
    <row r="8" spans="1:61" ht="12.75">
      <c r="A8" s="142"/>
      <c r="B8" s="8" t="s">
        <v>20</v>
      </c>
      <c r="C8" s="117" t="s">
        <v>21</v>
      </c>
      <c r="D8" s="117" t="s">
        <v>22</v>
      </c>
      <c r="E8" s="117" t="s">
        <v>23</v>
      </c>
      <c r="F8" s="117"/>
      <c r="G8" s="117" t="s">
        <v>24</v>
      </c>
      <c r="H8" s="117" t="s">
        <v>25</v>
      </c>
      <c r="I8" s="117" t="s">
        <v>26</v>
      </c>
      <c r="J8" s="117"/>
      <c r="K8" s="117"/>
      <c r="L8" s="117" t="s">
        <v>27</v>
      </c>
      <c r="M8" s="117" t="s">
        <v>28</v>
      </c>
      <c r="N8" s="117" t="s">
        <v>28</v>
      </c>
      <c r="O8" s="117"/>
      <c r="P8" s="117" t="s">
        <v>29</v>
      </c>
      <c r="Q8" s="117" t="s">
        <v>30</v>
      </c>
      <c r="S8" s="144" t="s">
        <v>28</v>
      </c>
      <c r="T8" s="144" t="s">
        <v>31</v>
      </c>
      <c r="X8" s="142"/>
      <c r="Y8" s="8" t="s">
        <v>20</v>
      </c>
      <c r="Z8" s="117" t="s">
        <v>21</v>
      </c>
      <c r="AA8" s="117" t="s">
        <v>22</v>
      </c>
      <c r="AB8" s="117" t="s">
        <v>23</v>
      </c>
      <c r="AC8" s="117"/>
      <c r="AD8" s="146" t="s">
        <v>290</v>
      </c>
      <c r="AE8" s="146" t="s">
        <v>25</v>
      </c>
      <c r="AF8" s="146" t="s">
        <v>26</v>
      </c>
      <c r="AG8" s="146" t="s">
        <v>291</v>
      </c>
      <c r="AH8" s="146"/>
      <c r="AI8" s="146" t="s">
        <v>27</v>
      </c>
      <c r="AJ8" s="146" t="s">
        <v>28</v>
      </c>
      <c r="AK8" s="146" t="s">
        <v>28</v>
      </c>
      <c r="AL8" s="117"/>
      <c r="AM8" s="117" t="s">
        <v>29</v>
      </c>
      <c r="AN8" s="117" t="s">
        <v>30</v>
      </c>
      <c r="AQ8" s="142"/>
      <c r="AR8" s="116" t="s">
        <v>347</v>
      </c>
      <c r="AS8" s="117" t="s">
        <v>288</v>
      </c>
      <c r="AT8" s="117" t="s">
        <v>289</v>
      </c>
      <c r="AU8" s="117" t="s">
        <v>23</v>
      </c>
      <c r="AV8" s="117"/>
      <c r="AW8" s="146" t="s">
        <v>290</v>
      </c>
      <c r="AX8" s="146" t="s">
        <v>25</v>
      </c>
      <c r="AY8" s="146" t="s">
        <v>26</v>
      </c>
      <c r="AZ8" s="146" t="s">
        <v>291</v>
      </c>
      <c r="BA8" s="146"/>
      <c r="BB8" s="146" t="s">
        <v>27</v>
      </c>
      <c r="BC8" s="146" t="s">
        <v>28</v>
      </c>
      <c r="BD8" s="146" t="s">
        <v>28</v>
      </c>
      <c r="BE8" s="117"/>
      <c r="BF8" s="117" t="s">
        <v>29</v>
      </c>
      <c r="BG8" s="117" t="s">
        <v>30</v>
      </c>
      <c r="BI8" s="157" t="s">
        <v>279</v>
      </c>
    </row>
    <row r="9" spans="1:60" ht="12.75">
      <c r="A9" s="142"/>
      <c r="B9" s="11"/>
      <c r="C9" s="115"/>
      <c r="D9" s="115"/>
      <c r="E9" s="115"/>
      <c r="F9" s="115"/>
      <c r="G9" s="115"/>
      <c r="H9" s="115"/>
      <c r="I9" s="115"/>
      <c r="J9" s="115"/>
      <c r="K9" s="115"/>
      <c r="L9" s="115"/>
      <c r="M9" s="115"/>
      <c r="N9" s="115"/>
      <c r="O9" s="115"/>
      <c r="P9" s="115"/>
      <c r="X9" s="142"/>
      <c r="Y9" s="11"/>
      <c r="Z9" s="115"/>
      <c r="AA9" s="115"/>
      <c r="AB9" s="115"/>
      <c r="AC9" s="115"/>
      <c r="AD9" s="115"/>
      <c r="AE9" s="115"/>
      <c r="AF9" s="115"/>
      <c r="AG9" s="115"/>
      <c r="AH9" s="115"/>
      <c r="AI9" s="115"/>
      <c r="AJ9" s="115"/>
      <c r="AK9" s="115"/>
      <c r="AL9" s="115"/>
      <c r="AM9" s="115"/>
      <c r="AQ9" s="142"/>
      <c r="AR9" s="11"/>
      <c r="AS9" s="115"/>
      <c r="AT9" s="115"/>
      <c r="AU9" s="115"/>
      <c r="AV9" s="115"/>
      <c r="AW9" s="115"/>
      <c r="AX9" s="115"/>
      <c r="AY9" s="115"/>
      <c r="AZ9" s="115"/>
      <c r="BA9" s="115"/>
      <c r="BB9" s="115"/>
      <c r="BC9" s="115"/>
      <c r="BD9" s="115"/>
      <c r="BE9" s="115"/>
      <c r="BF9" s="115"/>
      <c r="BH9" s="123" t="s">
        <v>249</v>
      </c>
    </row>
    <row r="10" spans="1:61" ht="12.75">
      <c r="A10" s="123" t="s">
        <v>32</v>
      </c>
      <c r="B10" s="11">
        <v>81313004</v>
      </c>
      <c r="C10" s="11"/>
      <c r="D10" s="11"/>
      <c r="E10" s="11">
        <f aca="true" t="shared" si="0" ref="E10:E41">B10-(C10+D10)</f>
        <v>81313004</v>
      </c>
      <c r="F10" s="11"/>
      <c r="G10" s="11">
        <v>35183491</v>
      </c>
      <c r="H10" s="11">
        <v>4302364</v>
      </c>
      <c r="I10" s="11">
        <v>0</v>
      </c>
      <c r="J10" s="11">
        <v>9232503</v>
      </c>
      <c r="K10" s="11">
        <v>665133</v>
      </c>
      <c r="L10" s="11">
        <v>0</v>
      </c>
      <c r="M10" s="11">
        <v>10729361</v>
      </c>
      <c r="N10" s="11">
        <f aca="true" t="shared" si="1" ref="N10:N41">SUM(G10:M10)</f>
        <v>60112852</v>
      </c>
      <c r="O10" s="11"/>
      <c r="P10" s="11">
        <v>870347</v>
      </c>
      <c r="Q10" s="11">
        <v>20329805</v>
      </c>
      <c r="S10" s="158">
        <f aca="true" t="shared" si="2" ref="S10:S41">+J10/N10</f>
        <v>0.15358617488320134</v>
      </c>
      <c r="T10" s="158">
        <f aca="true" t="shared" si="3" ref="T10:T41">+J10/B10</f>
        <v>0.11354276125378421</v>
      </c>
      <c r="X10" s="123" t="s">
        <v>32</v>
      </c>
      <c r="Y10" s="11">
        <v>81313004</v>
      </c>
      <c r="Z10" s="11">
        <v>10000000</v>
      </c>
      <c r="AA10" s="11">
        <v>8131300</v>
      </c>
      <c r="AB10" s="11">
        <f aca="true" t="shared" si="4" ref="AB10:AB41">Y10-(Z10+AA10)</f>
        <v>63181704</v>
      </c>
      <c r="AC10" s="11"/>
      <c r="AD10" s="11">
        <f>37911454-G10</f>
        <v>2727963</v>
      </c>
      <c r="AE10" s="11">
        <f>4360760-H10</f>
        <v>58396</v>
      </c>
      <c r="AF10" s="11"/>
      <c r="AG10" s="11">
        <f>9270655-J10</f>
        <v>38152</v>
      </c>
      <c r="AH10" s="11">
        <f>733429-K10</f>
        <v>68296</v>
      </c>
      <c r="AI10" s="11"/>
      <c r="AJ10" s="11">
        <f>10905406-M10</f>
        <v>176045</v>
      </c>
      <c r="AK10" s="11">
        <f aca="true" t="shared" si="5" ref="AK10:AK41">SUM(AD10:AJ10)</f>
        <v>3068852</v>
      </c>
      <c r="AL10" s="11"/>
      <c r="AM10" s="11"/>
      <c r="AN10" s="11"/>
      <c r="AQ10" s="123" t="s">
        <v>32</v>
      </c>
      <c r="AR10" s="11">
        <f aca="true" t="shared" si="6" ref="AR10:AR27">+AM10+AN10</f>
        <v>0</v>
      </c>
      <c r="AS10" s="11">
        <f>10000000-Z10</f>
        <v>0</v>
      </c>
      <c r="AT10" s="11">
        <f>8131300-AA10</f>
        <v>0</v>
      </c>
      <c r="AU10" s="11">
        <f aca="true" t="shared" si="7" ref="AU10:AU41">AR10-(AS10+AT10)</f>
        <v>0</v>
      </c>
      <c r="AV10" s="11"/>
      <c r="AW10" s="11">
        <f>37911454-(G10+AD10)</f>
        <v>0</v>
      </c>
      <c r="AX10" s="11">
        <f>4360760-(H10+AE10)</f>
        <v>0</v>
      </c>
      <c r="AY10" s="11">
        <v>0</v>
      </c>
      <c r="AZ10" s="11">
        <f>9270655-(J10+AG10)</f>
        <v>0</v>
      </c>
      <c r="BA10" s="11">
        <f>733429-(K10+AH10)</f>
        <v>0</v>
      </c>
      <c r="BB10" s="11">
        <v>0</v>
      </c>
      <c r="BC10" s="11">
        <f>10905406-(M10+AJ10)</f>
        <v>0</v>
      </c>
      <c r="BD10" s="11">
        <f aca="true" t="shared" si="8" ref="BD10:BD41">SUM(AW10:BC10)</f>
        <v>0</v>
      </c>
      <c r="BE10" s="11"/>
      <c r="BF10" s="11">
        <v>0</v>
      </c>
      <c r="BG10" s="11">
        <v>0</v>
      </c>
      <c r="BH10" s="123" t="s">
        <v>304</v>
      </c>
      <c r="BI10" s="159">
        <f aca="true" t="shared" si="9" ref="BI10:BI41">AU10-(BD10+BF10+BG10)</f>
        <v>0</v>
      </c>
    </row>
    <row r="11" spans="1:61" ht="12.75">
      <c r="A11" s="125" t="s">
        <v>33</v>
      </c>
      <c r="B11" s="14">
        <v>18759063</v>
      </c>
      <c r="C11" s="15"/>
      <c r="D11" s="15"/>
      <c r="E11" s="14">
        <f t="shared" si="0"/>
        <v>18759063</v>
      </c>
      <c r="F11" s="14"/>
      <c r="G11" s="14">
        <v>11027089</v>
      </c>
      <c r="H11" s="14">
        <v>1056756</v>
      </c>
      <c r="I11" s="14"/>
      <c r="J11" s="14">
        <v>213572</v>
      </c>
      <c r="K11" s="14">
        <v>369870</v>
      </c>
      <c r="L11" s="14"/>
      <c r="M11" s="14">
        <v>1228134</v>
      </c>
      <c r="N11" s="14">
        <f t="shared" si="1"/>
        <v>13895421</v>
      </c>
      <c r="O11" s="14"/>
      <c r="P11" s="14"/>
      <c r="Q11" s="14">
        <v>4863642</v>
      </c>
      <c r="S11" s="158">
        <f t="shared" si="2"/>
        <v>0.01536995532557092</v>
      </c>
      <c r="T11" s="158">
        <f t="shared" si="3"/>
        <v>0.011385003611321099</v>
      </c>
      <c r="X11" s="125" t="s">
        <v>33</v>
      </c>
      <c r="Y11" s="14">
        <v>18759063</v>
      </c>
      <c r="Z11" s="15"/>
      <c r="AA11" s="15"/>
      <c r="AB11" s="14">
        <f t="shared" si="4"/>
        <v>18759063</v>
      </c>
      <c r="AC11" s="14"/>
      <c r="AD11" s="14">
        <f>11027089-G11</f>
        <v>0</v>
      </c>
      <c r="AE11" s="14">
        <f>1085976-H11</f>
        <v>29220</v>
      </c>
      <c r="AF11" s="14"/>
      <c r="AG11" s="14">
        <f>213632-J11</f>
        <v>60</v>
      </c>
      <c r="AH11" s="14">
        <f>369870-K11</f>
        <v>0</v>
      </c>
      <c r="AI11" s="14"/>
      <c r="AJ11" s="14">
        <f>1228134-M11</f>
        <v>0</v>
      </c>
      <c r="AK11" s="11">
        <f t="shared" si="5"/>
        <v>29280</v>
      </c>
      <c r="AL11" s="14"/>
      <c r="AM11" s="14">
        <v>4834362</v>
      </c>
      <c r="AN11" s="14"/>
      <c r="AQ11" s="125" t="s">
        <v>33</v>
      </c>
      <c r="AR11" s="11">
        <f t="shared" si="6"/>
        <v>4834362</v>
      </c>
      <c r="AS11" s="17">
        <v>4834362</v>
      </c>
      <c r="AT11" s="15">
        <v>0</v>
      </c>
      <c r="AU11" s="14">
        <f t="shared" si="7"/>
        <v>0</v>
      </c>
      <c r="AV11" s="14"/>
      <c r="AW11" s="11">
        <f>11027089-(G11+AD11)</f>
        <v>0</v>
      </c>
      <c r="AX11" s="11">
        <f>1085976-(H11+AE11)</f>
        <v>0</v>
      </c>
      <c r="AY11" s="14"/>
      <c r="AZ11" s="11">
        <f>213632-(J11+AG11)</f>
        <v>0</v>
      </c>
      <c r="BA11" s="11">
        <f>369870-(K11+AH11)</f>
        <v>0</v>
      </c>
      <c r="BB11" s="14">
        <v>0</v>
      </c>
      <c r="BC11" s="11">
        <f>1228134-(M11+AJ11)</f>
        <v>0</v>
      </c>
      <c r="BD11" s="11">
        <f t="shared" si="8"/>
        <v>0</v>
      </c>
      <c r="BE11" s="14"/>
      <c r="BF11" s="14">
        <v>0</v>
      </c>
      <c r="BG11" s="14">
        <v>0</v>
      </c>
      <c r="BH11" s="123" t="s">
        <v>304</v>
      </c>
      <c r="BI11" s="159">
        <f t="shared" si="9"/>
        <v>0</v>
      </c>
    </row>
    <row r="12" spans="1:61" ht="12.75">
      <c r="A12" s="123" t="s">
        <v>34</v>
      </c>
      <c r="B12" s="11">
        <v>222419998</v>
      </c>
      <c r="C12" s="11"/>
      <c r="D12" s="11"/>
      <c r="E12" s="11">
        <f t="shared" si="0"/>
        <v>222419998</v>
      </c>
      <c r="F12" s="11"/>
      <c r="G12" s="11">
        <v>145656733</v>
      </c>
      <c r="H12" s="11">
        <v>0</v>
      </c>
      <c r="I12" s="11">
        <v>0</v>
      </c>
      <c r="J12" s="11">
        <v>12341817</v>
      </c>
      <c r="K12" s="11">
        <v>561836</v>
      </c>
      <c r="L12" s="11">
        <v>0</v>
      </c>
      <c r="M12" s="11">
        <v>30196321</v>
      </c>
      <c r="N12" s="11">
        <f t="shared" si="1"/>
        <v>188756707</v>
      </c>
      <c r="O12" s="11"/>
      <c r="P12" s="11">
        <v>3589275</v>
      </c>
      <c r="Q12" s="11">
        <v>30074016</v>
      </c>
      <c r="S12" s="158">
        <f t="shared" si="2"/>
        <v>0.06538478656549142</v>
      </c>
      <c r="T12" s="158">
        <f t="shared" si="3"/>
        <v>0.05548879197454178</v>
      </c>
      <c r="X12" s="123" t="s">
        <v>34</v>
      </c>
      <c r="Y12" s="11">
        <v>222419998</v>
      </c>
      <c r="Z12" s="11">
        <v>9342259</v>
      </c>
      <c r="AA12" s="11"/>
      <c r="AB12" s="11">
        <f t="shared" si="4"/>
        <v>213077739</v>
      </c>
      <c r="AC12" s="11"/>
      <c r="AD12" s="11">
        <f>153641683-G12</f>
        <v>7984950</v>
      </c>
      <c r="AE12" s="11">
        <f>4468311-H12</f>
        <v>4468311</v>
      </c>
      <c r="AF12" s="11"/>
      <c r="AG12" s="11">
        <f>12313217-J12</f>
        <v>-28600</v>
      </c>
      <c r="AH12" s="11">
        <f>655585-K12</f>
        <v>93749</v>
      </c>
      <c r="AI12" s="11"/>
      <c r="AJ12" s="11">
        <f>27371289-M12</f>
        <v>-2825032</v>
      </c>
      <c r="AK12" s="11">
        <f t="shared" si="5"/>
        <v>9693378</v>
      </c>
      <c r="AL12" s="11"/>
      <c r="AM12" s="11">
        <v>932416</v>
      </c>
      <c r="AN12" s="11">
        <v>13695238</v>
      </c>
      <c r="AQ12" s="123" t="s">
        <v>34</v>
      </c>
      <c r="AR12" s="11">
        <f t="shared" si="6"/>
        <v>14627654</v>
      </c>
      <c r="AS12" s="11">
        <f>12220532-Z12</f>
        <v>2878273</v>
      </c>
      <c r="AT12" s="11">
        <v>0</v>
      </c>
      <c r="AU12" s="11">
        <f t="shared" si="7"/>
        <v>11749381</v>
      </c>
      <c r="AV12" s="11"/>
      <c r="AW12" s="11">
        <v>-87160</v>
      </c>
      <c r="AX12" s="11">
        <v>-4021514</v>
      </c>
      <c r="AY12" s="11">
        <v>469010</v>
      </c>
      <c r="AZ12" s="11">
        <v>342</v>
      </c>
      <c r="BA12" s="11">
        <f>655927-655927</f>
        <v>0</v>
      </c>
      <c r="BB12" s="11">
        <v>334</v>
      </c>
      <c r="BC12" s="11">
        <f>27371623-27371623</f>
        <v>0</v>
      </c>
      <c r="BD12" s="11">
        <f t="shared" si="8"/>
        <v>-3638988</v>
      </c>
      <c r="BE12" s="11"/>
      <c r="BF12" s="11">
        <v>0</v>
      </c>
      <c r="BG12" s="11">
        <v>11367189</v>
      </c>
      <c r="BI12" s="159">
        <f t="shared" si="9"/>
        <v>4021180</v>
      </c>
    </row>
    <row r="13" spans="1:61" ht="12.75">
      <c r="A13" s="123" t="s">
        <v>35</v>
      </c>
      <c r="B13" s="11">
        <v>19936461</v>
      </c>
      <c r="C13" s="11"/>
      <c r="D13" s="11"/>
      <c r="E13" s="11">
        <f t="shared" si="0"/>
        <v>19936461</v>
      </c>
      <c r="F13" s="11"/>
      <c r="G13" s="11">
        <v>8724914</v>
      </c>
      <c r="H13" s="11">
        <v>1901346</v>
      </c>
      <c r="I13" s="11">
        <v>0</v>
      </c>
      <c r="J13" s="11">
        <v>551968</v>
      </c>
      <c r="K13" s="11">
        <v>232528</v>
      </c>
      <c r="L13" s="11">
        <v>0</v>
      </c>
      <c r="M13" s="11">
        <v>1258603</v>
      </c>
      <c r="N13" s="11">
        <f t="shared" si="1"/>
        <v>12669359</v>
      </c>
      <c r="O13" s="11"/>
      <c r="P13" s="11">
        <v>7267101</v>
      </c>
      <c r="Q13" s="11"/>
      <c r="S13" s="158">
        <f t="shared" si="2"/>
        <v>0.0435671607379663</v>
      </c>
      <c r="T13" s="158">
        <f t="shared" si="3"/>
        <v>0.027686358175605993</v>
      </c>
      <c r="X13" s="123" t="s">
        <v>35</v>
      </c>
      <c r="Y13" s="11">
        <v>19936461</v>
      </c>
      <c r="Z13" s="11"/>
      <c r="AA13" s="11"/>
      <c r="AB13" s="11">
        <f t="shared" si="4"/>
        <v>19936461</v>
      </c>
      <c r="AC13" s="11"/>
      <c r="AD13" s="11">
        <f>11747674-G13</f>
        <v>3022760</v>
      </c>
      <c r="AE13" s="11">
        <f>3929677-H13</f>
        <v>2028331</v>
      </c>
      <c r="AF13" s="11"/>
      <c r="AG13" s="11">
        <f>1101233-J13</f>
        <v>549265</v>
      </c>
      <c r="AH13" s="11">
        <f>483015-K13</f>
        <v>250487</v>
      </c>
      <c r="AI13" s="11"/>
      <c r="AJ13" s="11">
        <f>2674862-M13</f>
        <v>1416259</v>
      </c>
      <c r="AK13" s="11">
        <f t="shared" si="5"/>
        <v>7267102</v>
      </c>
      <c r="AL13" s="11"/>
      <c r="AM13" s="11"/>
      <c r="AN13" s="11"/>
      <c r="AQ13" s="123" t="s">
        <v>35</v>
      </c>
      <c r="AR13" s="11">
        <f t="shared" si="6"/>
        <v>0</v>
      </c>
      <c r="AS13" s="11">
        <v>0</v>
      </c>
      <c r="AT13" s="11">
        <v>0</v>
      </c>
      <c r="AU13" s="11">
        <f t="shared" si="7"/>
        <v>0</v>
      </c>
      <c r="AV13" s="11"/>
      <c r="AW13" s="11">
        <v>0</v>
      </c>
      <c r="AX13" s="11">
        <v>0</v>
      </c>
      <c r="AY13" s="11">
        <v>0</v>
      </c>
      <c r="AZ13" s="11">
        <v>0</v>
      </c>
      <c r="BA13" s="11">
        <v>0</v>
      </c>
      <c r="BB13" s="11">
        <v>0</v>
      </c>
      <c r="BC13" s="11">
        <v>0</v>
      </c>
      <c r="BD13" s="11">
        <f t="shared" si="8"/>
        <v>0</v>
      </c>
      <c r="BE13" s="11"/>
      <c r="BF13" s="11">
        <v>0</v>
      </c>
      <c r="BG13" s="11">
        <v>0</v>
      </c>
      <c r="BH13" s="123" t="s">
        <v>304</v>
      </c>
      <c r="BI13" s="159">
        <f t="shared" si="9"/>
        <v>0</v>
      </c>
    </row>
    <row r="14" spans="1:61" ht="12.75">
      <c r="A14" s="123" t="s">
        <v>94</v>
      </c>
      <c r="B14" s="11">
        <v>3147715829</v>
      </c>
      <c r="C14" s="11"/>
      <c r="D14" s="11"/>
      <c r="E14" s="11">
        <f t="shared" si="0"/>
        <v>3147715829</v>
      </c>
      <c r="F14" s="11"/>
      <c r="G14" s="11">
        <v>2074980903</v>
      </c>
      <c r="H14" s="11">
        <v>0</v>
      </c>
      <c r="I14" s="11">
        <v>0</v>
      </c>
      <c r="J14" s="11">
        <v>91007931</v>
      </c>
      <c r="K14" s="11">
        <v>20860071</v>
      </c>
      <c r="L14" s="11">
        <v>0</v>
      </c>
      <c r="M14" s="11">
        <v>198023708</v>
      </c>
      <c r="N14" s="11">
        <f t="shared" si="1"/>
        <v>2384872613</v>
      </c>
      <c r="O14" s="11"/>
      <c r="P14" s="11">
        <v>762843217</v>
      </c>
      <c r="Q14" s="11"/>
      <c r="S14" s="158">
        <f t="shared" si="2"/>
        <v>0.038160499853918194</v>
      </c>
      <c r="T14" s="158">
        <f t="shared" si="3"/>
        <v>0.028912372000528513</v>
      </c>
      <c r="X14" s="123" t="s">
        <v>94</v>
      </c>
      <c r="Y14" s="11">
        <v>3147715829</v>
      </c>
      <c r="Z14" s="11"/>
      <c r="AA14" s="11"/>
      <c r="AB14" s="11">
        <f t="shared" si="4"/>
        <v>3147715829</v>
      </c>
      <c r="AC14" s="11"/>
      <c r="AD14" s="11">
        <f>2122068744-G14</f>
        <v>47087841</v>
      </c>
      <c r="AE14" s="11"/>
      <c r="AF14" s="11"/>
      <c r="AG14" s="11">
        <f>91023917-J14</f>
        <v>15986</v>
      </c>
      <c r="AH14" s="11">
        <f>23632252-K14</f>
        <v>2772181</v>
      </c>
      <c r="AI14" s="11"/>
      <c r="AJ14" s="11">
        <f>220789233-M14</f>
        <v>22765525</v>
      </c>
      <c r="AK14" s="11">
        <f t="shared" si="5"/>
        <v>72641533</v>
      </c>
      <c r="AL14" s="11"/>
      <c r="AM14" s="11">
        <v>690201683</v>
      </c>
      <c r="AN14" s="11"/>
      <c r="AQ14" s="123" t="s">
        <v>94</v>
      </c>
      <c r="AR14" s="11">
        <f t="shared" si="6"/>
        <v>690201683</v>
      </c>
      <c r="AS14" s="11">
        <v>0</v>
      </c>
      <c r="AT14" s="11">
        <v>0</v>
      </c>
      <c r="AU14" s="11">
        <f t="shared" si="7"/>
        <v>690201683</v>
      </c>
      <c r="AV14" s="11"/>
      <c r="AW14" s="11">
        <v>348580</v>
      </c>
      <c r="AX14" s="11">
        <v>0</v>
      </c>
      <c r="AY14" s="11">
        <v>0</v>
      </c>
      <c r="AZ14" s="11">
        <f>91023917-91023917</f>
        <v>0</v>
      </c>
      <c r="BA14" s="11">
        <v>330340</v>
      </c>
      <c r="BB14" s="11">
        <v>0</v>
      </c>
      <c r="BC14" s="11">
        <v>18237</v>
      </c>
      <c r="BD14" s="11">
        <f t="shared" si="8"/>
        <v>697157</v>
      </c>
      <c r="BE14" s="11"/>
      <c r="BF14" s="11">
        <v>689504525</v>
      </c>
      <c r="BG14" s="11">
        <v>0</v>
      </c>
      <c r="BH14" s="123" t="s">
        <v>249</v>
      </c>
      <c r="BI14" s="159">
        <f t="shared" si="9"/>
        <v>1</v>
      </c>
    </row>
    <row r="15" spans="1:61" ht="12.75">
      <c r="A15" s="123" t="s">
        <v>95</v>
      </c>
      <c r="B15" s="11">
        <v>45627939</v>
      </c>
      <c r="C15" s="11"/>
      <c r="D15" s="11"/>
      <c r="E15" s="11">
        <f t="shared" si="0"/>
        <v>45627939</v>
      </c>
      <c r="F15" s="11"/>
      <c r="G15" s="11">
        <v>17306270</v>
      </c>
      <c r="H15" s="11">
        <v>253627</v>
      </c>
      <c r="I15" s="11">
        <v>0</v>
      </c>
      <c r="J15" s="11">
        <v>1194183</v>
      </c>
      <c r="K15" s="11">
        <v>469882</v>
      </c>
      <c r="L15" s="11">
        <v>0</v>
      </c>
      <c r="M15" s="11">
        <v>4703006</v>
      </c>
      <c r="N15" s="11">
        <f t="shared" si="1"/>
        <v>23926968</v>
      </c>
      <c r="O15" s="11"/>
      <c r="P15" s="11">
        <v>0</v>
      </c>
      <c r="Q15" s="11">
        <v>21700972</v>
      </c>
      <c r="S15" s="158">
        <f t="shared" si="2"/>
        <v>0.04990949960730503</v>
      </c>
      <c r="T15" s="158">
        <f t="shared" si="3"/>
        <v>0.026172188053464347</v>
      </c>
      <c r="X15" s="123" t="s">
        <v>95</v>
      </c>
      <c r="Y15" s="11">
        <v>45627939</v>
      </c>
      <c r="Z15" s="11"/>
      <c r="AA15" s="11"/>
      <c r="AB15" s="11">
        <f t="shared" si="4"/>
        <v>45627939</v>
      </c>
      <c r="AC15" s="11"/>
      <c r="AD15" s="11">
        <f>30070093-G15</f>
        <v>12763823</v>
      </c>
      <c r="AE15" s="11">
        <f>778086-H15</f>
        <v>524459</v>
      </c>
      <c r="AF15" s="11"/>
      <c r="AG15" s="11">
        <f>1440050-J15</f>
        <v>245867</v>
      </c>
      <c r="AH15" s="11">
        <f>1380148-K15</f>
        <v>910266</v>
      </c>
      <c r="AI15" s="11"/>
      <c r="AJ15" s="11">
        <f>11959563-M15</f>
        <v>7256557</v>
      </c>
      <c r="AK15" s="11">
        <f t="shared" si="5"/>
        <v>21700972</v>
      </c>
      <c r="AL15" s="11"/>
      <c r="AM15" s="11">
        <v>0</v>
      </c>
      <c r="AN15" s="11">
        <v>0</v>
      </c>
      <c r="AQ15" s="123" t="s">
        <v>95</v>
      </c>
      <c r="AR15" s="11">
        <f t="shared" si="6"/>
        <v>0</v>
      </c>
      <c r="AS15" s="11">
        <v>0</v>
      </c>
      <c r="AT15" s="11">
        <v>0</v>
      </c>
      <c r="AU15" s="11">
        <f t="shared" si="7"/>
        <v>0</v>
      </c>
      <c r="AV15" s="11"/>
      <c r="AW15" s="11">
        <v>0</v>
      </c>
      <c r="AX15" s="11">
        <v>0</v>
      </c>
      <c r="AY15" s="11">
        <v>0</v>
      </c>
      <c r="AZ15" s="11">
        <v>0</v>
      </c>
      <c r="BA15" s="11">
        <v>0</v>
      </c>
      <c r="BB15" s="11">
        <v>0</v>
      </c>
      <c r="BC15" s="11">
        <v>0</v>
      </c>
      <c r="BD15" s="11">
        <f t="shared" si="8"/>
        <v>0</v>
      </c>
      <c r="BE15" s="11"/>
      <c r="BF15" s="11">
        <v>0</v>
      </c>
      <c r="BG15" s="11">
        <v>0</v>
      </c>
      <c r="BH15" s="123"/>
      <c r="BI15" s="159">
        <f t="shared" si="9"/>
        <v>0</v>
      </c>
    </row>
    <row r="16" spans="1:61" ht="12.75">
      <c r="A16" s="123" t="s">
        <v>38</v>
      </c>
      <c r="B16" s="11">
        <v>266788107</v>
      </c>
      <c r="C16" s="11"/>
      <c r="D16" s="11">
        <v>5966288</v>
      </c>
      <c r="E16" s="11">
        <f t="shared" si="0"/>
        <v>260821819</v>
      </c>
      <c r="F16" s="11"/>
      <c r="G16" s="11">
        <v>219926488</v>
      </c>
      <c r="H16" s="11">
        <v>0</v>
      </c>
      <c r="I16" s="11">
        <v>0</v>
      </c>
      <c r="J16" s="11">
        <v>19605760</v>
      </c>
      <c r="K16" s="11">
        <v>0</v>
      </c>
      <c r="L16" s="11">
        <v>0</v>
      </c>
      <c r="M16" s="11">
        <v>-7759652</v>
      </c>
      <c r="N16" s="11">
        <f t="shared" si="1"/>
        <v>231772596</v>
      </c>
      <c r="O16" s="11"/>
      <c r="P16" s="11"/>
      <c r="Q16" s="11">
        <v>29049223</v>
      </c>
      <c r="S16" s="158">
        <f t="shared" si="2"/>
        <v>0.08459050094084462</v>
      </c>
      <c r="T16" s="158">
        <f t="shared" si="3"/>
        <v>0.07348813341218392</v>
      </c>
      <c r="X16" s="123" t="s">
        <v>38</v>
      </c>
      <c r="Y16" s="11">
        <v>266788107</v>
      </c>
      <c r="Z16" s="11"/>
      <c r="AA16" s="11">
        <v>5966288</v>
      </c>
      <c r="AB16" s="11">
        <f t="shared" si="4"/>
        <v>260821819</v>
      </c>
      <c r="AC16" s="11"/>
      <c r="AD16" s="11">
        <f>251009041-G16</f>
        <v>31082553</v>
      </c>
      <c r="AE16" s="11"/>
      <c r="AF16" s="11"/>
      <c r="AG16" s="11">
        <f>9812778-J16</f>
        <v>-9792982</v>
      </c>
      <c r="AH16" s="11"/>
      <c r="AI16" s="11"/>
      <c r="AJ16" s="11"/>
      <c r="AK16" s="11">
        <f t="shared" si="5"/>
        <v>21289571</v>
      </c>
      <c r="AL16" s="11"/>
      <c r="AM16" s="11"/>
      <c r="AN16" s="11"/>
      <c r="AQ16" s="123" t="s">
        <v>38</v>
      </c>
      <c r="AR16" s="11">
        <f t="shared" si="6"/>
        <v>0</v>
      </c>
      <c r="AS16" s="11"/>
      <c r="AT16" s="11">
        <f>5966288-AA16</f>
        <v>0</v>
      </c>
      <c r="AU16" s="11">
        <f t="shared" si="7"/>
        <v>0</v>
      </c>
      <c r="AV16" s="11"/>
      <c r="AW16" s="11">
        <f>251009041-(G16+AD16)</f>
        <v>0</v>
      </c>
      <c r="AX16" s="11">
        <v>0</v>
      </c>
      <c r="AY16" s="11">
        <v>0</v>
      </c>
      <c r="AZ16" s="11">
        <v>0</v>
      </c>
      <c r="BA16" s="11">
        <v>0</v>
      </c>
      <c r="BB16" s="11">
        <v>0</v>
      </c>
      <c r="BC16" s="11">
        <v>0</v>
      </c>
      <c r="BD16" s="11">
        <f t="shared" si="8"/>
        <v>0</v>
      </c>
      <c r="BE16" s="11"/>
      <c r="BF16" s="11">
        <v>0</v>
      </c>
      <c r="BG16" s="11">
        <v>0</v>
      </c>
      <c r="BH16" s="123" t="s">
        <v>304</v>
      </c>
      <c r="BI16" s="159">
        <f t="shared" si="9"/>
        <v>0</v>
      </c>
    </row>
    <row r="17" spans="1:61" ht="12.75">
      <c r="A17" s="123" t="s">
        <v>39</v>
      </c>
      <c r="B17" s="11">
        <v>14564516</v>
      </c>
      <c r="C17" s="11"/>
      <c r="D17" s="11"/>
      <c r="E17" s="11">
        <f t="shared" si="0"/>
        <v>14564516</v>
      </c>
      <c r="F17" s="11"/>
      <c r="G17" s="11">
        <v>7480507</v>
      </c>
      <c r="H17" s="11">
        <v>4616223</v>
      </c>
      <c r="I17" s="11">
        <v>0</v>
      </c>
      <c r="J17" s="11">
        <v>984966</v>
      </c>
      <c r="K17" s="11">
        <v>1765526</v>
      </c>
      <c r="L17" s="11"/>
      <c r="M17" s="11">
        <v>0</v>
      </c>
      <c r="N17" s="11">
        <f t="shared" si="1"/>
        <v>14847222</v>
      </c>
      <c r="O17" s="11"/>
      <c r="P17" s="11">
        <v>-282706</v>
      </c>
      <c r="Q17" s="11"/>
      <c r="S17" s="158">
        <f t="shared" si="2"/>
        <v>0.06634008705466922</v>
      </c>
      <c r="T17" s="158">
        <f t="shared" si="3"/>
        <v>0.06762778797455404</v>
      </c>
      <c r="X17" s="123" t="s">
        <v>39</v>
      </c>
      <c r="Y17" s="11">
        <v>14564516</v>
      </c>
      <c r="Z17" s="11"/>
      <c r="AA17" s="11"/>
      <c r="AB17" s="11">
        <f t="shared" si="4"/>
        <v>14564516</v>
      </c>
      <c r="AC17" s="11"/>
      <c r="AD17" s="11">
        <f>7651221-G17</f>
        <v>170714</v>
      </c>
      <c r="AE17" s="11">
        <f>5555104-H17</f>
        <v>938881</v>
      </c>
      <c r="AF17" s="11"/>
      <c r="AG17" s="11">
        <f>1200917-J17</f>
        <v>215951</v>
      </c>
      <c r="AH17" s="11">
        <f>2126592-K17</f>
        <v>361066</v>
      </c>
      <c r="AI17" s="11"/>
      <c r="AJ17" s="11"/>
      <c r="AK17" s="11">
        <f t="shared" si="5"/>
        <v>1686612</v>
      </c>
      <c r="AL17" s="11"/>
      <c r="AM17" s="11"/>
      <c r="AN17" s="11"/>
      <c r="AQ17" s="123" t="s">
        <v>39</v>
      </c>
      <c r="AR17" s="11">
        <f t="shared" si="6"/>
        <v>0</v>
      </c>
      <c r="AS17" s="11">
        <v>0</v>
      </c>
      <c r="AT17" s="11">
        <v>0</v>
      </c>
      <c r="AU17" s="11">
        <f t="shared" si="7"/>
        <v>0</v>
      </c>
      <c r="AV17" s="11"/>
      <c r="AW17" s="11">
        <f>7651221-(G17+AD17)</f>
        <v>0</v>
      </c>
      <c r="AX17" s="11">
        <v>-2883</v>
      </c>
      <c r="AY17" s="11">
        <v>0</v>
      </c>
      <c r="AZ17" s="11">
        <f>1200917-(J17+AG17)</f>
        <v>0</v>
      </c>
      <c r="BA17" s="11">
        <f>2126592-(K17+AH17)</f>
        <v>0</v>
      </c>
      <c r="BB17" s="11">
        <v>0</v>
      </c>
      <c r="BC17" s="11">
        <v>0</v>
      </c>
      <c r="BD17" s="11">
        <f t="shared" si="8"/>
        <v>-2883</v>
      </c>
      <c r="BE17" s="11"/>
      <c r="BF17" s="11">
        <v>0</v>
      </c>
      <c r="BG17" s="11">
        <v>0</v>
      </c>
      <c r="BH17" s="123" t="s">
        <v>304</v>
      </c>
      <c r="BI17" s="159">
        <f t="shared" si="9"/>
        <v>2883</v>
      </c>
    </row>
    <row r="18" spans="1:61" ht="12.75">
      <c r="A18" s="123" t="s">
        <v>40</v>
      </c>
      <c r="B18" s="11">
        <v>61048692</v>
      </c>
      <c r="C18" s="11"/>
      <c r="D18" s="11"/>
      <c r="E18" s="11">
        <f t="shared" si="0"/>
        <v>61048692</v>
      </c>
      <c r="F18" s="11"/>
      <c r="G18" s="11">
        <v>29342949</v>
      </c>
      <c r="H18" s="11">
        <v>2228783</v>
      </c>
      <c r="I18" s="11">
        <v>0</v>
      </c>
      <c r="J18" s="11">
        <v>3463793</v>
      </c>
      <c r="K18" s="11">
        <v>389459</v>
      </c>
      <c r="L18" s="11">
        <v>0</v>
      </c>
      <c r="M18" s="11">
        <v>0</v>
      </c>
      <c r="N18" s="11">
        <f t="shared" si="1"/>
        <v>35424984</v>
      </c>
      <c r="O18" s="11"/>
      <c r="P18" s="11">
        <v>417215</v>
      </c>
      <c r="Q18" s="11">
        <v>25206493</v>
      </c>
      <c r="S18" s="158">
        <f t="shared" si="2"/>
        <v>0.09777825164296475</v>
      </c>
      <c r="T18" s="158">
        <f t="shared" si="3"/>
        <v>0.05673820169644257</v>
      </c>
      <c r="X18" s="123" t="s">
        <v>40</v>
      </c>
      <c r="Y18" s="11">
        <v>61048692</v>
      </c>
      <c r="Z18" s="11"/>
      <c r="AA18" s="11"/>
      <c r="AB18" s="11">
        <f t="shared" si="4"/>
        <v>61048692</v>
      </c>
      <c r="AC18" s="11"/>
      <c r="AD18" s="11">
        <f>29279112-G18</f>
        <v>-63837</v>
      </c>
      <c r="AE18" s="11">
        <f>3794254-H18</f>
        <v>1565471</v>
      </c>
      <c r="AF18" s="11">
        <f>5000000-I18</f>
        <v>5000000</v>
      </c>
      <c r="AG18" s="11">
        <f>3463793-J18</f>
        <v>0</v>
      </c>
      <c r="AH18" s="11">
        <f>389459-K18</f>
        <v>0</v>
      </c>
      <c r="AI18" s="11"/>
      <c r="AJ18" s="11">
        <f>7278021-M18</f>
        <v>7278021</v>
      </c>
      <c r="AK18" s="11">
        <f t="shared" si="5"/>
        <v>13779655</v>
      </c>
      <c r="AL18" s="11"/>
      <c r="AM18" s="11">
        <v>1123164</v>
      </c>
      <c r="AN18" s="11">
        <v>10720889</v>
      </c>
      <c r="AQ18" s="123" t="s">
        <v>40</v>
      </c>
      <c r="AR18" s="11">
        <f t="shared" si="6"/>
        <v>11844053</v>
      </c>
      <c r="AS18" s="11">
        <v>0</v>
      </c>
      <c r="AT18" s="11">
        <v>0</v>
      </c>
      <c r="AU18" s="11">
        <f t="shared" si="7"/>
        <v>11844053</v>
      </c>
      <c r="AV18" s="11"/>
      <c r="AW18" s="11">
        <f>-276687+6387000</f>
        <v>6110313</v>
      </c>
      <c r="AX18" s="11">
        <v>5158352</v>
      </c>
      <c r="AY18" s="11">
        <f>5000000-5000000</f>
        <v>0</v>
      </c>
      <c r="AZ18" s="11">
        <v>267307</v>
      </c>
      <c r="BA18" s="11">
        <f>389459-389459</f>
        <v>0</v>
      </c>
      <c r="BB18" s="11">
        <v>0</v>
      </c>
      <c r="BC18" s="11">
        <v>200000</v>
      </c>
      <c r="BD18" s="11">
        <f t="shared" si="8"/>
        <v>11735972</v>
      </c>
      <c r="BE18" s="11"/>
      <c r="BF18" s="11">
        <v>99081</v>
      </c>
      <c r="BG18" s="11">
        <v>0</v>
      </c>
      <c r="BI18" s="159">
        <f t="shared" si="9"/>
        <v>9000</v>
      </c>
    </row>
    <row r="19" spans="1:61" ht="12.75">
      <c r="A19" s="123" t="s">
        <v>96</v>
      </c>
      <c r="B19" s="11">
        <v>562340120</v>
      </c>
      <c r="C19" s="11"/>
      <c r="D19" s="11"/>
      <c r="E19" s="11">
        <f t="shared" si="0"/>
        <v>562340120</v>
      </c>
      <c r="F19" s="11"/>
      <c r="G19" s="11">
        <v>258310420</v>
      </c>
      <c r="H19" s="11">
        <v>30631574</v>
      </c>
      <c r="I19" s="11">
        <v>0</v>
      </c>
      <c r="J19" s="11">
        <v>16019945</v>
      </c>
      <c r="K19" s="11">
        <v>0</v>
      </c>
      <c r="L19" s="11">
        <v>76035</v>
      </c>
      <c r="M19" s="11">
        <v>50472137</v>
      </c>
      <c r="N19" s="11">
        <f t="shared" si="1"/>
        <v>355510111</v>
      </c>
      <c r="O19" s="11"/>
      <c r="P19" s="11"/>
      <c r="Q19" s="11">
        <v>206830009</v>
      </c>
      <c r="S19" s="158">
        <f t="shared" si="2"/>
        <v>0.045061854794897806</v>
      </c>
      <c r="T19" s="158">
        <f t="shared" si="3"/>
        <v>0.028487999397944434</v>
      </c>
      <c r="X19" s="123" t="s">
        <v>96</v>
      </c>
      <c r="Y19" s="11">
        <v>562340120</v>
      </c>
      <c r="Z19" s="11"/>
      <c r="AA19" s="11"/>
      <c r="AB19" s="11">
        <f t="shared" si="4"/>
        <v>562340120</v>
      </c>
      <c r="AC19" s="11"/>
      <c r="AD19" s="11">
        <f>257863530-G19</f>
        <v>-446890</v>
      </c>
      <c r="AE19" s="11">
        <f>112320598-H19</f>
        <v>81689024</v>
      </c>
      <c r="AF19" s="11"/>
      <c r="AG19" s="11">
        <f>25576316-J19</f>
        <v>9556371</v>
      </c>
      <c r="AH19" s="11">
        <f>8153770-K19</f>
        <v>8153770</v>
      </c>
      <c r="AI19" s="11">
        <f>5464678-L19</f>
        <v>5388643</v>
      </c>
      <c r="AJ19" s="11">
        <f>61632819-M19</f>
        <v>11160682</v>
      </c>
      <c r="AK19" s="11">
        <f t="shared" si="5"/>
        <v>115501600</v>
      </c>
      <c r="AL19" s="11"/>
      <c r="AM19" s="11">
        <v>91328409</v>
      </c>
      <c r="AN19" s="11"/>
      <c r="AQ19" s="123" t="s">
        <v>96</v>
      </c>
      <c r="AR19" s="11">
        <f t="shared" si="6"/>
        <v>91328409</v>
      </c>
      <c r="AS19" s="11">
        <v>0</v>
      </c>
      <c r="AT19" s="11">
        <v>31540910</v>
      </c>
      <c r="AU19" s="11">
        <f t="shared" si="7"/>
        <v>59787499</v>
      </c>
      <c r="AV19" s="11"/>
      <c r="AW19" s="11">
        <v>24557565</v>
      </c>
      <c r="AX19" s="11">
        <f>20815681+36731418</f>
        <v>57547099</v>
      </c>
      <c r="AY19" s="11">
        <v>0</v>
      </c>
      <c r="AZ19" s="11">
        <f>2848359+2532014</f>
        <v>5380373</v>
      </c>
      <c r="BA19" s="11">
        <f>746434+957949</f>
        <v>1704383</v>
      </c>
      <c r="BB19" s="11">
        <f>9193175-5464678</f>
        <v>3728497</v>
      </c>
      <c r="BC19" s="11">
        <f>2902983-36033401</f>
        <v>-33130418</v>
      </c>
      <c r="BD19" s="11">
        <f t="shared" si="8"/>
        <v>59787499</v>
      </c>
      <c r="BE19" s="11"/>
      <c r="BF19" s="11">
        <v>0</v>
      </c>
      <c r="BG19" s="11">
        <v>0</v>
      </c>
      <c r="BH19" s="123" t="s">
        <v>304</v>
      </c>
      <c r="BI19" s="159">
        <f t="shared" si="9"/>
        <v>0</v>
      </c>
    </row>
    <row r="20" spans="1:61" ht="12.75">
      <c r="A20" s="123" t="s">
        <v>42</v>
      </c>
      <c r="B20" s="11">
        <v>254339628</v>
      </c>
      <c r="C20" s="11"/>
      <c r="D20" s="11"/>
      <c r="E20" s="11">
        <f t="shared" si="0"/>
        <v>254339628</v>
      </c>
      <c r="F20" s="11"/>
      <c r="G20" s="11">
        <v>155056121</v>
      </c>
      <c r="H20" s="11">
        <v>10020561</v>
      </c>
      <c r="I20" s="11"/>
      <c r="J20" s="11">
        <v>10560633</v>
      </c>
      <c r="K20" s="11">
        <v>2173359</v>
      </c>
      <c r="L20" s="11"/>
      <c r="M20" s="11">
        <v>25750587</v>
      </c>
      <c r="N20" s="11">
        <f t="shared" si="1"/>
        <v>203561261</v>
      </c>
      <c r="O20" s="11"/>
      <c r="P20" s="11">
        <v>8717305</v>
      </c>
      <c r="Q20" s="11">
        <v>42061062</v>
      </c>
      <c r="S20" s="158">
        <f t="shared" si="2"/>
        <v>0.05187938485014592</v>
      </c>
      <c r="T20" s="158">
        <f t="shared" si="3"/>
        <v>0.04152177575725636</v>
      </c>
      <c r="X20" s="123" t="s">
        <v>42</v>
      </c>
      <c r="Y20" s="11">
        <v>254339628</v>
      </c>
      <c r="Z20" s="11">
        <v>9000000</v>
      </c>
      <c r="AA20" s="11">
        <v>9000000</v>
      </c>
      <c r="AB20" s="11">
        <f t="shared" si="4"/>
        <v>236339628</v>
      </c>
      <c r="AC20" s="11"/>
      <c r="AD20" s="11">
        <f>168693487-G20</f>
        <v>13637366</v>
      </c>
      <c r="AE20" s="11">
        <f>15116266-H20</f>
        <v>5095705</v>
      </c>
      <c r="AF20" s="11">
        <f>7000000-I20</f>
        <v>7000000</v>
      </c>
      <c r="AG20" s="11">
        <f>10586861-J20</f>
        <v>26228</v>
      </c>
      <c r="AH20" s="11">
        <f>4369375-K20</f>
        <v>2196016</v>
      </c>
      <c r="AI20" s="11"/>
      <c r="AJ20" s="11">
        <f>28667779-M20</f>
        <v>2917192</v>
      </c>
      <c r="AK20" s="11">
        <f t="shared" si="5"/>
        <v>30872507</v>
      </c>
      <c r="AL20" s="11"/>
      <c r="AM20" s="11">
        <v>1905860</v>
      </c>
      <c r="AN20" s="11"/>
      <c r="AQ20" s="123" t="s">
        <v>42</v>
      </c>
      <c r="AR20" s="11">
        <f t="shared" si="6"/>
        <v>1905860</v>
      </c>
      <c r="AS20" s="11">
        <f>9000000-Z20</f>
        <v>0</v>
      </c>
      <c r="AT20" s="11">
        <f>9000000-AA20</f>
        <v>0</v>
      </c>
      <c r="AU20" s="11">
        <f t="shared" si="7"/>
        <v>1905860</v>
      </c>
      <c r="AV20" s="11"/>
      <c r="AW20" s="11">
        <f>2+333429</f>
        <v>333431</v>
      </c>
      <c r="AX20" s="11">
        <f>245155-5614</f>
        <v>239541</v>
      </c>
      <c r="AY20" s="11">
        <f>7000000-7000000</f>
        <v>0</v>
      </c>
      <c r="AZ20" s="11">
        <f>-16</f>
        <v>-16</v>
      </c>
      <c r="BA20" s="11">
        <f>76756+473575</f>
        <v>550331</v>
      </c>
      <c r="BB20" s="11">
        <v>0</v>
      </c>
      <c r="BC20" s="11">
        <f>53801+79789</f>
        <v>133590</v>
      </c>
      <c r="BD20" s="11">
        <f t="shared" si="8"/>
        <v>1256877</v>
      </c>
      <c r="BE20" s="11"/>
      <c r="BF20" s="11">
        <v>648983</v>
      </c>
      <c r="BG20" s="11">
        <v>0</v>
      </c>
      <c r="BI20" s="159">
        <f t="shared" si="9"/>
        <v>0</v>
      </c>
    </row>
    <row r="21" spans="1:61" ht="12.75">
      <c r="A21" s="123" t="s">
        <v>43</v>
      </c>
      <c r="B21" s="11">
        <v>28631202</v>
      </c>
      <c r="C21" s="11"/>
      <c r="D21" s="11"/>
      <c r="E21" s="11">
        <f t="shared" si="0"/>
        <v>28631202</v>
      </c>
      <c r="F21" s="11"/>
      <c r="G21" s="11">
        <v>21477672</v>
      </c>
      <c r="H21" s="11">
        <v>1187566</v>
      </c>
      <c r="I21" s="11">
        <v>0</v>
      </c>
      <c r="J21" s="11">
        <v>1623894</v>
      </c>
      <c r="K21" s="11">
        <v>917869</v>
      </c>
      <c r="L21" s="11">
        <v>0</v>
      </c>
      <c r="M21" s="11">
        <v>0</v>
      </c>
      <c r="N21" s="11">
        <f t="shared" si="1"/>
        <v>25207001</v>
      </c>
      <c r="O21" s="11"/>
      <c r="P21" s="11">
        <v>889289</v>
      </c>
      <c r="Q21" s="11">
        <v>2419269</v>
      </c>
      <c r="S21" s="158">
        <f t="shared" si="2"/>
        <v>0.06442234044422818</v>
      </c>
      <c r="T21" s="158">
        <f t="shared" si="3"/>
        <v>0.0567176327420693</v>
      </c>
      <c r="X21" s="123" t="s">
        <v>43</v>
      </c>
      <c r="Y21" s="11">
        <v>28631202</v>
      </c>
      <c r="Z21" s="11"/>
      <c r="AA21" s="11">
        <v>1000000</v>
      </c>
      <c r="AB21" s="11">
        <f t="shared" si="4"/>
        <v>27631202</v>
      </c>
      <c r="AC21" s="11"/>
      <c r="AD21" s="11">
        <f>21477672-G21</f>
        <v>0</v>
      </c>
      <c r="AE21" s="11">
        <f>1831201-H21</f>
        <v>643635</v>
      </c>
      <c r="AF21" s="11"/>
      <c r="AG21" s="11">
        <f>1821190-J21</f>
        <v>197296</v>
      </c>
      <c r="AH21" s="11">
        <f>917869-K21</f>
        <v>0</v>
      </c>
      <c r="AI21" s="11"/>
      <c r="AJ21" s="11"/>
      <c r="AK21" s="11">
        <f t="shared" si="5"/>
        <v>840931</v>
      </c>
      <c r="AL21" s="11"/>
      <c r="AM21" s="11">
        <v>711838</v>
      </c>
      <c r="AN21" s="11">
        <v>841432</v>
      </c>
      <c r="AQ21" s="123" t="s">
        <v>43</v>
      </c>
      <c r="AR21" s="11">
        <f t="shared" si="6"/>
        <v>1553270</v>
      </c>
      <c r="AS21" s="11">
        <f>841432-Z21</f>
        <v>841432</v>
      </c>
      <c r="AT21" s="11">
        <f>1000000-AA21</f>
        <v>0</v>
      </c>
      <c r="AU21" s="11">
        <f t="shared" si="7"/>
        <v>711838</v>
      </c>
      <c r="AV21" s="11"/>
      <c r="AW21" s="11">
        <f>21477672-21477672</f>
        <v>0</v>
      </c>
      <c r="AX21" s="11">
        <f>30000</f>
        <v>30000</v>
      </c>
      <c r="AY21" s="11">
        <v>0</v>
      </c>
      <c r="AZ21" s="11">
        <v>0</v>
      </c>
      <c r="BA21" s="11">
        <v>374085</v>
      </c>
      <c r="BB21" s="11">
        <v>0</v>
      </c>
      <c r="BC21" s="11">
        <v>0</v>
      </c>
      <c r="BD21" s="11">
        <f t="shared" si="8"/>
        <v>404085</v>
      </c>
      <c r="BE21" s="11"/>
      <c r="BF21" s="11">
        <v>11497</v>
      </c>
      <c r="BG21" s="11">
        <v>253574</v>
      </c>
      <c r="BI21" s="159">
        <f t="shared" si="9"/>
        <v>42682</v>
      </c>
    </row>
    <row r="22" spans="1:61" ht="12.75">
      <c r="A22" s="123" t="s">
        <v>97</v>
      </c>
      <c r="B22" s="11">
        <v>10600557</v>
      </c>
      <c r="C22" s="11"/>
      <c r="D22" s="11"/>
      <c r="E22" s="11">
        <f t="shared" si="0"/>
        <v>10600557</v>
      </c>
      <c r="F22" s="11"/>
      <c r="G22" s="11">
        <v>390525</v>
      </c>
      <c r="H22" s="11">
        <v>10387</v>
      </c>
      <c r="I22" s="11">
        <v>0</v>
      </c>
      <c r="J22" s="11">
        <v>288584</v>
      </c>
      <c r="K22" s="11">
        <v>37285</v>
      </c>
      <c r="L22" s="11">
        <v>0</v>
      </c>
      <c r="M22" s="11">
        <v>1678293</v>
      </c>
      <c r="N22" s="11">
        <f t="shared" si="1"/>
        <v>2405074</v>
      </c>
      <c r="O22" s="11"/>
      <c r="P22" s="11">
        <v>0</v>
      </c>
      <c r="Q22" s="11">
        <v>9670135</v>
      </c>
      <c r="S22" s="158">
        <f t="shared" si="2"/>
        <v>0.1199896552039563</v>
      </c>
      <c r="T22" s="158">
        <f t="shared" si="3"/>
        <v>0.027223475143806124</v>
      </c>
      <c r="X22" s="123" t="s">
        <v>97</v>
      </c>
      <c r="Y22" s="11">
        <v>10600557</v>
      </c>
      <c r="Z22" s="11"/>
      <c r="AA22" s="11"/>
      <c r="AB22" s="11">
        <f t="shared" si="4"/>
        <v>10600557</v>
      </c>
      <c r="AC22" s="11"/>
      <c r="AD22" s="11">
        <f>412200-G22</f>
        <v>21675</v>
      </c>
      <c r="AE22" s="11">
        <f>43195-H22</f>
        <v>32808</v>
      </c>
      <c r="AF22" s="11"/>
      <c r="AG22" s="11">
        <f>1408128-J22</f>
        <v>1119544</v>
      </c>
      <c r="AH22" s="11">
        <f>163098-K22</f>
        <v>125813</v>
      </c>
      <c r="AI22" s="11"/>
      <c r="AJ22" s="11">
        <f>6987607-M22</f>
        <v>5309314</v>
      </c>
      <c r="AK22" s="11">
        <f t="shared" si="5"/>
        <v>6609154</v>
      </c>
      <c r="AL22" s="11"/>
      <c r="AM22" s="11">
        <v>0</v>
      </c>
      <c r="AN22" s="11">
        <v>1586329</v>
      </c>
      <c r="AQ22" s="123" t="s">
        <v>276</v>
      </c>
      <c r="AR22" s="11">
        <f t="shared" si="6"/>
        <v>1586329</v>
      </c>
      <c r="AS22" s="11">
        <v>0</v>
      </c>
      <c r="AT22" s="11"/>
      <c r="AU22" s="11">
        <f t="shared" si="7"/>
        <v>1586329</v>
      </c>
      <c r="AV22" s="11"/>
      <c r="AW22" s="11">
        <v>0</v>
      </c>
      <c r="AX22" s="11">
        <v>0</v>
      </c>
      <c r="AY22" s="11">
        <v>0</v>
      </c>
      <c r="AZ22" s="11">
        <v>0</v>
      </c>
      <c r="BA22" s="11">
        <v>0</v>
      </c>
      <c r="BB22" s="11">
        <v>0</v>
      </c>
      <c r="BC22" s="11">
        <v>0</v>
      </c>
      <c r="BD22" s="11">
        <f t="shared" si="8"/>
        <v>0</v>
      </c>
      <c r="BE22" s="11"/>
      <c r="BF22" s="11">
        <f>AM22</f>
        <v>0</v>
      </c>
      <c r="BG22" s="11">
        <f>AN22</f>
        <v>1586329</v>
      </c>
      <c r="BI22" s="159">
        <f t="shared" si="9"/>
        <v>0</v>
      </c>
    </row>
    <row r="23" spans="1:61" ht="12.75">
      <c r="A23" s="124" t="s">
        <v>45</v>
      </c>
      <c r="B23" s="14">
        <v>134004829</v>
      </c>
      <c r="C23" s="15"/>
      <c r="D23" s="15"/>
      <c r="E23" s="14">
        <f t="shared" si="0"/>
        <v>134004829</v>
      </c>
      <c r="F23" s="17"/>
      <c r="G23" s="17">
        <v>122077008</v>
      </c>
      <c r="H23" s="17">
        <v>208411</v>
      </c>
      <c r="I23" s="17">
        <v>0</v>
      </c>
      <c r="J23" s="17">
        <v>11505755</v>
      </c>
      <c r="K23" s="17">
        <v>213655</v>
      </c>
      <c r="L23" s="17">
        <v>0</v>
      </c>
      <c r="M23" s="17">
        <v>0</v>
      </c>
      <c r="N23" s="17">
        <f t="shared" si="1"/>
        <v>134004829</v>
      </c>
      <c r="O23" s="17"/>
      <c r="P23" s="17">
        <v>0</v>
      </c>
      <c r="Q23" s="17">
        <v>0</v>
      </c>
      <c r="S23" s="158">
        <f t="shared" si="2"/>
        <v>0.08586074909285545</v>
      </c>
      <c r="T23" s="158">
        <f t="shared" si="3"/>
        <v>0.08586074909285545</v>
      </c>
      <c r="X23" s="124" t="s">
        <v>45</v>
      </c>
      <c r="Y23" s="14">
        <v>134004829</v>
      </c>
      <c r="Z23" s="15"/>
      <c r="AA23" s="15"/>
      <c r="AB23" s="14">
        <f t="shared" si="4"/>
        <v>134004829</v>
      </c>
      <c r="AC23" s="17"/>
      <c r="AD23" s="17"/>
      <c r="AE23" s="17"/>
      <c r="AF23" s="17"/>
      <c r="AG23" s="17"/>
      <c r="AH23" s="17"/>
      <c r="AI23" s="17"/>
      <c r="AJ23" s="17"/>
      <c r="AK23" s="17">
        <f t="shared" si="5"/>
        <v>0</v>
      </c>
      <c r="AL23" s="17"/>
      <c r="AM23" s="17">
        <v>0</v>
      </c>
      <c r="AN23" s="17">
        <v>0</v>
      </c>
      <c r="AQ23" s="124" t="s">
        <v>45</v>
      </c>
      <c r="AR23" s="11">
        <f t="shared" si="6"/>
        <v>0</v>
      </c>
      <c r="AS23" s="15">
        <v>0</v>
      </c>
      <c r="AT23" s="15"/>
      <c r="AU23" s="14">
        <f t="shared" si="7"/>
        <v>0</v>
      </c>
      <c r="AV23" s="17"/>
      <c r="AW23" s="17">
        <v>0</v>
      </c>
      <c r="AX23" s="17">
        <v>0</v>
      </c>
      <c r="AY23" s="17">
        <v>0</v>
      </c>
      <c r="AZ23" s="17">
        <v>0</v>
      </c>
      <c r="BA23" s="17">
        <v>0</v>
      </c>
      <c r="BB23" s="17">
        <v>0</v>
      </c>
      <c r="BC23" s="17">
        <v>0</v>
      </c>
      <c r="BD23" s="17">
        <f t="shared" si="8"/>
        <v>0</v>
      </c>
      <c r="BE23" s="17"/>
      <c r="BF23" s="17">
        <f>AM23</f>
        <v>0</v>
      </c>
      <c r="BG23" s="17">
        <f>AN23</f>
        <v>0</v>
      </c>
      <c r="BI23" s="159">
        <f t="shared" si="9"/>
        <v>0</v>
      </c>
    </row>
    <row r="24" spans="1:61" ht="12.75">
      <c r="A24" s="124" t="s">
        <v>98</v>
      </c>
      <c r="B24" s="14">
        <v>206799109</v>
      </c>
      <c r="C24" s="15"/>
      <c r="D24" s="15"/>
      <c r="E24" s="14">
        <f t="shared" si="0"/>
        <v>206799109</v>
      </c>
      <c r="F24" s="17"/>
      <c r="G24" s="17">
        <v>57491025</v>
      </c>
      <c r="H24" s="17">
        <v>5654598</v>
      </c>
      <c r="I24" s="17"/>
      <c r="J24" s="17">
        <v>10467592</v>
      </c>
      <c r="K24" s="17">
        <v>3872121</v>
      </c>
      <c r="L24" s="17"/>
      <c r="M24" s="17">
        <v>1395477</v>
      </c>
      <c r="N24" s="17">
        <f t="shared" si="1"/>
        <v>78880813</v>
      </c>
      <c r="O24" s="17"/>
      <c r="P24" s="17">
        <v>127918296</v>
      </c>
      <c r="Q24" s="17"/>
      <c r="S24" s="158">
        <f t="shared" si="2"/>
        <v>0.1327013706108734</v>
      </c>
      <c r="T24" s="158">
        <f t="shared" si="3"/>
        <v>0.05061720067662381</v>
      </c>
      <c r="X24" s="124" t="s">
        <v>98</v>
      </c>
      <c r="Y24" s="14">
        <v>206799109</v>
      </c>
      <c r="Z24" s="14">
        <v>42039000</v>
      </c>
      <c r="AA24" s="17">
        <v>20000000</v>
      </c>
      <c r="AB24" s="14">
        <f t="shared" si="4"/>
        <v>144760109</v>
      </c>
      <c r="AC24" s="17"/>
      <c r="AD24" s="17">
        <f>94911666-G24</f>
        <v>37420641</v>
      </c>
      <c r="AE24" s="17">
        <f>3925831-H24</f>
        <v>-1728767</v>
      </c>
      <c r="AF24" s="17"/>
      <c r="AG24" s="17">
        <f>14659861-J24</f>
        <v>4192269</v>
      </c>
      <c r="AH24" s="17">
        <f>9861216-K24</f>
        <v>5989095</v>
      </c>
      <c r="AI24" s="17"/>
      <c r="AJ24" s="17">
        <f>1401535-M24</f>
        <v>6058</v>
      </c>
      <c r="AK24" s="17">
        <f t="shared" si="5"/>
        <v>45879296</v>
      </c>
      <c r="AL24" s="17"/>
      <c r="AM24" s="17">
        <v>20000000</v>
      </c>
      <c r="AN24" s="17"/>
      <c r="AQ24" s="124" t="s">
        <v>98</v>
      </c>
      <c r="AR24" s="11">
        <f t="shared" si="6"/>
        <v>20000000</v>
      </c>
      <c r="AS24" s="14">
        <f>42039000-Z24</f>
        <v>0</v>
      </c>
      <c r="AT24" s="17">
        <f>20000000-AA24</f>
        <v>0</v>
      </c>
      <c r="AU24" s="14">
        <f t="shared" si="7"/>
        <v>20000000</v>
      </c>
      <c r="AV24" s="17"/>
      <c r="AW24" s="11">
        <f>94911666-94911666</f>
        <v>0</v>
      </c>
      <c r="AX24" s="11">
        <f>3925831-3925831</f>
        <v>0</v>
      </c>
      <c r="AY24" s="17">
        <v>0</v>
      </c>
      <c r="AZ24" s="11">
        <f>14659861-14659861</f>
        <v>0</v>
      </c>
      <c r="BA24" s="11">
        <f>9861216-9861216</f>
        <v>0</v>
      </c>
      <c r="BB24" s="17">
        <v>0</v>
      </c>
      <c r="BC24" s="11">
        <f>1401535-1401535</f>
        <v>0</v>
      </c>
      <c r="BD24" s="17">
        <f t="shared" si="8"/>
        <v>0</v>
      </c>
      <c r="BE24" s="17"/>
      <c r="BF24" s="17">
        <v>20000000</v>
      </c>
      <c r="BG24" s="17">
        <v>0</v>
      </c>
      <c r="BI24" s="159">
        <f t="shared" si="9"/>
        <v>0</v>
      </c>
    </row>
    <row r="25" spans="1:61" ht="12.75">
      <c r="A25" s="124" t="s">
        <v>47</v>
      </c>
      <c r="B25" s="11">
        <v>105169272</v>
      </c>
      <c r="C25" s="11"/>
      <c r="D25" s="11">
        <v>4546031</v>
      </c>
      <c r="E25" s="11">
        <f t="shared" si="0"/>
        <v>100623241</v>
      </c>
      <c r="F25" s="11"/>
      <c r="G25" s="11">
        <v>66753680</v>
      </c>
      <c r="H25" s="11">
        <v>4710424</v>
      </c>
      <c r="I25" s="11">
        <v>0</v>
      </c>
      <c r="J25" s="11">
        <v>6588768</v>
      </c>
      <c r="K25" s="11">
        <v>57686</v>
      </c>
      <c r="L25" s="11">
        <v>0</v>
      </c>
      <c r="M25" s="11">
        <v>0</v>
      </c>
      <c r="N25" s="11">
        <f t="shared" si="1"/>
        <v>78110558</v>
      </c>
      <c r="O25" s="11"/>
      <c r="P25" s="11"/>
      <c r="Q25" s="11">
        <v>22512683</v>
      </c>
      <c r="S25" s="158">
        <f t="shared" si="2"/>
        <v>0.08435182347564334</v>
      </c>
      <c r="T25" s="158">
        <f t="shared" si="3"/>
        <v>0.06264917380049945</v>
      </c>
      <c r="X25" s="124" t="s">
        <v>47</v>
      </c>
      <c r="Y25" s="11">
        <v>105169272</v>
      </c>
      <c r="Z25" s="11"/>
      <c r="AA25" s="11">
        <v>4546031</v>
      </c>
      <c r="AB25" s="11">
        <f t="shared" si="4"/>
        <v>100623241</v>
      </c>
      <c r="AC25" s="11"/>
      <c r="AD25" s="11">
        <f>89266363-G25</f>
        <v>22512683</v>
      </c>
      <c r="AE25" s="11">
        <f>4710424-H25</f>
        <v>0</v>
      </c>
      <c r="AF25" s="11"/>
      <c r="AG25" s="11">
        <f>6340203-J25</f>
        <v>-248565</v>
      </c>
      <c r="AH25" s="11">
        <f>306251-K25</f>
        <v>248565</v>
      </c>
      <c r="AI25" s="11"/>
      <c r="AJ25" s="11"/>
      <c r="AK25" s="11">
        <f t="shared" si="5"/>
        <v>22512683</v>
      </c>
      <c r="AL25" s="11"/>
      <c r="AM25" s="11"/>
      <c r="AN25" s="11"/>
      <c r="AQ25" s="124" t="s">
        <v>47</v>
      </c>
      <c r="AR25" s="11">
        <f t="shared" si="6"/>
        <v>0</v>
      </c>
      <c r="AS25" s="11">
        <v>0</v>
      </c>
      <c r="AT25" s="11">
        <f>4546031-AA25</f>
        <v>0</v>
      </c>
      <c r="AU25" s="11">
        <f t="shared" si="7"/>
        <v>0</v>
      </c>
      <c r="AV25" s="11"/>
      <c r="AW25" s="11">
        <v>0</v>
      </c>
      <c r="AX25" s="11">
        <v>0</v>
      </c>
      <c r="AY25" s="11">
        <v>0</v>
      </c>
      <c r="AZ25" s="11">
        <v>0</v>
      </c>
      <c r="BA25" s="11">
        <v>0</v>
      </c>
      <c r="BB25" s="11">
        <v>0</v>
      </c>
      <c r="BC25" s="11">
        <v>0</v>
      </c>
      <c r="BD25" s="11">
        <f t="shared" si="8"/>
        <v>0</v>
      </c>
      <c r="BE25" s="11"/>
      <c r="BF25" s="11">
        <f aca="true" t="shared" si="10" ref="BF25:BG27">AM25</f>
        <v>0</v>
      </c>
      <c r="BG25" s="11">
        <f t="shared" si="10"/>
        <v>0</v>
      </c>
      <c r="BI25" s="159">
        <f t="shared" si="9"/>
        <v>0</v>
      </c>
    </row>
    <row r="26" spans="1:61" ht="12.75">
      <c r="A26" s="124" t="s">
        <v>48</v>
      </c>
      <c r="B26" s="14">
        <v>101931061</v>
      </c>
      <c r="C26" s="15"/>
      <c r="D26" s="14">
        <v>10000000</v>
      </c>
      <c r="E26" s="14">
        <f t="shared" si="0"/>
        <v>91931061</v>
      </c>
      <c r="F26" s="17"/>
      <c r="G26" s="17">
        <v>53295269</v>
      </c>
      <c r="H26" s="17">
        <v>3133080</v>
      </c>
      <c r="I26" s="17"/>
      <c r="J26" s="17">
        <v>5864706</v>
      </c>
      <c r="K26" s="17"/>
      <c r="L26" s="17"/>
      <c r="M26" s="17">
        <v>29638006</v>
      </c>
      <c r="N26" s="17">
        <f t="shared" si="1"/>
        <v>91931061</v>
      </c>
      <c r="O26" s="17"/>
      <c r="P26" s="17"/>
      <c r="Q26" s="17"/>
      <c r="S26" s="158">
        <f t="shared" si="2"/>
        <v>0.06379460800523122</v>
      </c>
      <c r="T26" s="158">
        <f t="shared" si="3"/>
        <v>0.057536004653184175</v>
      </c>
      <c r="X26" s="124" t="s">
        <v>48</v>
      </c>
      <c r="Y26" s="14">
        <v>101931061</v>
      </c>
      <c r="Z26" s="15"/>
      <c r="AA26" s="14">
        <v>10000000</v>
      </c>
      <c r="AB26" s="14">
        <f t="shared" si="4"/>
        <v>91931061</v>
      </c>
      <c r="AC26" s="17"/>
      <c r="AD26" s="17"/>
      <c r="AE26" s="17"/>
      <c r="AF26" s="17"/>
      <c r="AG26" s="17"/>
      <c r="AH26" s="17"/>
      <c r="AI26" s="17"/>
      <c r="AJ26" s="17"/>
      <c r="AK26" s="17">
        <f t="shared" si="5"/>
        <v>0</v>
      </c>
      <c r="AL26" s="17"/>
      <c r="AM26" s="17"/>
      <c r="AN26" s="17"/>
      <c r="AQ26" s="124" t="s">
        <v>48</v>
      </c>
      <c r="AR26" s="11">
        <f t="shared" si="6"/>
        <v>0</v>
      </c>
      <c r="AS26" s="15">
        <v>0</v>
      </c>
      <c r="AT26" s="14">
        <f>10000000-AA26</f>
        <v>0</v>
      </c>
      <c r="AU26" s="14">
        <f t="shared" si="7"/>
        <v>0</v>
      </c>
      <c r="AV26" s="17"/>
      <c r="AW26" s="17">
        <v>0</v>
      </c>
      <c r="AX26" s="17">
        <v>0</v>
      </c>
      <c r="AY26" s="17">
        <v>0</v>
      </c>
      <c r="AZ26" s="17">
        <v>0</v>
      </c>
      <c r="BA26" s="17">
        <v>0</v>
      </c>
      <c r="BB26" s="17">
        <v>0</v>
      </c>
      <c r="BC26" s="17">
        <v>0</v>
      </c>
      <c r="BD26" s="17">
        <f t="shared" si="8"/>
        <v>0</v>
      </c>
      <c r="BE26" s="17"/>
      <c r="BF26" s="17">
        <f t="shared" si="10"/>
        <v>0</v>
      </c>
      <c r="BG26" s="17">
        <f t="shared" si="10"/>
        <v>0</v>
      </c>
      <c r="BI26" s="159">
        <f t="shared" si="9"/>
        <v>0</v>
      </c>
    </row>
    <row r="27" spans="1:61" ht="12.75">
      <c r="A27" s="124" t="s">
        <v>49</v>
      </c>
      <c r="B27" s="11">
        <v>170006205</v>
      </c>
      <c r="C27" s="11">
        <v>7040032</v>
      </c>
      <c r="D27" s="11">
        <v>3675544</v>
      </c>
      <c r="E27" s="11">
        <f t="shared" si="0"/>
        <v>159290629</v>
      </c>
      <c r="F27" s="11"/>
      <c r="G27" s="11">
        <v>115487348</v>
      </c>
      <c r="H27" s="11">
        <v>2844255</v>
      </c>
      <c r="I27" s="11"/>
      <c r="J27" s="11">
        <v>17317000</v>
      </c>
      <c r="K27" s="11">
        <v>692354</v>
      </c>
      <c r="L27" s="11"/>
      <c r="M27" s="11">
        <v>5148284</v>
      </c>
      <c r="N27" s="11">
        <f t="shared" si="1"/>
        <v>141489241</v>
      </c>
      <c r="O27" s="11"/>
      <c r="P27" s="11"/>
      <c r="Q27" s="11">
        <v>17801388</v>
      </c>
      <c r="S27" s="158">
        <f t="shared" si="2"/>
        <v>0.12239093147725628</v>
      </c>
      <c r="T27" s="158">
        <f t="shared" si="3"/>
        <v>0.10186098795629253</v>
      </c>
      <c r="X27" s="124" t="s">
        <v>49</v>
      </c>
      <c r="Y27" s="11">
        <v>170006205</v>
      </c>
      <c r="Z27" s="11">
        <v>7040032</v>
      </c>
      <c r="AA27" s="11">
        <v>3675544</v>
      </c>
      <c r="AB27" s="11">
        <f t="shared" si="4"/>
        <v>159290629</v>
      </c>
      <c r="AC27" s="11"/>
      <c r="AD27" s="11">
        <f>128034547-G27</f>
        <v>12547199</v>
      </c>
      <c r="AE27" s="11">
        <f>4329004-H27</f>
        <v>1484749</v>
      </c>
      <c r="AF27" s="11"/>
      <c r="AG27" s="11">
        <f>19673009-J27</f>
        <v>2356009</v>
      </c>
      <c r="AH27" s="11">
        <f>692354-K27</f>
        <v>0</v>
      </c>
      <c r="AI27" s="11"/>
      <c r="AJ27" s="11">
        <f>5577308-M27</f>
        <v>429024</v>
      </c>
      <c r="AK27" s="17">
        <f t="shared" si="5"/>
        <v>16816981</v>
      </c>
      <c r="AL27" s="11"/>
      <c r="AM27" s="11"/>
      <c r="AN27" s="11">
        <v>984407</v>
      </c>
      <c r="AQ27" s="124" t="s">
        <v>49</v>
      </c>
      <c r="AR27" s="11">
        <f t="shared" si="6"/>
        <v>984407</v>
      </c>
      <c r="AS27" s="11">
        <f>7040032-Z27</f>
        <v>0</v>
      </c>
      <c r="AT27" s="11">
        <f>3675544-AA27</f>
        <v>0</v>
      </c>
      <c r="AU27" s="11">
        <f t="shared" si="7"/>
        <v>984407</v>
      </c>
      <c r="AV27" s="11"/>
      <c r="AW27" s="11">
        <v>0</v>
      </c>
      <c r="AX27" s="11">
        <v>0</v>
      </c>
      <c r="AY27" s="11">
        <v>0</v>
      </c>
      <c r="AZ27" s="11">
        <v>0</v>
      </c>
      <c r="BA27" s="11">
        <v>0</v>
      </c>
      <c r="BB27" s="11">
        <v>0</v>
      </c>
      <c r="BC27" s="11">
        <v>0</v>
      </c>
      <c r="BD27" s="17">
        <f t="shared" si="8"/>
        <v>0</v>
      </c>
      <c r="BE27" s="11"/>
      <c r="BF27" s="11">
        <f t="shared" si="10"/>
        <v>0</v>
      </c>
      <c r="BG27" s="11">
        <f t="shared" si="10"/>
        <v>984407</v>
      </c>
      <c r="BI27" s="159">
        <f t="shared" si="9"/>
        <v>0</v>
      </c>
    </row>
    <row r="28" spans="1:61" ht="12.75">
      <c r="A28" s="124" t="s">
        <v>50</v>
      </c>
      <c r="B28" s="11">
        <v>139757495</v>
      </c>
      <c r="C28" s="11"/>
      <c r="D28" s="11"/>
      <c r="E28" s="11">
        <f t="shared" si="0"/>
        <v>139757495</v>
      </c>
      <c r="F28" s="11"/>
      <c r="G28" s="11">
        <v>32096444</v>
      </c>
      <c r="H28" s="11">
        <v>12818437</v>
      </c>
      <c r="I28" s="11">
        <v>0</v>
      </c>
      <c r="J28" s="11">
        <v>20306925</v>
      </c>
      <c r="K28" s="11">
        <v>0</v>
      </c>
      <c r="L28" s="11">
        <v>0</v>
      </c>
      <c r="M28" s="11"/>
      <c r="N28" s="11">
        <f t="shared" si="1"/>
        <v>65221806</v>
      </c>
      <c r="O28" s="11"/>
      <c r="P28" s="11">
        <v>0</v>
      </c>
      <c r="Q28" s="11">
        <v>74535689</v>
      </c>
      <c r="S28" s="158">
        <f t="shared" si="2"/>
        <v>0.31135177397571606</v>
      </c>
      <c r="T28" s="158">
        <f t="shared" si="3"/>
        <v>0.14530115182731346</v>
      </c>
      <c r="X28" s="124" t="s">
        <v>50</v>
      </c>
      <c r="Y28" s="11">
        <v>139757495</v>
      </c>
      <c r="Z28" s="11"/>
      <c r="AA28" s="11"/>
      <c r="AB28" s="11">
        <f t="shared" si="4"/>
        <v>139757495</v>
      </c>
      <c r="AC28" s="11"/>
      <c r="AD28" s="11">
        <f>81667785-G28</f>
        <v>49571341</v>
      </c>
      <c r="AE28" s="11">
        <f>31545464-H28</f>
        <v>18727027</v>
      </c>
      <c r="AF28" s="11"/>
      <c r="AG28" s="11">
        <f>20306925-J28</f>
        <v>0</v>
      </c>
      <c r="AH28" s="11"/>
      <c r="AI28" s="11"/>
      <c r="AJ28" s="11"/>
      <c r="AK28" s="17">
        <f t="shared" si="5"/>
        <v>68298368</v>
      </c>
      <c r="AL28" s="11"/>
      <c r="AM28" s="11">
        <v>0</v>
      </c>
      <c r="AN28" s="11">
        <v>6237321</v>
      </c>
      <c r="AQ28" s="124" t="s">
        <v>50</v>
      </c>
      <c r="AR28" s="11">
        <f>(+AM28+AN28)-6750850</f>
        <v>-513529</v>
      </c>
      <c r="AS28" s="11">
        <v>0</v>
      </c>
      <c r="AT28" s="11">
        <v>0</v>
      </c>
      <c r="AU28" s="11">
        <f t="shared" si="7"/>
        <v>-513529</v>
      </c>
      <c r="AV28" s="11"/>
      <c r="AW28" s="11">
        <f>4635535-4793136</f>
        <v>-157601</v>
      </c>
      <c r="AX28" s="11">
        <f>1601786-1601786</f>
        <v>0</v>
      </c>
      <c r="AY28" s="11">
        <v>0</v>
      </c>
      <c r="AZ28" s="11">
        <f>19950997-20306925</f>
        <v>-355928</v>
      </c>
      <c r="BA28" s="11">
        <v>0</v>
      </c>
      <c r="BB28" s="11">
        <v>0</v>
      </c>
      <c r="BC28" s="11">
        <v>0</v>
      </c>
      <c r="BD28" s="17">
        <f t="shared" si="8"/>
        <v>-513529</v>
      </c>
      <c r="BE28" s="11"/>
      <c r="BF28" s="11">
        <v>0</v>
      </c>
      <c r="BG28" s="11">
        <v>0</v>
      </c>
      <c r="BI28" s="159">
        <f t="shared" si="9"/>
        <v>0</v>
      </c>
    </row>
    <row r="29" spans="1:61" ht="12.75">
      <c r="A29" s="124" t="s">
        <v>51</v>
      </c>
      <c r="B29" s="11">
        <v>72476874</v>
      </c>
      <c r="C29" s="11">
        <v>3229010</v>
      </c>
      <c r="D29" s="11">
        <v>2212878</v>
      </c>
      <c r="E29" s="11">
        <f t="shared" si="0"/>
        <v>67034986</v>
      </c>
      <c r="F29" s="11"/>
      <c r="G29" s="11">
        <v>55236440</v>
      </c>
      <c r="H29" s="11">
        <v>4899998</v>
      </c>
      <c r="I29" s="11"/>
      <c r="J29" s="11">
        <v>5674572</v>
      </c>
      <c r="K29" s="11">
        <v>118030</v>
      </c>
      <c r="L29" s="11"/>
      <c r="M29" s="11">
        <v>1105946</v>
      </c>
      <c r="N29" s="11">
        <f t="shared" si="1"/>
        <v>67034986</v>
      </c>
      <c r="O29" s="11"/>
      <c r="P29" s="11"/>
      <c r="Q29" s="11"/>
      <c r="S29" s="158">
        <f t="shared" si="2"/>
        <v>0.08465090154564961</v>
      </c>
      <c r="T29" s="158">
        <f t="shared" si="3"/>
        <v>0.07829493308444843</v>
      </c>
      <c r="X29" s="124" t="s">
        <v>51</v>
      </c>
      <c r="Y29" s="11">
        <v>72476874</v>
      </c>
      <c r="Z29" s="11">
        <v>3229010</v>
      </c>
      <c r="AA29" s="11">
        <v>2212878</v>
      </c>
      <c r="AB29" s="11">
        <f t="shared" si="4"/>
        <v>67034986</v>
      </c>
      <c r="AC29" s="11"/>
      <c r="AD29" s="11"/>
      <c r="AE29" s="11"/>
      <c r="AF29" s="11"/>
      <c r="AG29" s="11"/>
      <c r="AH29" s="11"/>
      <c r="AI29" s="11"/>
      <c r="AJ29" s="11"/>
      <c r="AK29" s="11">
        <f t="shared" si="5"/>
        <v>0</v>
      </c>
      <c r="AL29" s="11"/>
      <c r="AM29" s="11"/>
      <c r="AN29" s="11"/>
      <c r="AQ29" s="124" t="s">
        <v>51</v>
      </c>
      <c r="AR29" s="11">
        <f aca="true" t="shared" si="11" ref="AR29:AR40">+AM29+AN29</f>
        <v>0</v>
      </c>
      <c r="AS29" s="11">
        <f>3229010-Z29</f>
        <v>0</v>
      </c>
      <c r="AT29" s="11">
        <f>2212878-AA29</f>
        <v>0</v>
      </c>
      <c r="AU29" s="11">
        <f t="shared" si="7"/>
        <v>0</v>
      </c>
      <c r="AV29" s="11"/>
      <c r="AW29" s="11">
        <v>0</v>
      </c>
      <c r="AX29" s="11">
        <v>0</v>
      </c>
      <c r="AY29" s="11">
        <v>0</v>
      </c>
      <c r="AZ29" s="11">
        <v>0</v>
      </c>
      <c r="BA29" s="11">
        <v>0</v>
      </c>
      <c r="BB29" s="11">
        <v>0</v>
      </c>
      <c r="BC29" s="11">
        <v>0</v>
      </c>
      <c r="BD29" s="11">
        <f t="shared" si="8"/>
        <v>0</v>
      </c>
      <c r="BE29" s="11"/>
      <c r="BF29" s="11">
        <f>AM29</f>
        <v>0</v>
      </c>
      <c r="BG29" s="11">
        <f>AN29</f>
        <v>0</v>
      </c>
      <c r="BI29" s="159">
        <f t="shared" si="9"/>
        <v>0</v>
      </c>
    </row>
    <row r="30" spans="1:61" ht="12.75">
      <c r="A30" s="124" t="s">
        <v>52</v>
      </c>
      <c r="B30" s="11">
        <v>183017827</v>
      </c>
      <c r="C30" s="11"/>
      <c r="D30" s="11"/>
      <c r="E30" s="11">
        <f t="shared" si="0"/>
        <v>183017827</v>
      </c>
      <c r="F30" s="11"/>
      <c r="G30" s="11">
        <v>76877956</v>
      </c>
      <c r="H30" s="11">
        <v>12429929</v>
      </c>
      <c r="I30" s="11">
        <v>43195</v>
      </c>
      <c r="J30" s="11">
        <v>10691641</v>
      </c>
      <c r="K30" s="11">
        <v>4132942</v>
      </c>
      <c r="L30" s="11">
        <v>15261</v>
      </c>
      <c r="M30" s="11">
        <v>1017452</v>
      </c>
      <c r="N30" s="11">
        <f t="shared" si="1"/>
        <v>105208376</v>
      </c>
      <c r="O30" s="11"/>
      <c r="P30" s="11">
        <v>0</v>
      </c>
      <c r="Q30" s="11">
        <v>77809451</v>
      </c>
      <c r="S30" s="158">
        <f t="shared" si="2"/>
        <v>0.1016234772029938</v>
      </c>
      <c r="T30" s="158">
        <f t="shared" si="3"/>
        <v>0.05841857689633699</v>
      </c>
      <c r="X30" s="124" t="s">
        <v>52</v>
      </c>
      <c r="Y30" s="11">
        <v>183017827</v>
      </c>
      <c r="Z30" s="11"/>
      <c r="AA30" s="11"/>
      <c r="AB30" s="11">
        <f t="shared" si="4"/>
        <v>183017827</v>
      </c>
      <c r="AC30" s="11"/>
      <c r="AD30" s="11">
        <f>78626308-G30</f>
        <v>1748352</v>
      </c>
      <c r="AE30" s="11">
        <f>18577431-H30</f>
        <v>6147502</v>
      </c>
      <c r="AF30" s="11">
        <f>43195-I30</f>
        <v>0</v>
      </c>
      <c r="AG30" s="11">
        <f>13554691-J30</f>
        <v>2863050</v>
      </c>
      <c r="AH30" s="11">
        <f>4132942-K30</f>
        <v>0</v>
      </c>
      <c r="AI30" s="11">
        <f>15261-L30</f>
        <v>0</v>
      </c>
      <c r="AJ30" s="11">
        <f>1017452-M30</f>
        <v>0</v>
      </c>
      <c r="AK30" s="11">
        <f t="shared" si="5"/>
        <v>10758904</v>
      </c>
      <c r="AL30" s="11"/>
      <c r="AM30" s="11">
        <v>0</v>
      </c>
      <c r="AN30" s="11">
        <v>67050546</v>
      </c>
      <c r="AQ30" s="124" t="s">
        <v>52</v>
      </c>
      <c r="AR30" s="11">
        <f t="shared" si="11"/>
        <v>67050546</v>
      </c>
      <c r="AS30" s="11">
        <v>0</v>
      </c>
      <c r="AT30" s="11">
        <v>0</v>
      </c>
      <c r="AU30" s="11">
        <f t="shared" si="7"/>
        <v>67050546</v>
      </c>
      <c r="AV30" s="11"/>
      <c r="AW30" s="11">
        <f>78626308-78626308</f>
        <v>0</v>
      </c>
      <c r="AX30" s="11">
        <f>1915327+775923</f>
        <v>2691250</v>
      </c>
      <c r="AY30" s="11">
        <f>43195-43195</f>
        <v>0</v>
      </c>
      <c r="AZ30" s="11">
        <f>9362+18969</f>
        <v>28331</v>
      </c>
      <c r="BA30" s="11">
        <v>97371</v>
      </c>
      <c r="BB30" s="11">
        <f>15261-15261</f>
        <v>0</v>
      </c>
      <c r="BC30" s="11">
        <v>1898</v>
      </c>
      <c r="BD30" s="11">
        <f t="shared" si="8"/>
        <v>2818850</v>
      </c>
      <c r="BE30" s="11"/>
      <c r="BF30" s="11">
        <v>8034415</v>
      </c>
      <c r="BG30" s="11">
        <v>56197282</v>
      </c>
      <c r="BI30" s="159">
        <f t="shared" si="9"/>
        <v>-1</v>
      </c>
    </row>
    <row r="31" spans="1:61" ht="12.75">
      <c r="A31" s="124" t="s">
        <v>53</v>
      </c>
      <c r="B31" s="14">
        <v>459371116</v>
      </c>
      <c r="C31" s="14">
        <v>109058553</v>
      </c>
      <c r="D31" s="14">
        <v>29646924</v>
      </c>
      <c r="E31" s="14">
        <f t="shared" si="0"/>
        <v>320665639</v>
      </c>
      <c r="F31" s="17"/>
      <c r="G31" s="17">
        <v>211726199</v>
      </c>
      <c r="H31" s="17">
        <v>19695083</v>
      </c>
      <c r="I31" s="17"/>
      <c r="J31" s="17">
        <v>44732386</v>
      </c>
      <c r="K31" s="17">
        <v>3862925</v>
      </c>
      <c r="L31" s="17"/>
      <c r="M31" s="17">
        <v>41543188</v>
      </c>
      <c r="N31" s="17">
        <f t="shared" si="1"/>
        <v>321559781</v>
      </c>
      <c r="O31" s="17"/>
      <c r="P31" s="17">
        <v>0</v>
      </c>
      <c r="Q31" s="17"/>
      <c r="S31" s="158">
        <f t="shared" si="2"/>
        <v>0.13911063709798957</v>
      </c>
      <c r="T31" s="158">
        <f t="shared" si="3"/>
        <v>0.09737744590802701</v>
      </c>
      <c r="X31" s="124" t="s">
        <v>53</v>
      </c>
      <c r="Y31" s="14">
        <v>459371116</v>
      </c>
      <c r="Z31" s="14">
        <v>109058553</v>
      </c>
      <c r="AA31" s="14">
        <v>29646924</v>
      </c>
      <c r="AB31" s="14">
        <f t="shared" si="4"/>
        <v>320665639</v>
      </c>
      <c r="AC31" s="17"/>
      <c r="AD31" s="17"/>
      <c r="AE31" s="17"/>
      <c r="AF31" s="17"/>
      <c r="AG31" s="17"/>
      <c r="AH31" s="17"/>
      <c r="AI31" s="17"/>
      <c r="AJ31" s="17"/>
      <c r="AK31" s="17">
        <f t="shared" si="5"/>
        <v>0</v>
      </c>
      <c r="AL31" s="17"/>
      <c r="AM31" s="17">
        <v>0</v>
      </c>
      <c r="AN31" s="17"/>
      <c r="AQ31" s="124" t="s">
        <v>53</v>
      </c>
      <c r="AR31" s="11">
        <f t="shared" si="11"/>
        <v>0</v>
      </c>
      <c r="AS31" s="14">
        <f>109058553-Z31</f>
        <v>0</v>
      </c>
      <c r="AT31" s="14">
        <f>29646924-AA31</f>
        <v>0</v>
      </c>
      <c r="AU31" s="14">
        <f t="shared" si="7"/>
        <v>0</v>
      </c>
      <c r="AV31" s="17"/>
      <c r="AW31" s="17">
        <v>0</v>
      </c>
      <c r="AX31" s="17">
        <v>0</v>
      </c>
      <c r="AY31" s="17">
        <v>0</v>
      </c>
      <c r="AZ31" s="17">
        <v>0</v>
      </c>
      <c r="BA31" s="17">
        <v>0</v>
      </c>
      <c r="BB31" s="17">
        <v>0</v>
      </c>
      <c r="BC31" s="17">
        <v>0</v>
      </c>
      <c r="BD31" s="17">
        <f t="shared" si="8"/>
        <v>0</v>
      </c>
      <c r="BE31" s="17"/>
      <c r="BF31" s="17">
        <f aca="true" t="shared" si="12" ref="BF31:BG33">AM31</f>
        <v>0</v>
      </c>
      <c r="BG31" s="17">
        <f t="shared" si="12"/>
        <v>0</v>
      </c>
      <c r="BI31" s="159">
        <f t="shared" si="9"/>
        <v>0</v>
      </c>
    </row>
    <row r="32" spans="1:61" ht="12.75">
      <c r="A32" s="124" t="s">
        <v>54</v>
      </c>
      <c r="B32" s="14">
        <v>775352858</v>
      </c>
      <c r="C32" s="14">
        <v>26688930</v>
      </c>
      <c r="D32" s="14">
        <v>76810640</v>
      </c>
      <c r="E32" s="14">
        <f t="shared" si="0"/>
        <v>671853288</v>
      </c>
      <c r="F32" s="17"/>
      <c r="G32" s="17">
        <v>450458299</v>
      </c>
      <c r="H32" s="17">
        <v>40172312</v>
      </c>
      <c r="I32" s="17">
        <v>11537068</v>
      </c>
      <c r="J32" s="17">
        <v>47340038</v>
      </c>
      <c r="K32" s="17">
        <v>12954153</v>
      </c>
      <c r="L32" s="17"/>
      <c r="M32" s="17">
        <v>46835172</v>
      </c>
      <c r="N32" s="17">
        <f t="shared" si="1"/>
        <v>609297042</v>
      </c>
      <c r="O32" s="17"/>
      <c r="P32" s="17"/>
      <c r="Q32" s="17">
        <v>62556388</v>
      </c>
      <c r="S32" s="158">
        <f t="shared" si="2"/>
        <v>0.0776961559580327</v>
      </c>
      <c r="T32" s="158">
        <f t="shared" si="3"/>
        <v>0.06105612110866818</v>
      </c>
      <c r="X32" s="124" t="s">
        <v>54</v>
      </c>
      <c r="Y32" s="14">
        <v>775352858</v>
      </c>
      <c r="Z32" s="14">
        <v>26688930</v>
      </c>
      <c r="AA32" s="14">
        <v>76810640</v>
      </c>
      <c r="AB32" s="14">
        <f t="shared" si="4"/>
        <v>671853288</v>
      </c>
      <c r="AC32" s="17"/>
      <c r="AD32" s="17">
        <f>499655859-G32</f>
        <v>49197560</v>
      </c>
      <c r="AE32" s="17">
        <f>53531140-H32</f>
        <v>13358828</v>
      </c>
      <c r="AF32" s="17">
        <f>11537068-I32</f>
        <v>0</v>
      </c>
      <c r="AG32" s="17">
        <f>47340038-J32</f>
        <v>0</v>
      </c>
      <c r="AH32" s="17">
        <f>12954153-K32</f>
        <v>0</v>
      </c>
      <c r="AI32" s="17"/>
      <c r="AJ32" s="17">
        <f>46835172-M32</f>
        <v>0</v>
      </c>
      <c r="AK32" s="17">
        <f t="shared" si="5"/>
        <v>62556388</v>
      </c>
      <c r="AL32" s="17"/>
      <c r="AM32" s="17"/>
      <c r="AN32" s="17"/>
      <c r="AQ32" s="124" t="s">
        <v>54</v>
      </c>
      <c r="AR32" s="11">
        <f t="shared" si="11"/>
        <v>0</v>
      </c>
      <c r="AS32" s="14">
        <f>26688930-Z32</f>
        <v>0</v>
      </c>
      <c r="AT32" s="14">
        <f>76810640-AA32</f>
        <v>0</v>
      </c>
      <c r="AU32" s="14">
        <f t="shared" si="7"/>
        <v>0</v>
      </c>
      <c r="AV32" s="17"/>
      <c r="AW32" s="17">
        <v>0</v>
      </c>
      <c r="AX32" s="17">
        <v>0</v>
      </c>
      <c r="AY32" s="17">
        <v>0</v>
      </c>
      <c r="AZ32" s="17">
        <v>0</v>
      </c>
      <c r="BA32" s="17">
        <v>0</v>
      </c>
      <c r="BB32" s="17">
        <v>0</v>
      </c>
      <c r="BC32" s="17">
        <v>0</v>
      </c>
      <c r="BD32" s="17">
        <f t="shared" si="8"/>
        <v>0</v>
      </c>
      <c r="BE32" s="17"/>
      <c r="BF32" s="17">
        <f t="shared" si="12"/>
        <v>0</v>
      </c>
      <c r="BG32" s="17">
        <f t="shared" si="12"/>
        <v>0</v>
      </c>
      <c r="BI32" s="159">
        <f t="shared" si="9"/>
        <v>0</v>
      </c>
    </row>
    <row r="33" spans="1:61" ht="12.75">
      <c r="A33" s="124" t="s">
        <v>55</v>
      </c>
      <c r="B33" s="11">
        <v>111835618</v>
      </c>
      <c r="C33" s="11"/>
      <c r="D33" s="11"/>
      <c r="E33" s="11">
        <f t="shared" si="0"/>
        <v>111835618</v>
      </c>
      <c r="F33" s="11"/>
      <c r="G33" s="11">
        <v>41141292</v>
      </c>
      <c r="H33" s="11">
        <v>93704</v>
      </c>
      <c r="I33" s="11"/>
      <c r="J33" s="11">
        <v>5882977</v>
      </c>
      <c r="K33" s="11">
        <v>861984</v>
      </c>
      <c r="L33" s="11"/>
      <c r="M33" s="11"/>
      <c r="N33" s="11">
        <f t="shared" si="1"/>
        <v>47979957</v>
      </c>
      <c r="O33" s="11"/>
      <c r="P33" s="11"/>
      <c r="Q33" s="11">
        <v>63855661</v>
      </c>
      <c r="S33" s="158">
        <f t="shared" si="2"/>
        <v>0.1226132195158074</v>
      </c>
      <c r="T33" s="158">
        <f t="shared" si="3"/>
        <v>0.05260378674708088</v>
      </c>
      <c r="X33" s="124" t="s">
        <v>55</v>
      </c>
      <c r="Y33" s="11">
        <v>111835618</v>
      </c>
      <c r="Z33" s="11"/>
      <c r="AA33" s="11"/>
      <c r="AB33" s="11">
        <f t="shared" si="4"/>
        <v>111835618</v>
      </c>
      <c r="AC33" s="11"/>
      <c r="AD33" s="11">
        <f>94850819-G33</f>
        <v>53709527</v>
      </c>
      <c r="AE33" s="11">
        <f>5121042-H33</f>
        <v>5027338</v>
      </c>
      <c r="AF33" s="11"/>
      <c r="AG33" s="11">
        <f>11001773-J33</f>
        <v>5118796</v>
      </c>
      <c r="AH33" s="11">
        <f>861984-K33</f>
        <v>0</v>
      </c>
      <c r="AI33" s="11"/>
      <c r="AJ33" s="11"/>
      <c r="AK33" s="11">
        <f t="shared" si="5"/>
        <v>63855661</v>
      </c>
      <c r="AL33" s="11"/>
      <c r="AM33" s="11"/>
      <c r="AN33" s="11"/>
      <c r="AQ33" s="124" t="s">
        <v>55</v>
      </c>
      <c r="AR33" s="11">
        <f t="shared" si="11"/>
        <v>0</v>
      </c>
      <c r="AS33" s="11"/>
      <c r="AT33" s="11"/>
      <c r="AU33" s="11">
        <f t="shared" si="7"/>
        <v>0</v>
      </c>
      <c r="AV33" s="11"/>
      <c r="AW33" s="11">
        <v>0</v>
      </c>
      <c r="AX33" s="11">
        <v>0</v>
      </c>
      <c r="AY33" s="11">
        <v>0</v>
      </c>
      <c r="AZ33" s="11">
        <v>0</v>
      </c>
      <c r="BA33" s="11">
        <v>0</v>
      </c>
      <c r="BB33" s="11">
        <v>0</v>
      </c>
      <c r="BC33" s="11">
        <v>0</v>
      </c>
      <c r="BD33" s="11">
        <f t="shared" si="8"/>
        <v>0</v>
      </c>
      <c r="BE33" s="11"/>
      <c r="BF33" s="11">
        <f t="shared" si="12"/>
        <v>0</v>
      </c>
      <c r="BG33" s="11">
        <f t="shared" si="12"/>
        <v>0</v>
      </c>
      <c r="BI33" s="159">
        <f t="shared" si="9"/>
        <v>0</v>
      </c>
    </row>
    <row r="34" spans="1:61" ht="12.75">
      <c r="A34" s="124" t="s">
        <v>56</v>
      </c>
      <c r="B34" s="11">
        <v>86767578</v>
      </c>
      <c r="C34" s="11"/>
      <c r="D34" s="11"/>
      <c r="E34" s="11">
        <f t="shared" si="0"/>
        <v>86767578</v>
      </c>
      <c r="F34" s="11"/>
      <c r="G34" s="11">
        <v>45209008</v>
      </c>
      <c r="H34" s="11">
        <v>8800739</v>
      </c>
      <c r="I34" s="11">
        <v>6478</v>
      </c>
      <c r="J34" s="11">
        <v>12601130</v>
      </c>
      <c r="K34" s="11">
        <v>0</v>
      </c>
      <c r="L34" s="11">
        <v>113459</v>
      </c>
      <c r="M34" s="11">
        <v>1011785</v>
      </c>
      <c r="N34" s="11">
        <f t="shared" si="1"/>
        <v>67742599</v>
      </c>
      <c r="O34" s="11"/>
      <c r="P34" s="11">
        <v>8773831</v>
      </c>
      <c r="Q34" s="11">
        <v>10251148</v>
      </c>
      <c r="S34" s="158">
        <f t="shared" si="2"/>
        <v>0.1860148589811265</v>
      </c>
      <c r="T34" s="158">
        <f t="shared" si="3"/>
        <v>0.14522855530207376</v>
      </c>
      <c r="X34" s="124" t="s">
        <v>56</v>
      </c>
      <c r="Y34" s="11">
        <v>86767578</v>
      </c>
      <c r="Z34" s="11"/>
      <c r="AA34" s="11"/>
      <c r="AB34" s="11">
        <f t="shared" si="4"/>
        <v>86767578</v>
      </c>
      <c r="AC34" s="11"/>
      <c r="AD34" s="11">
        <f>45209008-G34</f>
        <v>0</v>
      </c>
      <c r="AE34" s="11">
        <f>16718536-H34</f>
        <v>7917797</v>
      </c>
      <c r="AF34" s="11">
        <f>6478-I34</f>
        <v>0</v>
      </c>
      <c r="AG34" s="11">
        <f>6535355-J34</f>
        <v>-6065775</v>
      </c>
      <c r="AH34" s="11">
        <f>1030971-K34</f>
        <v>1030971</v>
      </c>
      <c r="AI34" s="11">
        <f>381490-L34</f>
        <v>268031</v>
      </c>
      <c r="AJ34" s="11">
        <f>211498-M34</f>
        <v>-800287</v>
      </c>
      <c r="AK34" s="11">
        <f t="shared" si="5"/>
        <v>2350737</v>
      </c>
      <c r="AL34" s="11"/>
      <c r="AM34" s="11">
        <v>16674242</v>
      </c>
      <c r="AN34" s="11"/>
      <c r="AQ34" s="124" t="s">
        <v>56</v>
      </c>
      <c r="AR34" s="11">
        <f t="shared" si="11"/>
        <v>16674242</v>
      </c>
      <c r="AS34" s="11">
        <v>0</v>
      </c>
      <c r="AT34" s="11">
        <v>0</v>
      </c>
      <c r="AU34" s="11">
        <f t="shared" si="7"/>
        <v>16674242</v>
      </c>
      <c r="AV34" s="11"/>
      <c r="AW34" s="11">
        <f>45209008-45209008</f>
        <v>0</v>
      </c>
      <c r="AX34" s="11">
        <v>-193</v>
      </c>
      <c r="AY34" s="11">
        <f>6478-6478</f>
        <v>0</v>
      </c>
      <c r="AZ34" s="11">
        <f>-36372+30427</f>
        <v>-5945</v>
      </c>
      <c r="BA34" s="11">
        <f>1030971-1030971</f>
        <v>0</v>
      </c>
      <c r="BB34" s="11">
        <f>381490-381490</f>
        <v>0</v>
      </c>
      <c r="BC34" s="11">
        <v>97590</v>
      </c>
      <c r="BD34" s="11">
        <f t="shared" si="8"/>
        <v>91452</v>
      </c>
      <c r="BE34" s="11"/>
      <c r="BF34" s="11">
        <v>16615217</v>
      </c>
      <c r="BG34" s="11">
        <f>AN34</f>
        <v>0</v>
      </c>
      <c r="BI34" s="159">
        <f t="shared" si="9"/>
        <v>-32427</v>
      </c>
    </row>
    <row r="35" spans="1:61" ht="12.75">
      <c r="A35" s="124" t="s">
        <v>57</v>
      </c>
      <c r="B35" s="11">
        <v>187838524</v>
      </c>
      <c r="C35" s="11"/>
      <c r="D35" s="11"/>
      <c r="E35" s="11">
        <f t="shared" si="0"/>
        <v>187838524</v>
      </c>
      <c r="F35" s="11"/>
      <c r="G35" s="11">
        <v>58951977</v>
      </c>
      <c r="H35" s="11">
        <v>21833886</v>
      </c>
      <c r="I35" s="11"/>
      <c r="J35" s="11">
        <v>25618732</v>
      </c>
      <c r="K35" s="11">
        <v>6694660</v>
      </c>
      <c r="L35" s="11"/>
      <c r="M35" s="11">
        <v>21681296</v>
      </c>
      <c r="N35" s="11">
        <f t="shared" si="1"/>
        <v>134780551</v>
      </c>
      <c r="O35" s="11"/>
      <c r="P35" s="11">
        <v>53057973</v>
      </c>
      <c r="Q35" s="11"/>
      <c r="S35" s="158">
        <f t="shared" si="2"/>
        <v>0.19007736509401865</v>
      </c>
      <c r="T35" s="158">
        <f t="shared" si="3"/>
        <v>0.13638699588589187</v>
      </c>
      <c r="X35" s="124" t="s">
        <v>57</v>
      </c>
      <c r="Y35" s="11">
        <v>187838524</v>
      </c>
      <c r="Z35" s="11"/>
      <c r="AA35" s="11"/>
      <c r="AB35" s="11">
        <f t="shared" si="4"/>
        <v>187838524</v>
      </c>
      <c r="AC35" s="11"/>
      <c r="AD35" s="11">
        <f>95456918-G35</f>
        <v>36504941</v>
      </c>
      <c r="AE35" s="11">
        <f>28421403-H35</f>
        <v>6587517</v>
      </c>
      <c r="AF35" s="11"/>
      <c r="AG35" s="11">
        <f>28175779-J35</f>
        <v>2557047</v>
      </c>
      <c r="AH35" s="11">
        <f>11654830-K35</f>
        <v>4960170</v>
      </c>
      <c r="AI35" s="11"/>
      <c r="AJ35" s="11">
        <f>24129594-M35</f>
        <v>2448298</v>
      </c>
      <c r="AK35" s="11">
        <f t="shared" si="5"/>
        <v>53057973</v>
      </c>
      <c r="AL35" s="11"/>
      <c r="AM35" s="11"/>
      <c r="AN35" s="11"/>
      <c r="AQ35" s="124" t="s">
        <v>57</v>
      </c>
      <c r="AR35" s="11">
        <f t="shared" si="11"/>
        <v>0</v>
      </c>
      <c r="AS35" s="11"/>
      <c r="AT35" s="11"/>
      <c r="AU35" s="11">
        <f t="shared" si="7"/>
        <v>0</v>
      </c>
      <c r="AV35" s="11"/>
      <c r="AW35" s="11">
        <v>0</v>
      </c>
      <c r="AX35" s="11">
        <v>0</v>
      </c>
      <c r="AY35" s="11">
        <v>0</v>
      </c>
      <c r="AZ35" s="11">
        <v>0</v>
      </c>
      <c r="BA35" s="11">
        <v>0</v>
      </c>
      <c r="BB35" s="11">
        <v>0</v>
      </c>
      <c r="BC35" s="11">
        <v>0</v>
      </c>
      <c r="BD35" s="11">
        <f t="shared" si="8"/>
        <v>0</v>
      </c>
      <c r="BE35" s="11"/>
      <c r="BF35" s="11">
        <f>AM35</f>
        <v>0</v>
      </c>
      <c r="BG35" s="11">
        <f>AN35</f>
        <v>0</v>
      </c>
      <c r="BI35" s="159">
        <f t="shared" si="9"/>
        <v>0</v>
      </c>
    </row>
    <row r="36" spans="1:61" ht="12.75">
      <c r="A36" s="124" t="s">
        <v>58</v>
      </c>
      <c r="B36" s="11">
        <v>34035612</v>
      </c>
      <c r="C36" s="11"/>
      <c r="D36" s="11"/>
      <c r="E36" s="11">
        <f t="shared" si="0"/>
        <v>34035612</v>
      </c>
      <c r="F36" s="11"/>
      <c r="G36" s="11">
        <v>16641692</v>
      </c>
      <c r="H36" s="11">
        <v>2430269</v>
      </c>
      <c r="I36" s="11">
        <v>0</v>
      </c>
      <c r="J36" s="11">
        <v>1849498</v>
      </c>
      <c r="K36" s="11">
        <v>423287</v>
      </c>
      <c r="L36" s="11">
        <v>0</v>
      </c>
      <c r="M36" s="11">
        <v>1425872</v>
      </c>
      <c r="N36" s="11">
        <f t="shared" si="1"/>
        <v>22770618</v>
      </c>
      <c r="O36" s="11"/>
      <c r="P36" s="11">
        <v>0</v>
      </c>
      <c r="Q36" s="11">
        <v>11264994</v>
      </c>
      <c r="S36" s="158">
        <f t="shared" si="2"/>
        <v>0.0812230041362953</v>
      </c>
      <c r="T36" s="158">
        <f t="shared" si="3"/>
        <v>0.0543400835571871</v>
      </c>
      <c r="X36" s="124" t="s">
        <v>58</v>
      </c>
      <c r="Y36" s="11">
        <v>34035612</v>
      </c>
      <c r="Z36" s="11">
        <v>657669</v>
      </c>
      <c r="AA36" s="11"/>
      <c r="AB36" s="11">
        <f t="shared" si="4"/>
        <v>33377943</v>
      </c>
      <c r="AC36" s="11"/>
      <c r="AD36" s="11">
        <f>16670312-G36</f>
        <v>28620</v>
      </c>
      <c r="AE36" s="11">
        <f>2023580-H36</f>
        <v>-406689</v>
      </c>
      <c r="AF36" s="11"/>
      <c r="AG36" s="11">
        <f>1739962-J36</f>
        <v>-109536</v>
      </c>
      <c r="AH36" s="11">
        <f>658970-K36</f>
        <v>235683</v>
      </c>
      <c r="AI36" s="11"/>
      <c r="AJ36" s="11">
        <f>1497342-M36</f>
        <v>71470</v>
      </c>
      <c r="AK36" s="11">
        <f t="shared" si="5"/>
        <v>-180452</v>
      </c>
      <c r="AL36" s="11"/>
      <c r="AM36" s="11">
        <v>10787751</v>
      </c>
      <c r="AN36" s="11"/>
      <c r="AQ36" s="124" t="s">
        <v>58</v>
      </c>
      <c r="AR36" s="11">
        <f t="shared" si="11"/>
        <v>10787751</v>
      </c>
      <c r="AS36" s="11">
        <f>657669-657669</f>
        <v>0</v>
      </c>
      <c r="AT36" s="11">
        <v>0</v>
      </c>
      <c r="AU36" s="11">
        <f t="shared" si="7"/>
        <v>10787751</v>
      </c>
      <c r="AV36" s="11"/>
      <c r="AW36" s="11">
        <f>141590-79</f>
        <v>141511</v>
      </c>
      <c r="AX36" s="11">
        <f>2023580-2023580</f>
        <v>0</v>
      </c>
      <c r="AY36" s="11">
        <v>0</v>
      </c>
      <c r="AZ36" s="11">
        <f>2405-11</f>
        <v>2394</v>
      </c>
      <c r="BA36" s="11">
        <f>-116+10</f>
        <v>-106</v>
      </c>
      <c r="BB36" s="11">
        <v>0</v>
      </c>
      <c r="BC36" s="11">
        <f>-660-2</f>
        <v>-662</v>
      </c>
      <c r="BD36" s="11">
        <f t="shared" si="8"/>
        <v>143137</v>
      </c>
      <c r="BE36" s="11"/>
      <c r="BF36" s="11">
        <v>10644640</v>
      </c>
      <c r="BG36" s="11">
        <f>AN36</f>
        <v>0</v>
      </c>
      <c r="BI36" s="159">
        <f t="shared" si="9"/>
        <v>-26</v>
      </c>
    </row>
    <row r="37" spans="1:61" ht="12.75">
      <c r="A37" s="125" t="s">
        <v>59</v>
      </c>
      <c r="B37" s="14">
        <v>49340853</v>
      </c>
      <c r="C37" s="14"/>
      <c r="D37" s="14"/>
      <c r="E37" s="14">
        <f t="shared" si="0"/>
        <v>49340853</v>
      </c>
      <c r="F37" s="14"/>
      <c r="G37" s="14">
        <v>22129540</v>
      </c>
      <c r="H37" s="14">
        <v>4371714</v>
      </c>
      <c r="I37" s="14"/>
      <c r="J37" s="14">
        <v>6779743</v>
      </c>
      <c r="K37" s="14">
        <v>2194837</v>
      </c>
      <c r="L37" s="14"/>
      <c r="M37" s="14"/>
      <c r="N37" s="14">
        <f t="shared" si="1"/>
        <v>35475834</v>
      </c>
      <c r="O37" s="14"/>
      <c r="P37" s="14"/>
      <c r="Q37" s="14">
        <v>13865019</v>
      </c>
      <c r="S37" s="158">
        <f t="shared" si="2"/>
        <v>0.1911087699869156</v>
      </c>
      <c r="T37" s="158">
        <f t="shared" si="3"/>
        <v>0.13740627872809577</v>
      </c>
      <c r="X37" s="125" t="s">
        <v>59</v>
      </c>
      <c r="Y37" s="14">
        <v>49340853</v>
      </c>
      <c r="Z37" s="14"/>
      <c r="AA37" s="14"/>
      <c r="AB37" s="14">
        <f t="shared" si="4"/>
        <v>49340853</v>
      </c>
      <c r="AC37" s="14"/>
      <c r="AD37" s="14">
        <f>25438261-G37</f>
        <v>3308721</v>
      </c>
      <c r="AE37" s="14">
        <f>3409755-H37</f>
        <v>-961959</v>
      </c>
      <c r="AF37" s="14"/>
      <c r="AG37" s="14">
        <f>5583693-J37</f>
        <v>-1196050</v>
      </c>
      <c r="AH37" s="14">
        <f>2792911-K37</f>
        <v>598074</v>
      </c>
      <c r="AI37" s="14"/>
      <c r="AJ37" s="14"/>
      <c r="AK37" s="14">
        <f t="shared" si="5"/>
        <v>1748786</v>
      </c>
      <c r="AL37" s="14"/>
      <c r="AM37" s="14"/>
      <c r="AN37" s="14">
        <v>12116233</v>
      </c>
      <c r="AQ37" s="125" t="s">
        <v>59</v>
      </c>
      <c r="AR37" s="11">
        <f t="shared" si="11"/>
        <v>12116233</v>
      </c>
      <c r="AS37" s="14">
        <v>0</v>
      </c>
      <c r="AT37" s="14">
        <v>0</v>
      </c>
      <c r="AU37" s="14">
        <f t="shared" si="7"/>
        <v>12116233</v>
      </c>
      <c r="AV37" s="14"/>
      <c r="AW37" s="11">
        <v>5145112</v>
      </c>
      <c r="AX37" s="11">
        <v>4258618</v>
      </c>
      <c r="AY37" s="14">
        <v>0</v>
      </c>
      <c r="AZ37" s="11">
        <v>1817435</v>
      </c>
      <c r="BA37" s="11">
        <v>895068</v>
      </c>
      <c r="BB37" s="14">
        <v>0</v>
      </c>
      <c r="BC37" s="14">
        <v>0</v>
      </c>
      <c r="BD37" s="14">
        <f t="shared" si="8"/>
        <v>12116233</v>
      </c>
      <c r="BE37" s="14"/>
      <c r="BF37" s="14">
        <v>0</v>
      </c>
      <c r="BG37" s="14">
        <v>0</v>
      </c>
      <c r="BI37" s="159">
        <f t="shared" si="9"/>
        <v>0</v>
      </c>
    </row>
    <row r="38" spans="1:61" ht="12.75">
      <c r="A38" s="124" t="s">
        <v>60</v>
      </c>
      <c r="B38" s="11">
        <v>34008078</v>
      </c>
      <c r="C38" s="11"/>
      <c r="D38" s="11"/>
      <c r="E38" s="11">
        <f t="shared" si="0"/>
        <v>34008078</v>
      </c>
      <c r="F38" s="11"/>
      <c r="G38" s="11">
        <v>19618431</v>
      </c>
      <c r="H38" s="11">
        <v>594684</v>
      </c>
      <c r="I38" s="11">
        <v>0</v>
      </c>
      <c r="J38" s="11">
        <v>3577366</v>
      </c>
      <c r="K38" s="11">
        <v>2345917</v>
      </c>
      <c r="L38" s="11">
        <v>0</v>
      </c>
      <c r="M38" s="11">
        <v>3904972</v>
      </c>
      <c r="N38" s="11">
        <f t="shared" si="1"/>
        <v>30041370</v>
      </c>
      <c r="O38" s="11"/>
      <c r="P38" s="11">
        <v>0</v>
      </c>
      <c r="Q38" s="11">
        <v>3966709</v>
      </c>
      <c r="S38" s="158">
        <f t="shared" si="2"/>
        <v>0.11908132019278748</v>
      </c>
      <c r="T38" s="158">
        <f t="shared" si="3"/>
        <v>0.10519165475920163</v>
      </c>
      <c r="X38" s="124" t="s">
        <v>60</v>
      </c>
      <c r="Y38" s="11">
        <v>34008078</v>
      </c>
      <c r="Z38" s="11"/>
      <c r="AA38" s="11"/>
      <c r="AB38" s="11">
        <f t="shared" si="4"/>
        <v>34008078</v>
      </c>
      <c r="AC38" s="11"/>
      <c r="AD38" s="11">
        <f>27674537-G38</f>
        <v>8056106</v>
      </c>
      <c r="AE38" s="11">
        <f>4194274-H38</f>
        <v>3599590</v>
      </c>
      <c r="AF38" s="11"/>
      <c r="AG38" s="11">
        <f>6383157-J38</f>
        <v>2805791</v>
      </c>
      <c r="AH38" s="11">
        <f>4302414-K38</f>
        <v>1956497</v>
      </c>
      <c r="AI38" s="11"/>
      <c r="AJ38" s="11">
        <f>4082586-M38</f>
        <v>177614</v>
      </c>
      <c r="AK38" s="11">
        <f t="shared" si="5"/>
        <v>16595598</v>
      </c>
      <c r="AL38" s="11"/>
      <c r="AM38" s="11">
        <v>0</v>
      </c>
      <c r="AN38" s="11">
        <v>6786471</v>
      </c>
      <c r="AQ38" s="124" t="s">
        <v>60</v>
      </c>
      <c r="AR38" s="11">
        <f t="shared" si="11"/>
        <v>6786471</v>
      </c>
      <c r="AS38" s="11"/>
      <c r="AT38" s="11"/>
      <c r="AU38" s="11">
        <f t="shared" si="7"/>
        <v>6786471</v>
      </c>
      <c r="AV38" s="11"/>
      <c r="AW38" s="11">
        <v>0</v>
      </c>
      <c r="AX38" s="11">
        <v>0</v>
      </c>
      <c r="AY38" s="11">
        <v>0</v>
      </c>
      <c r="AZ38" s="11">
        <v>0</v>
      </c>
      <c r="BA38" s="11">
        <v>0</v>
      </c>
      <c r="BB38" s="11">
        <v>0</v>
      </c>
      <c r="BC38" s="11">
        <v>0</v>
      </c>
      <c r="BD38" s="11">
        <f t="shared" si="8"/>
        <v>0</v>
      </c>
      <c r="BE38" s="11"/>
      <c r="BF38" s="11">
        <f aca="true" t="shared" si="13" ref="BF38:BG40">AM38</f>
        <v>0</v>
      </c>
      <c r="BG38" s="11">
        <f t="shared" si="13"/>
        <v>6786471</v>
      </c>
      <c r="BI38" s="159">
        <f t="shared" si="9"/>
        <v>0</v>
      </c>
    </row>
    <row r="39" spans="1:61" ht="12.75">
      <c r="A39" s="124" t="s">
        <v>61</v>
      </c>
      <c r="B39" s="11">
        <v>38521261</v>
      </c>
      <c r="C39" s="11"/>
      <c r="D39" s="11"/>
      <c r="E39" s="11">
        <f t="shared" si="0"/>
        <v>38521261</v>
      </c>
      <c r="F39" s="11"/>
      <c r="G39" s="11">
        <v>25028575</v>
      </c>
      <c r="H39" s="11">
        <v>1243509</v>
      </c>
      <c r="I39" s="11">
        <v>0</v>
      </c>
      <c r="J39" s="11">
        <v>4680941</v>
      </c>
      <c r="K39" s="11">
        <v>2309139</v>
      </c>
      <c r="L39" s="11">
        <v>0</v>
      </c>
      <c r="M39" s="11">
        <v>3406078</v>
      </c>
      <c r="N39" s="11">
        <f t="shared" si="1"/>
        <v>36668242</v>
      </c>
      <c r="O39" s="11"/>
      <c r="P39" s="11">
        <v>0</v>
      </c>
      <c r="Q39" s="11">
        <v>0</v>
      </c>
      <c r="S39" s="158">
        <f t="shared" si="2"/>
        <v>0.12765654268344798</v>
      </c>
      <c r="T39" s="158">
        <f t="shared" si="3"/>
        <v>0.12151577800114072</v>
      </c>
      <c r="X39" s="124" t="s">
        <v>61</v>
      </c>
      <c r="Y39" s="11">
        <v>38521261</v>
      </c>
      <c r="Z39" s="11"/>
      <c r="AA39" s="11"/>
      <c r="AB39" s="11">
        <f t="shared" si="4"/>
        <v>38521261</v>
      </c>
      <c r="AC39" s="11"/>
      <c r="AD39" s="11">
        <f>26881594-G39</f>
        <v>1853019</v>
      </c>
      <c r="AE39" s="11">
        <f>1243509-H39</f>
        <v>0</v>
      </c>
      <c r="AF39" s="11"/>
      <c r="AG39" s="11">
        <f>4680941-J39</f>
        <v>0</v>
      </c>
      <c r="AH39" s="11">
        <f>2309139-K39</f>
        <v>0</v>
      </c>
      <c r="AI39" s="11"/>
      <c r="AJ39" s="11">
        <f>3406078-M39</f>
        <v>0</v>
      </c>
      <c r="AK39" s="11">
        <f t="shared" si="5"/>
        <v>1853019</v>
      </c>
      <c r="AL39" s="11"/>
      <c r="AM39" s="11">
        <v>0</v>
      </c>
      <c r="AN39" s="11"/>
      <c r="AQ39" s="124" t="s">
        <v>61</v>
      </c>
      <c r="AR39" s="11">
        <f t="shared" si="11"/>
        <v>0</v>
      </c>
      <c r="AS39" s="11"/>
      <c r="AT39" s="11"/>
      <c r="AU39" s="11">
        <f t="shared" si="7"/>
        <v>0</v>
      </c>
      <c r="AV39" s="11"/>
      <c r="AW39" s="11">
        <v>0</v>
      </c>
      <c r="AX39" s="11">
        <v>0</v>
      </c>
      <c r="AY39" s="11">
        <v>0</v>
      </c>
      <c r="AZ39" s="11">
        <v>0</v>
      </c>
      <c r="BA39" s="11">
        <v>0</v>
      </c>
      <c r="BB39" s="11">
        <v>0</v>
      </c>
      <c r="BC39" s="11">
        <v>0</v>
      </c>
      <c r="BD39" s="11">
        <f t="shared" si="8"/>
        <v>0</v>
      </c>
      <c r="BE39" s="11"/>
      <c r="BF39" s="11">
        <f t="shared" si="13"/>
        <v>0</v>
      </c>
      <c r="BG39" s="11">
        <f t="shared" si="13"/>
        <v>0</v>
      </c>
      <c r="BI39" s="159">
        <f t="shared" si="9"/>
        <v>0</v>
      </c>
    </row>
    <row r="40" spans="1:61" ht="12.75">
      <c r="A40" s="124" t="s">
        <v>62</v>
      </c>
      <c r="B40" s="11">
        <v>293107925</v>
      </c>
      <c r="C40" s="11"/>
      <c r="D40" s="11"/>
      <c r="E40" s="11">
        <f t="shared" si="0"/>
        <v>293107925</v>
      </c>
      <c r="F40" s="11"/>
      <c r="G40" s="11">
        <v>132924811</v>
      </c>
      <c r="H40" s="11">
        <v>13106406</v>
      </c>
      <c r="I40" s="11">
        <v>0</v>
      </c>
      <c r="J40" s="11">
        <v>22418556</v>
      </c>
      <c r="K40" s="11">
        <v>6788138</v>
      </c>
      <c r="L40" s="11">
        <v>0</v>
      </c>
      <c r="M40" s="11">
        <v>0</v>
      </c>
      <c r="N40" s="11">
        <f t="shared" si="1"/>
        <v>175237911</v>
      </c>
      <c r="O40" s="11"/>
      <c r="P40" s="11">
        <v>117870014</v>
      </c>
      <c r="Q40" s="11"/>
      <c r="S40" s="158">
        <f t="shared" si="2"/>
        <v>0.1279321116764511</v>
      </c>
      <c r="T40" s="158">
        <f t="shared" si="3"/>
        <v>0.07648566991151809</v>
      </c>
      <c r="X40" s="124" t="s">
        <v>62</v>
      </c>
      <c r="Y40" s="11">
        <v>293107925</v>
      </c>
      <c r="Z40" s="11"/>
      <c r="AA40" s="11">
        <v>29310793</v>
      </c>
      <c r="AB40" s="11">
        <f t="shared" si="4"/>
        <v>263797132</v>
      </c>
      <c r="AC40" s="11"/>
      <c r="AD40" s="11">
        <f>160149547-G40</f>
        <v>27224736</v>
      </c>
      <c r="AE40" s="11">
        <f>14962675-H40</f>
        <v>1856269</v>
      </c>
      <c r="AF40" s="11"/>
      <c r="AG40" s="11">
        <f>27831412-J40</f>
        <v>5412856</v>
      </c>
      <c r="AH40" s="11">
        <f>8013757-K40</f>
        <v>1225619</v>
      </c>
      <c r="AI40" s="11"/>
      <c r="AJ40" s="11"/>
      <c r="AK40" s="11">
        <f t="shared" si="5"/>
        <v>35719480</v>
      </c>
      <c r="AL40" s="11"/>
      <c r="AM40" s="11"/>
      <c r="AN40" s="11">
        <v>52839741</v>
      </c>
      <c r="AQ40" s="124" t="s">
        <v>62</v>
      </c>
      <c r="AR40" s="11">
        <f t="shared" si="11"/>
        <v>52839741</v>
      </c>
      <c r="AS40" s="11"/>
      <c r="AT40" s="11">
        <f>29310793-AA40</f>
        <v>0</v>
      </c>
      <c r="AU40" s="11">
        <f t="shared" si="7"/>
        <v>52839741</v>
      </c>
      <c r="AV40" s="11"/>
      <c r="AW40" s="11">
        <v>0</v>
      </c>
      <c r="AX40" s="11">
        <v>0</v>
      </c>
      <c r="AY40" s="11">
        <v>0</v>
      </c>
      <c r="AZ40" s="11">
        <v>0</v>
      </c>
      <c r="BA40" s="11">
        <v>0</v>
      </c>
      <c r="BB40" s="11">
        <v>0</v>
      </c>
      <c r="BC40" s="11">
        <v>0</v>
      </c>
      <c r="BD40" s="11">
        <f t="shared" si="8"/>
        <v>0</v>
      </c>
      <c r="BE40" s="11"/>
      <c r="BF40" s="11">
        <f t="shared" si="13"/>
        <v>0</v>
      </c>
      <c r="BG40" s="11">
        <f t="shared" si="13"/>
        <v>52839741</v>
      </c>
      <c r="BI40" s="159">
        <f t="shared" si="9"/>
        <v>0</v>
      </c>
    </row>
    <row r="41" spans="1:61" ht="12.75">
      <c r="A41" s="124" t="s">
        <v>63</v>
      </c>
      <c r="B41" s="11">
        <v>31991934</v>
      </c>
      <c r="C41" s="11"/>
      <c r="D41" s="11"/>
      <c r="E41" s="11">
        <f t="shared" si="0"/>
        <v>31991934</v>
      </c>
      <c r="F41" s="11"/>
      <c r="G41" s="11">
        <v>23329417</v>
      </c>
      <c r="H41" s="11">
        <v>66829</v>
      </c>
      <c r="I41" s="11"/>
      <c r="J41" s="11">
        <v>1828358</v>
      </c>
      <c r="K41" s="11">
        <v>93296</v>
      </c>
      <c r="L41" s="11"/>
      <c r="M41" s="11">
        <v>6494425</v>
      </c>
      <c r="N41" s="11">
        <f t="shared" si="1"/>
        <v>31812325</v>
      </c>
      <c r="O41" s="11"/>
      <c r="P41" s="11">
        <v>179609</v>
      </c>
      <c r="Q41" s="11">
        <v>0</v>
      </c>
      <c r="S41" s="158">
        <f t="shared" si="2"/>
        <v>0.057473259184922826</v>
      </c>
      <c r="T41" s="158">
        <f t="shared" si="3"/>
        <v>0.057150593021353446</v>
      </c>
      <c r="X41" s="124" t="s">
        <v>63</v>
      </c>
      <c r="Y41" s="11">
        <v>50907408</v>
      </c>
      <c r="Z41" s="11"/>
      <c r="AA41" s="11"/>
      <c r="AB41" s="11">
        <f t="shared" si="4"/>
        <v>50907408</v>
      </c>
      <c r="AC41" s="11"/>
      <c r="AD41" s="11">
        <f>21918217-G41</f>
        <v>-1411200</v>
      </c>
      <c r="AE41" s="11">
        <f>62517-H41</f>
        <v>-4312</v>
      </c>
      <c r="AF41" s="11"/>
      <c r="AG41" s="11">
        <f>1127729-J41</f>
        <v>-700629</v>
      </c>
      <c r="AH41" s="11">
        <f>82804-K41</f>
        <v>-10492</v>
      </c>
      <c r="AI41" s="11"/>
      <c r="AJ41" s="11">
        <f>3378600-M41</f>
        <v>-3115825</v>
      </c>
      <c r="AK41" s="11">
        <f t="shared" si="5"/>
        <v>-5242458</v>
      </c>
      <c r="AL41" s="11"/>
      <c r="AM41" s="11">
        <v>12817</v>
      </c>
      <c r="AN41" s="11">
        <v>24324724</v>
      </c>
      <c r="AQ41" s="124" t="s">
        <v>63</v>
      </c>
      <c r="AR41" s="11">
        <f>+AM41+AN41+9628233</f>
        <v>33965774</v>
      </c>
      <c r="AS41" s="11">
        <v>0</v>
      </c>
      <c r="AT41" s="11">
        <v>0</v>
      </c>
      <c r="AU41" s="11">
        <f t="shared" si="7"/>
        <v>33965774</v>
      </c>
      <c r="AV41" s="11"/>
      <c r="AW41" s="11">
        <f>21918217-21918217</f>
        <v>0</v>
      </c>
      <c r="AX41" s="11">
        <f>62517-62517</f>
        <v>0</v>
      </c>
      <c r="AY41" s="11">
        <v>0</v>
      </c>
      <c r="AZ41" s="11">
        <f>1127729-(J41+AG41)</f>
        <v>0</v>
      </c>
      <c r="BA41" s="11">
        <f>82804-82804</f>
        <v>0</v>
      </c>
      <c r="BB41" s="11">
        <v>0</v>
      </c>
      <c r="BC41" s="11">
        <f>3378600-3378600</f>
        <v>0</v>
      </c>
      <c r="BD41" s="11">
        <f t="shared" si="8"/>
        <v>0</v>
      </c>
      <c r="BE41" s="11"/>
      <c r="BF41" s="11">
        <f>AM41</f>
        <v>12817</v>
      </c>
      <c r="BG41" s="11">
        <v>33952957</v>
      </c>
      <c r="BI41" s="159">
        <f t="shared" si="9"/>
        <v>0</v>
      </c>
    </row>
    <row r="42" spans="1:61" ht="12.75">
      <c r="A42" s="124" t="s">
        <v>64</v>
      </c>
      <c r="B42" s="11">
        <v>1982294198</v>
      </c>
      <c r="C42" s="11"/>
      <c r="D42" s="11">
        <v>168400000</v>
      </c>
      <c r="E42" s="11">
        <f aca="true" t="shared" si="14" ref="E42:E61">B42-(C42+D42)</f>
        <v>1813894198</v>
      </c>
      <c r="F42" s="11"/>
      <c r="G42" s="11">
        <v>1327422040</v>
      </c>
      <c r="H42" s="11">
        <v>57933404</v>
      </c>
      <c r="I42" s="11">
        <v>0</v>
      </c>
      <c r="J42" s="11">
        <v>229579231</v>
      </c>
      <c r="K42" s="11">
        <v>5178953</v>
      </c>
      <c r="L42" s="11">
        <v>0</v>
      </c>
      <c r="M42" s="11">
        <v>110000000</v>
      </c>
      <c r="N42" s="11">
        <f aca="true" t="shared" si="15" ref="N42:N60">SUM(G42:M42)</f>
        <v>1730113628</v>
      </c>
      <c r="O42" s="11"/>
      <c r="P42" s="11"/>
      <c r="Q42" s="11">
        <v>83780570</v>
      </c>
      <c r="S42" s="158">
        <f aca="true" t="shared" si="16" ref="S42:S62">+J42/N42</f>
        <v>0.13269604220469153</v>
      </c>
      <c r="T42" s="158">
        <f aca="true" t="shared" si="17" ref="T42:T62">+J42/B42</f>
        <v>0.11581491346321339</v>
      </c>
      <c r="X42" s="124" t="s">
        <v>64</v>
      </c>
      <c r="Y42" s="11">
        <v>1982294198</v>
      </c>
      <c r="Z42" s="11"/>
      <c r="AA42" s="11">
        <v>168400000</v>
      </c>
      <c r="AB42" s="11">
        <f aca="true" t="shared" si="18" ref="AB42:AB60">Y42-(Z42+AA42)</f>
        <v>1813894198</v>
      </c>
      <c r="AC42" s="11"/>
      <c r="AD42" s="11">
        <f>1281587815-G42</f>
        <v>-45834225</v>
      </c>
      <c r="AE42" s="11">
        <f>90647799-H42</f>
        <v>32714395</v>
      </c>
      <c r="AF42" s="11"/>
      <c r="AG42" s="11">
        <f>224381629-J42</f>
        <v>-5197602</v>
      </c>
      <c r="AH42" s="11">
        <f>5378407-K42</f>
        <v>199454</v>
      </c>
      <c r="AI42" s="11"/>
      <c r="AJ42" s="11">
        <f>128724491-M42</f>
        <v>18724491</v>
      </c>
      <c r="AK42" s="11">
        <f aca="true" t="shared" si="19" ref="AK42:AK60">SUM(AD42:AJ42)</f>
        <v>606513</v>
      </c>
      <c r="AL42" s="11"/>
      <c r="AM42" s="11"/>
      <c r="AN42" s="11">
        <v>83174057</v>
      </c>
      <c r="AQ42" s="124" t="s">
        <v>64</v>
      </c>
      <c r="AR42" s="11">
        <f aca="true" t="shared" si="20" ref="AR42:AR59">+AM42+AN42</f>
        <v>83174057</v>
      </c>
      <c r="AS42" s="11">
        <v>45000000</v>
      </c>
      <c r="AT42" s="11">
        <f>168400000-AA42</f>
        <v>0</v>
      </c>
      <c r="AU42" s="11">
        <f aca="true" t="shared" si="21" ref="AU42:AU60">AR42-(AS42+AT42)</f>
        <v>38174057</v>
      </c>
      <c r="AV42" s="11"/>
      <c r="AW42" s="11">
        <f>-7069519+3701662</f>
        <v>-3367857</v>
      </c>
      <c r="AX42" s="11">
        <f>-1061374+1573011</f>
        <v>511637</v>
      </c>
      <c r="AY42" s="11">
        <v>0</v>
      </c>
      <c r="AZ42" s="11">
        <f>945817+413418</f>
        <v>1359235</v>
      </c>
      <c r="BA42" s="11">
        <f>5378407-5378407</f>
        <v>0</v>
      </c>
      <c r="BB42" s="11">
        <v>0</v>
      </c>
      <c r="BC42" s="11">
        <f>232478+1845799</f>
        <v>2078277</v>
      </c>
      <c r="BD42" s="11">
        <f aca="true" t="shared" si="22" ref="BD42:BD60">SUM(AW42:BC42)</f>
        <v>581292</v>
      </c>
      <c r="BE42" s="11"/>
      <c r="BF42" s="11">
        <v>37535300</v>
      </c>
      <c r="BG42" s="11">
        <v>57465</v>
      </c>
      <c r="BI42" s="159">
        <f aca="true" t="shared" si="23" ref="BI42:BI60">AU42-(BD42+BF42+BG42)</f>
        <v>0</v>
      </c>
    </row>
    <row r="43" spans="1:61" ht="12.75">
      <c r="A43" s="124" t="s">
        <v>65</v>
      </c>
      <c r="B43" s="11">
        <v>225973410</v>
      </c>
      <c r="C43" s="11"/>
      <c r="D43" s="11"/>
      <c r="E43" s="11">
        <f t="shared" si="14"/>
        <v>225973410</v>
      </c>
      <c r="F43" s="11"/>
      <c r="G43" s="11">
        <v>127325159</v>
      </c>
      <c r="H43" s="11">
        <v>0</v>
      </c>
      <c r="I43" s="11">
        <v>0</v>
      </c>
      <c r="J43" s="11">
        <v>12509090</v>
      </c>
      <c r="K43" s="11">
        <v>0</v>
      </c>
      <c r="L43" s="11"/>
      <c r="M43" s="11">
        <v>52802390</v>
      </c>
      <c r="N43" s="11">
        <f t="shared" si="15"/>
        <v>192636639</v>
      </c>
      <c r="O43" s="11"/>
      <c r="P43" s="11">
        <v>33336771</v>
      </c>
      <c r="Q43" s="11"/>
      <c r="S43" s="158">
        <f t="shared" si="16"/>
        <v>0.06493619316105281</v>
      </c>
      <c r="T43" s="158">
        <f t="shared" si="17"/>
        <v>0.05535646871019028</v>
      </c>
      <c r="X43" s="124" t="s">
        <v>65</v>
      </c>
      <c r="Y43" s="11">
        <v>225973410</v>
      </c>
      <c r="Z43" s="11"/>
      <c r="AA43" s="11"/>
      <c r="AB43" s="11">
        <f t="shared" si="18"/>
        <v>225973410</v>
      </c>
      <c r="AC43" s="11"/>
      <c r="AD43" s="11">
        <f>160661930-G43</f>
        <v>33336771</v>
      </c>
      <c r="AE43" s="11"/>
      <c r="AF43" s="11"/>
      <c r="AG43" s="11">
        <f>12509090-J43</f>
        <v>0</v>
      </c>
      <c r="AH43" s="11"/>
      <c r="AI43" s="11"/>
      <c r="AJ43" s="11">
        <f>52802390-M43</f>
        <v>0</v>
      </c>
      <c r="AK43" s="11">
        <f t="shared" si="19"/>
        <v>33336771</v>
      </c>
      <c r="AL43" s="11"/>
      <c r="AM43" s="11"/>
      <c r="AN43" s="11"/>
      <c r="AQ43" s="124" t="s">
        <v>65</v>
      </c>
      <c r="AR43" s="11">
        <f t="shared" si="20"/>
        <v>0</v>
      </c>
      <c r="AS43" s="11">
        <v>0</v>
      </c>
      <c r="AT43" s="11">
        <v>0</v>
      </c>
      <c r="AU43" s="11">
        <f t="shared" si="21"/>
        <v>0</v>
      </c>
      <c r="AV43" s="11"/>
      <c r="AW43" s="11">
        <f>160661930-(G43+AD43)</f>
        <v>0</v>
      </c>
      <c r="AX43" s="11">
        <v>0</v>
      </c>
      <c r="AY43" s="11">
        <v>0</v>
      </c>
      <c r="AZ43" s="11">
        <v>0</v>
      </c>
      <c r="BA43" s="11">
        <v>0</v>
      </c>
      <c r="BB43" s="11">
        <v>0</v>
      </c>
      <c r="BC43" s="11">
        <v>0</v>
      </c>
      <c r="BD43" s="11">
        <f t="shared" si="22"/>
        <v>0</v>
      </c>
      <c r="BE43" s="11"/>
      <c r="BF43" s="11">
        <f>AM43</f>
        <v>0</v>
      </c>
      <c r="BG43" s="11">
        <f>AN43</f>
        <v>0</v>
      </c>
      <c r="BI43" s="159">
        <f t="shared" si="23"/>
        <v>0</v>
      </c>
    </row>
    <row r="44" spans="1:63" ht="12.75">
      <c r="A44" s="124" t="s">
        <v>99</v>
      </c>
      <c r="B44" s="11">
        <v>11066221</v>
      </c>
      <c r="C44" s="11"/>
      <c r="D44" s="11"/>
      <c r="E44" s="11">
        <f t="shared" si="14"/>
        <v>11066221</v>
      </c>
      <c r="F44" s="11"/>
      <c r="G44" s="11">
        <v>3342326</v>
      </c>
      <c r="H44" s="11">
        <v>87535</v>
      </c>
      <c r="I44" s="11">
        <v>0</v>
      </c>
      <c r="J44" s="11">
        <v>379017</v>
      </c>
      <c r="K44" s="11">
        <v>153976</v>
      </c>
      <c r="L44" s="11">
        <v>0</v>
      </c>
      <c r="M44" s="11"/>
      <c r="N44" s="11">
        <f t="shared" si="15"/>
        <v>3962854</v>
      </c>
      <c r="O44" s="11"/>
      <c r="P44" s="11">
        <v>103815</v>
      </c>
      <c r="Q44" s="11">
        <v>6999552</v>
      </c>
      <c r="S44" s="158">
        <f t="shared" si="16"/>
        <v>0.0956424334583106</v>
      </c>
      <c r="T44" s="158">
        <f t="shared" si="17"/>
        <v>0.03424990337713299</v>
      </c>
      <c r="X44" s="124" t="s">
        <v>99</v>
      </c>
      <c r="Y44" s="11">
        <v>11066221</v>
      </c>
      <c r="Z44" s="11"/>
      <c r="AA44" s="11"/>
      <c r="AB44" s="11">
        <f t="shared" si="18"/>
        <v>11066221</v>
      </c>
      <c r="AC44" s="11"/>
      <c r="AD44" s="11">
        <f>7897644-G44</f>
        <v>4555318</v>
      </c>
      <c r="AE44" s="11">
        <f>87535-H44</f>
        <v>0</v>
      </c>
      <c r="AF44" s="11"/>
      <c r="AG44" s="11">
        <f>388177-J44</f>
        <v>9160</v>
      </c>
      <c r="AH44" s="11">
        <f>153976-K44</f>
        <v>0</v>
      </c>
      <c r="AI44" s="11"/>
      <c r="AJ44" s="11">
        <f>217628-M44</f>
        <v>217628</v>
      </c>
      <c r="AK44" s="11">
        <f t="shared" si="19"/>
        <v>4782106</v>
      </c>
      <c r="AL44" s="11"/>
      <c r="AM44" s="11"/>
      <c r="AN44" s="11">
        <v>2321261</v>
      </c>
      <c r="AQ44" s="124" t="s">
        <v>99</v>
      </c>
      <c r="AR44" s="11">
        <f t="shared" si="20"/>
        <v>2321261</v>
      </c>
      <c r="AS44" s="11">
        <v>0</v>
      </c>
      <c r="AT44" s="11">
        <v>0</v>
      </c>
      <c r="AU44" s="11">
        <f t="shared" si="21"/>
        <v>2321261</v>
      </c>
      <c r="AV44" s="11"/>
      <c r="AW44" s="11">
        <f>7942534-(G44+AD44)</f>
        <v>44890</v>
      </c>
      <c r="AX44" s="11">
        <f>87535-87535</f>
        <v>0</v>
      </c>
      <c r="AY44" s="11">
        <v>0</v>
      </c>
      <c r="AZ44" s="11">
        <f>388177-388177</f>
        <v>0</v>
      </c>
      <c r="BA44" s="11">
        <f>153976-153976</f>
        <v>0</v>
      </c>
      <c r="BB44" s="11">
        <v>0</v>
      </c>
      <c r="BC44" s="11">
        <f>217628-217628</f>
        <v>0</v>
      </c>
      <c r="BD44" s="11">
        <f t="shared" si="22"/>
        <v>44890</v>
      </c>
      <c r="BE44" s="11"/>
      <c r="BF44" s="11">
        <f aca="true" t="shared" si="24" ref="BF44:BF52">AM44</f>
        <v>0</v>
      </c>
      <c r="BG44" s="11">
        <v>2276371</v>
      </c>
      <c r="BI44" s="159">
        <f t="shared" si="23"/>
        <v>0</v>
      </c>
      <c r="BK44" s="160" t="s">
        <v>249</v>
      </c>
    </row>
    <row r="45" spans="1:61" ht="12.75">
      <c r="A45" s="124" t="s">
        <v>67</v>
      </c>
      <c r="B45" s="11">
        <v>727968260</v>
      </c>
      <c r="C45" s="11"/>
      <c r="D45" s="11"/>
      <c r="E45" s="11">
        <f t="shared" si="14"/>
        <v>727968260</v>
      </c>
      <c r="F45" s="11"/>
      <c r="G45" s="11">
        <v>367487793</v>
      </c>
      <c r="H45" s="11">
        <v>2103741</v>
      </c>
      <c r="I45" s="11">
        <v>0</v>
      </c>
      <c r="J45" s="11">
        <v>23342616</v>
      </c>
      <c r="K45" s="11">
        <v>0</v>
      </c>
      <c r="L45" s="11">
        <v>0</v>
      </c>
      <c r="M45" s="11">
        <v>61854190</v>
      </c>
      <c r="N45" s="11">
        <f t="shared" si="15"/>
        <v>454788340</v>
      </c>
      <c r="O45" s="11"/>
      <c r="P45" s="11">
        <v>273788340</v>
      </c>
      <c r="Q45" s="11"/>
      <c r="S45" s="158">
        <f t="shared" si="16"/>
        <v>0.05132632907870945</v>
      </c>
      <c r="T45" s="158">
        <f t="shared" si="17"/>
        <v>0.03206543098458716</v>
      </c>
      <c r="X45" s="124" t="s">
        <v>67</v>
      </c>
      <c r="Y45" s="11">
        <v>727968260</v>
      </c>
      <c r="Z45" s="11">
        <v>0</v>
      </c>
      <c r="AA45" s="11">
        <v>0</v>
      </c>
      <c r="AB45" s="11">
        <f t="shared" si="18"/>
        <v>727968260</v>
      </c>
      <c r="AC45" s="11"/>
      <c r="AD45" s="11">
        <f>508860364-G45</f>
        <v>141372571</v>
      </c>
      <c r="AE45" s="11">
        <f>3034139-H45</f>
        <v>930398</v>
      </c>
      <c r="AF45" s="11"/>
      <c r="AG45" s="11">
        <f>32221858-J45</f>
        <v>8879242</v>
      </c>
      <c r="AH45" s="11"/>
      <c r="AI45" s="11"/>
      <c r="AJ45" s="11">
        <f>108851899-M45</f>
        <v>46997709</v>
      </c>
      <c r="AK45" s="11">
        <f t="shared" si="19"/>
        <v>198179920</v>
      </c>
      <c r="AL45" s="11"/>
      <c r="AM45" s="11">
        <v>75000000</v>
      </c>
      <c r="AN45" s="11"/>
      <c r="AQ45" s="124" t="s">
        <v>67</v>
      </c>
      <c r="AR45" s="11">
        <f t="shared" si="20"/>
        <v>75000000</v>
      </c>
      <c r="AS45" s="11">
        <v>0</v>
      </c>
      <c r="AT45" s="11">
        <v>72796826</v>
      </c>
      <c r="AU45" s="11">
        <f t="shared" si="21"/>
        <v>2203174</v>
      </c>
      <c r="AV45" s="11"/>
      <c r="AW45" s="11">
        <f>436063538-508860364</f>
        <v>-72796826</v>
      </c>
      <c r="AX45" s="11">
        <f>3034139-3034139</f>
        <v>0</v>
      </c>
      <c r="AY45" s="11">
        <v>0</v>
      </c>
      <c r="AZ45" s="11">
        <f>32221858-32221858</f>
        <v>0</v>
      </c>
      <c r="BA45" s="11">
        <v>0</v>
      </c>
      <c r="BB45" s="11">
        <v>0</v>
      </c>
      <c r="BC45" s="11">
        <f>108851899-108851899</f>
        <v>0</v>
      </c>
      <c r="BD45" s="11">
        <f t="shared" si="22"/>
        <v>-72796826</v>
      </c>
      <c r="BE45" s="11"/>
      <c r="BF45" s="11">
        <f t="shared" si="24"/>
        <v>75000000</v>
      </c>
      <c r="BG45" s="11">
        <f>AN45</f>
        <v>0</v>
      </c>
      <c r="BI45" s="159">
        <f t="shared" si="23"/>
        <v>0</v>
      </c>
    </row>
    <row r="46" spans="1:61" ht="12.75">
      <c r="A46" s="124" t="s">
        <v>68</v>
      </c>
      <c r="B46" s="11">
        <v>148013558</v>
      </c>
      <c r="C46" s="11">
        <v>5200000</v>
      </c>
      <c r="D46" s="11"/>
      <c r="E46" s="11">
        <f t="shared" si="14"/>
        <v>142813558</v>
      </c>
      <c r="F46" s="11"/>
      <c r="G46" s="11">
        <v>59990302</v>
      </c>
      <c r="H46" s="11">
        <v>10709174</v>
      </c>
      <c r="I46" s="11">
        <v>0</v>
      </c>
      <c r="J46" s="11">
        <v>2534125</v>
      </c>
      <c r="K46" s="11">
        <v>492604</v>
      </c>
      <c r="L46" s="11">
        <v>0</v>
      </c>
      <c r="M46" s="11">
        <v>12539088</v>
      </c>
      <c r="N46" s="11">
        <f t="shared" si="15"/>
        <v>86265293</v>
      </c>
      <c r="O46" s="11"/>
      <c r="P46" s="11">
        <v>0</v>
      </c>
      <c r="Q46" s="11">
        <v>56548265</v>
      </c>
      <c r="S46" s="158">
        <f t="shared" si="16"/>
        <v>0.029375950766202117</v>
      </c>
      <c r="T46" s="158">
        <f t="shared" si="17"/>
        <v>0.017120897803159358</v>
      </c>
      <c r="X46" s="124" t="s">
        <v>68</v>
      </c>
      <c r="Y46" s="11">
        <v>148013558</v>
      </c>
      <c r="Z46" s="11">
        <v>5200000</v>
      </c>
      <c r="AA46" s="11"/>
      <c r="AB46" s="11">
        <f t="shared" si="18"/>
        <v>142813558</v>
      </c>
      <c r="AC46" s="11"/>
      <c r="AD46" s="11">
        <f>92450150-G46</f>
        <v>32459848</v>
      </c>
      <c r="AE46" s="11">
        <f>18611471-H46</f>
        <v>7902297</v>
      </c>
      <c r="AF46" s="11"/>
      <c r="AG46" s="11">
        <f>10358833-J46</f>
        <v>7824708</v>
      </c>
      <c r="AH46" s="11">
        <f>1452403-K46</f>
        <v>959799</v>
      </c>
      <c r="AI46" s="11"/>
      <c r="AJ46" s="11">
        <f>19940701-M46</f>
        <v>7401613</v>
      </c>
      <c r="AK46" s="11">
        <f t="shared" si="19"/>
        <v>56548265</v>
      </c>
      <c r="AL46" s="11"/>
      <c r="AM46" s="11">
        <v>0</v>
      </c>
      <c r="AN46" s="11"/>
      <c r="AQ46" s="124" t="s">
        <v>68</v>
      </c>
      <c r="AR46" s="11">
        <f t="shared" si="20"/>
        <v>0</v>
      </c>
      <c r="AS46" s="11">
        <f>5200000-Z46</f>
        <v>0</v>
      </c>
      <c r="AT46" s="11">
        <f>2600000-AA46</f>
        <v>2600000</v>
      </c>
      <c r="AU46" s="11">
        <f t="shared" si="21"/>
        <v>-2600000</v>
      </c>
      <c r="AV46" s="11"/>
      <c r="AW46" s="11">
        <f>89850150-(G46+AD46)</f>
        <v>-2600000</v>
      </c>
      <c r="AX46" s="11">
        <f>18611471-(H46+AE46)</f>
        <v>0</v>
      </c>
      <c r="AY46" s="11">
        <v>0</v>
      </c>
      <c r="AZ46" s="11">
        <f>10358833-(J46+AG46)</f>
        <v>0</v>
      </c>
      <c r="BA46" s="11">
        <f>1452403-(K46+AH46)</f>
        <v>0</v>
      </c>
      <c r="BB46" s="11">
        <v>0</v>
      </c>
      <c r="BC46" s="11">
        <f>19940701-(M46+AJ46)</f>
        <v>0</v>
      </c>
      <c r="BD46" s="11">
        <f t="shared" si="22"/>
        <v>-2600000</v>
      </c>
      <c r="BE46" s="11"/>
      <c r="BF46" s="11">
        <f t="shared" si="24"/>
        <v>0</v>
      </c>
      <c r="BG46" s="11">
        <f>AN46</f>
        <v>0</v>
      </c>
      <c r="BI46" s="159">
        <f t="shared" si="23"/>
        <v>0</v>
      </c>
    </row>
    <row r="47" spans="1:61" ht="12.75">
      <c r="A47" s="124" t="s">
        <v>100</v>
      </c>
      <c r="B47" s="14">
        <v>167808448</v>
      </c>
      <c r="C47" s="15"/>
      <c r="D47" s="15"/>
      <c r="E47" s="14">
        <f t="shared" si="14"/>
        <v>167808448</v>
      </c>
      <c r="F47" s="17"/>
      <c r="G47" s="17">
        <v>115538209</v>
      </c>
      <c r="H47" s="17">
        <v>28814925</v>
      </c>
      <c r="I47" s="17">
        <v>1011783</v>
      </c>
      <c r="J47" s="17">
        <v>20127513</v>
      </c>
      <c r="K47" s="17">
        <v>2237075</v>
      </c>
      <c r="L47" s="17"/>
      <c r="M47" s="17">
        <v>78943</v>
      </c>
      <c r="N47" s="17">
        <f t="shared" si="15"/>
        <v>167808448</v>
      </c>
      <c r="O47" s="17"/>
      <c r="P47" s="17"/>
      <c r="Q47" s="17"/>
      <c r="S47" s="158">
        <f t="shared" si="16"/>
        <v>0.11994338330332452</v>
      </c>
      <c r="T47" s="158">
        <f t="shared" si="17"/>
        <v>0.11994338330332452</v>
      </c>
      <c r="X47" s="124" t="s">
        <v>100</v>
      </c>
      <c r="Y47" s="14">
        <v>167808448</v>
      </c>
      <c r="Z47" s="15"/>
      <c r="AA47" s="15"/>
      <c r="AB47" s="14">
        <f t="shared" si="18"/>
        <v>167808448</v>
      </c>
      <c r="AC47" s="17"/>
      <c r="AD47" s="17"/>
      <c r="AE47" s="17"/>
      <c r="AF47" s="17"/>
      <c r="AG47" s="17"/>
      <c r="AH47" s="17"/>
      <c r="AI47" s="17"/>
      <c r="AJ47" s="17"/>
      <c r="AK47" s="17">
        <f t="shared" si="19"/>
        <v>0</v>
      </c>
      <c r="AL47" s="17"/>
      <c r="AM47" s="17"/>
      <c r="AN47" s="17"/>
      <c r="AQ47" s="124" t="s">
        <v>100</v>
      </c>
      <c r="AR47" s="11">
        <f t="shared" si="20"/>
        <v>0</v>
      </c>
      <c r="AS47" s="15">
        <v>0</v>
      </c>
      <c r="AT47" s="15">
        <v>0</v>
      </c>
      <c r="AU47" s="14">
        <f t="shared" si="21"/>
        <v>0</v>
      </c>
      <c r="AV47" s="17"/>
      <c r="AW47" s="17">
        <v>0</v>
      </c>
      <c r="AX47" s="17">
        <v>0</v>
      </c>
      <c r="AY47" s="17">
        <v>0</v>
      </c>
      <c r="AZ47" s="17">
        <v>0</v>
      </c>
      <c r="BA47" s="17">
        <v>0</v>
      </c>
      <c r="BB47" s="17">
        <v>0</v>
      </c>
      <c r="BC47" s="17">
        <v>0</v>
      </c>
      <c r="BD47" s="17">
        <f t="shared" si="22"/>
        <v>0</v>
      </c>
      <c r="BE47" s="17"/>
      <c r="BF47" s="11">
        <f t="shared" si="24"/>
        <v>0</v>
      </c>
      <c r="BG47" s="11">
        <f>AN47</f>
        <v>0</v>
      </c>
      <c r="BH47" s="123" t="s">
        <v>295</v>
      </c>
      <c r="BI47" s="159">
        <f t="shared" si="23"/>
        <v>0</v>
      </c>
    </row>
    <row r="48" spans="1:61" ht="12.75">
      <c r="A48" s="124" t="s">
        <v>70</v>
      </c>
      <c r="B48" s="11">
        <v>418343381</v>
      </c>
      <c r="C48" s="11"/>
      <c r="D48" s="11"/>
      <c r="E48" s="11">
        <f t="shared" si="14"/>
        <v>418343381</v>
      </c>
      <c r="F48" s="11"/>
      <c r="G48" s="11">
        <v>229421794</v>
      </c>
      <c r="H48" s="11">
        <v>732475</v>
      </c>
      <c r="I48" s="11">
        <v>0</v>
      </c>
      <c r="J48" s="11">
        <v>41034676</v>
      </c>
      <c r="K48" s="11">
        <v>2447353</v>
      </c>
      <c r="L48" s="11">
        <v>0</v>
      </c>
      <c r="M48" s="11">
        <v>19926376</v>
      </c>
      <c r="N48" s="11">
        <f t="shared" si="15"/>
        <v>293562674</v>
      </c>
      <c r="O48" s="11"/>
      <c r="P48" s="11">
        <v>48970269</v>
      </c>
      <c r="Q48" s="11">
        <v>75810438</v>
      </c>
      <c r="S48" s="158">
        <f t="shared" si="16"/>
        <v>0.13978165357629901</v>
      </c>
      <c r="T48" s="158">
        <f t="shared" si="17"/>
        <v>0.09808850304243251</v>
      </c>
      <c r="X48" s="124" t="s">
        <v>70</v>
      </c>
      <c r="Y48" s="11">
        <v>418343381</v>
      </c>
      <c r="Z48" s="11"/>
      <c r="AA48" s="11"/>
      <c r="AB48" s="11">
        <f t="shared" si="18"/>
        <v>418343381</v>
      </c>
      <c r="AC48" s="11"/>
      <c r="AD48" s="11">
        <f>216305276-G48</f>
        <v>-13116518</v>
      </c>
      <c r="AE48" s="11">
        <f>13937415-H48</f>
        <v>13204940</v>
      </c>
      <c r="AF48" s="11"/>
      <c r="AG48" s="11">
        <f>62751507-J48</f>
        <v>21716831</v>
      </c>
      <c r="AH48" s="11">
        <f>2447353-K48</f>
        <v>0</v>
      </c>
      <c r="AI48" s="11"/>
      <c r="AJ48" s="11">
        <f>122901830-M48</f>
        <v>102975454</v>
      </c>
      <c r="AK48" s="11">
        <f t="shared" si="19"/>
        <v>124780707</v>
      </c>
      <c r="AL48" s="11"/>
      <c r="AM48" s="11"/>
      <c r="AN48" s="11"/>
      <c r="AQ48" s="124" t="s">
        <v>70</v>
      </c>
      <c r="AR48" s="11">
        <f t="shared" si="20"/>
        <v>0</v>
      </c>
      <c r="AS48" s="11">
        <v>0</v>
      </c>
      <c r="AT48" s="11">
        <v>0</v>
      </c>
      <c r="AU48" s="11">
        <f t="shared" si="21"/>
        <v>0</v>
      </c>
      <c r="AV48" s="11"/>
      <c r="AW48" s="11">
        <f>-2000023+272948</f>
        <v>-1727075</v>
      </c>
      <c r="AX48" s="11">
        <f>1997066</f>
        <v>1997066</v>
      </c>
      <c r="AY48" s="11">
        <v>0</v>
      </c>
      <c r="AZ48" s="11">
        <f>62751507-62751507</f>
        <v>0</v>
      </c>
      <c r="BA48" s="11">
        <f>2447353-2447353</f>
        <v>0</v>
      </c>
      <c r="BB48" s="11">
        <v>0</v>
      </c>
      <c r="BC48" s="11">
        <f>2957-272948</f>
        <v>-269991</v>
      </c>
      <c r="BD48" s="11">
        <f t="shared" si="22"/>
        <v>0</v>
      </c>
      <c r="BE48" s="11"/>
      <c r="BF48" s="11">
        <f t="shared" si="24"/>
        <v>0</v>
      </c>
      <c r="BG48" s="11">
        <f>AN48</f>
        <v>0</v>
      </c>
      <c r="BH48" s="123" t="s">
        <v>295</v>
      </c>
      <c r="BI48" s="159">
        <f t="shared" si="23"/>
        <v>0</v>
      </c>
    </row>
    <row r="49" spans="1:61" ht="12.75">
      <c r="A49" s="124" t="s">
        <v>71</v>
      </c>
      <c r="B49" s="14">
        <v>46025651</v>
      </c>
      <c r="C49" s="15"/>
      <c r="D49" s="15"/>
      <c r="E49" s="14">
        <f t="shared" si="14"/>
        <v>46025651</v>
      </c>
      <c r="F49" s="17"/>
      <c r="G49" s="17">
        <v>31804223</v>
      </c>
      <c r="H49" s="17">
        <v>899199</v>
      </c>
      <c r="I49" s="17"/>
      <c r="J49" s="17">
        <v>3675027</v>
      </c>
      <c r="K49" s="17">
        <v>485428</v>
      </c>
      <c r="L49" s="17"/>
      <c r="M49" s="17"/>
      <c r="N49" s="17">
        <f t="shared" si="15"/>
        <v>36863877</v>
      </c>
      <c r="O49" s="17"/>
      <c r="P49" s="17"/>
      <c r="Q49" s="17">
        <v>9161666</v>
      </c>
      <c r="S49" s="158">
        <f t="shared" si="16"/>
        <v>0.09969182026079351</v>
      </c>
      <c r="T49" s="158">
        <f t="shared" si="17"/>
        <v>0.07984736598293851</v>
      </c>
      <c r="X49" s="124" t="s">
        <v>71</v>
      </c>
      <c r="Y49" s="14">
        <v>46025651</v>
      </c>
      <c r="Z49" s="15"/>
      <c r="AA49" s="15"/>
      <c r="AB49" s="14">
        <f t="shared" si="18"/>
        <v>46025651</v>
      </c>
      <c r="AC49" s="17"/>
      <c r="AD49" s="17">
        <f>31804223-G49</f>
        <v>0</v>
      </c>
      <c r="AE49" s="17">
        <f>899199-H49</f>
        <v>0</v>
      </c>
      <c r="AF49" s="17"/>
      <c r="AG49" s="17">
        <f>3675027-J49</f>
        <v>0</v>
      </c>
      <c r="AH49" s="17">
        <f>485428-K49</f>
        <v>0</v>
      </c>
      <c r="AI49" s="17"/>
      <c r="AJ49" s="17"/>
      <c r="AK49" s="17">
        <f t="shared" si="19"/>
        <v>0</v>
      </c>
      <c r="AL49" s="17"/>
      <c r="AM49" s="17"/>
      <c r="AN49" s="17">
        <v>9161774</v>
      </c>
      <c r="AQ49" s="124" t="s">
        <v>71</v>
      </c>
      <c r="AR49" s="11">
        <f t="shared" si="20"/>
        <v>9161774</v>
      </c>
      <c r="AS49" s="15">
        <v>0</v>
      </c>
      <c r="AT49" s="15">
        <v>0</v>
      </c>
      <c r="AU49" s="14">
        <f t="shared" si="21"/>
        <v>9161774</v>
      </c>
      <c r="AV49" s="17"/>
      <c r="AW49" s="11">
        <f>37804808-31804223</f>
        <v>6000585</v>
      </c>
      <c r="AX49" s="11">
        <f>899199-899199</f>
        <v>0</v>
      </c>
      <c r="AY49" s="17">
        <v>0</v>
      </c>
      <c r="AZ49" s="11">
        <f>6836216-3675027</f>
        <v>3161189</v>
      </c>
      <c r="BA49" s="11">
        <f>485428-485428</f>
        <v>0</v>
      </c>
      <c r="BB49" s="17">
        <v>0</v>
      </c>
      <c r="BC49" s="17">
        <v>0</v>
      </c>
      <c r="BD49" s="17">
        <f t="shared" si="22"/>
        <v>9161774</v>
      </c>
      <c r="BE49" s="17"/>
      <c r="BF49" s="11">
        <f t="shared" si="24"/>
        <v>0</v>
      </c>
      <c r="BG49" s="11">
        <v>0</v>
      </c>
      <c r="BH49" s="123" t="s">
        <v>295</v>
      </c>
      <c r="BI49" s="159">
        <f t="shared" si="23"/>
        <v>0</v>
      </c>
    </row>
    <row r="50" spans="1:61" ht="12.75">
      <c r="A50" s="124" t="s">
        <v>72</v>
      </c>
      <c r="B50" s="11">
        <v>93872849</v>
      </c>
      <c r="C50" s="11"/>
      <c r="D50" s="11"/>
      <c r="E50" s="11">
        <f t="shared" si="14"/>
        <v>93872849</v>
      </c>
      <c r="F50" s="11"/>
      <c r="G50" s="11">
        <v>45205110</v>
      </c>
      <c r="H50" s="11">
        <v>9247860</v>
      </c>
      <c r="I50" s="11">
        <v>0</v>
      </c>
      <c r="J50" s="11">
        <v>7110806</v>
      </c>
      <c r="K50" s="11">
        <v>2660099</v>
      </c>
      <c r="L50" s="11">
        <v>0</v>
      </c>
      <c r="M50" s="11">
        <v>12205881</v>
      </c>
      <c r="N50" s="11">
        <f t="shared" si="15"/>
        <v>76429756</v>
      </c>
      <c r="O50" s="11"/>
      <c r="P50" s="11"/>
      <c r="Q50" s="11">
        <v>17443093</v>
      </c>
      <c r="S50" s="158">
        <f t="shared" si="16"/>
        <v>0.09303714118883226</v>
      </c>
      <c r="T50" s="158">
        <f t="shared" si="17"/>
        <v>0.07574933621115515</v>
      </c>
      <c r="X50" s="124" t="s">
        <v>72</v>
      </c>
      <c r="Y50" s="11">
        <v>93872849</v>
      </c>
      <c r="Z50" s="11"/>
      <c r="AA50" s="11">
        <v>5003218</v>
      </c>
      <c r="AB50" s="11">
        <f t="shared" si="18"/>
        <v>88869631</v>
      </c>
      <c r="AC50" s="11"/>
      <c r="AD50" s="11">
        <f>45205110-G50</f>
        <v>0</v>
      </c>
      <c r="AE50" s="11">
        <f>10772300-H50</f>
        <v>1524440</v>
      </c>
      <c r="AF50" s="11"/>
      <c r="AG50" s="11">
        <f>7110806-J50</f>
        <v>0</v>
      </c>
      <c r="AH50" s="11">
        <f>2660099-K50</f>
        <v>0</v>
      </c>
      <c r="AI50" s="11"/>
      <c r="AJ50" s="11">
        <f>12205881-M50</f>
        <v>0</v>
      </c>
      <c r="AK50" s="11">
        <f t="shared" si="19"/>
        <v>1524440</v>
      </c>
      <c r="AL50" s="11"/>
      <c r="AM50" s="11"/>
      <c r="AN50" s="11">
        <v>10915435</v>
      </c>
      <c r="AQ50" s="124" t="s">
        <v>72</v>
      </c>
      <c r="AR50" s="11">
        <f t="shared" si="20"/>
        <v>10915435</v>
      </c>
      <c r="AS50" s="11">
        <v>0</v>
      </c>
      <c r="AT50" s="11">
        <f>9387285-AA50</f>
        <v>4384067</v>
      </c>
      <c r="AU50" s="11">
        <f t="shared" si="21"/>
        <v>6531368</v>
      </c>
      <c r="AV50" s="11"/>
      <c r="AW50" s="11">
        <f>45205110-(G50+AD50)</f>
        <v>0</v>
      </c>
      <c r="AX50" s="11">
        <f>10772300-(H50+AE50)</f>
        <v>0</v>
      </c>
      <c r="AY50" s="11">
        <v>0</v>
      </c>
      <c r="AZ50" s="11">
        <f>7110806-(J50+AG50)</f>
        <v>0</v>
      </c>
      <c r="BA50" s="11">
        <f>2660099-(K50+AH50)</f>
        <v>0</v>
      </c>
      <c r="BB50" s="11">
        <v>0</v>
      </c>
      <c r="BC50" s="11">
        <f>12205881-(M50+AJ50)</f>
        <v>0</v>
      </c>
      <c r="BD50" s="11">
        <f t="shared" si="22"/>
        <v>0</v>
      </c>
      <c r="BE50" s="11"/>
      <c r="BF50" s="11">
        <f t="shared" si="24"/>
        <v>0</v>
      </c>
      <c r="BG50" s="11">
        <v>6531368</v>
      </c>
      <c r="BI50" s="159">
        <f t="shared" si="23"/>
        <v>0</v>
      </c>
    </row>
    <row r="51" spans="1:61" ht="12.75">
      <c r="A51" s="124" t="s">
        <v>73</v>
      </c>
      <c r="B51" s="11">
        <v>18759543</v>
      </c>
      <c r="C51" s="11"/>
      <c r="D51" s="11"/>
      <c r="E51" s="11">
        <f t="shared" si="14"/>
        <v>18759543</v>
      </c>
      <c r="F51" s="11"/>
      <c r="G51" s="11">
        <v>6175286</v>
      </c>
      <c r="H51" s="11">
        <v>654559</v>
      </c>
      <c r="I51" s="11">
        <v>0</v>
      </c>
      <c r="J51" s="11">
        <v>2122850</v>
      </c>
      <c r="K51" s="11">
        <v>125622</v>
      </c>
      <c r="L51" s="11">
        <v>0</v>
      </c>
      <c r="M51" s="11">
        <v>2722358</v>
      </c>
      <c r="N51" s="11">
        <f t="shared" si="15"/>
        <v>11800675</v>
      </c>
      <c r="O51" s="11"/>
      <c r="P51" s="11">
        <v>6958868</v>
      </c>
      <c r="Q51" s="11">
        <v>0</v>
      </c>
      <c r="S51" s="158">
        <f t="shared" si="16"/>
        <v>0.17989225192626693</v>
      </c>
      <c r="T51" s="158">
        <f t="shared" si="17"/>
        <v>0.11316107220735601</v>
      </c>
      <c r="X51" s="124" t="s">
        <v>73</v>
      </c>
      <c r="Y51" s="11">
        <v>18759543</v>
      </c>
      <c r="Z51" s="11"/>
      <c r="AA51" s="11"/>
      <c r="AB51" s="11">
        <f t="shared" si="18"/>
        <v>18759543</v>
      </c>
      <c r="AC51" s="11"/>
      <c r="AD51" s="11">
        <f>9766265-G51</f>
        <v>3590979</v>
      </c>
      <c r="AE51" s="11">
        <f>654559-H51</f>
        <v>0</v>
      </c>
      <c r="AF51" s="11"/>
      <c r="AG51" s="11">
        <f>2122856-J51</f>
        <v>6</v>
      </c>
      <c r="AH51" s="11">
        <f>127541-K51</f>
        <v>1919</v>
      </c>
      <c r="AI51" s="11"/>
      <c r="AJ51" s="11">
        <f>2722358-M51</f>
        <v>0</v>
      </c>
      <c r="AK51" s="11">
        <f t="shared" si="19"/>
        <v>3592904</v>
      </c>
      <c r="AL51" s="11"/>
      <c r="AM51" s="11">
        <v>3365964</v>
      </c>
      <c r="AN51" s="11">
        <v>0</v>
      </c>
      <c r="AQ51" s="124" t="s">
        <v>73</v>
      </c>
      <c r="AR51" s="11">
        <f t="shared" si="20"/>
        <v>3365964</v>
      </c>
      <c r="AS51" s="11"/>
      <c r="AT51" s="11"/>
      <c r="AU51" s="11">
        <f t="shared" si="21"/>
        <v>3365964</v>
      </c>
      <c r="AV51" s="11"/>
      <c r="AW51" s="11">
        <f>9766265-(G51+AD51)</f>
        <v>0</v>
      </c>
      <c r="AX51" s="11">
        <f>654559-(H51+AE51)</f>
        <v>0</v>
      </c>
      <c r="AY51" s="11"/>
      <c r="AZ51" s="11">
        <f>2122856-(J51+AG51)</f>
        <v>0</v>
      </c>
      <c r="BA51" s="11">
        <f>127541-(K51+AH51)</f>
        <v>0</v>
      </c>
      <c r="BB51" s="11">
        <v>0</v>
      </c>
      <c r="BC51" s="11">
        <f>2722358-(M51+AJ51)</f>
        <v>0</v>
      </c>
      <c r="BD51" s="11">
        <f t="shared" si="22"/>
        <v>0</v>
      </c>
      <c r="BE51" s="11"/>
      <c r="BF51" s="11">
        <f t="shared" si="24"/>
        <v>3365964</v>
      </c>
      <c r="BG51" s="11">
        <f aca="true" t="shared" si="25" ref="BG51:BG60">AN51</f>
        <v>0</v>
      </c>
      <c r="BI51" s="159">
        <f t="shared" si="23"/>
        <v>0</v>
      </c>
    </row>
    <row r="52" spans="1:61" ht="12.75">
      <c r="A52" s="124" t="s">
        <v>101</v>
      </c>
      <c r="B52" s="14">
        <v>191523797</v>
      </c>
      <c r="C52" s="14">
        <v>12673948</v>
      </c>
      <c r="D52" s="14"/>
      <c r="E52" s="14">
        <f t="shared" si="14"/>
        <v>178849849</v>
      </c>
      <c r="F52" s="17"/>
      <c r="G52" s="17">
        <v>103060508</v>
      </c>
      <c r="H52" s="17">
        <v>21314373</v>
      </c>
      <c r="I52" s="17"/>
      <c r="J52" s="17">
        <v>10195726</v>
      </c>
      <c r="K52" s="17">
        <v>2750487</v>
      </c>
      <c r="L52" s="17"/>
      <c r="M52" s="17">
        <v>8226394</v>
      </c>
      <c r="N52" s="17">
        <f t="shared" si="15"/>
        <v>145547488</v>
      </c>
      <c r="O52" s="17"/>
      <c r="P52" s="17">
        <v>4566689</v>
      </c>
      <c r="Q52" s="17">
        <v>28735672</v>
      </c>
      <c r="S52" s="158">
        <f t="shared" si="16"/>
        <v>0.07005085515457334</v>
      </c>
      <c r="T52" s="158">
        <f t="shared" si="17"/>
        <v>0.053234773744591124</v>
      </c>
      <c r="X52" s="124" t="s">
        <v>101</v>
      </c>
      <c r="Y52" s="14">
        <v>191523797</v>
      </c>
      <c r="Z52" s="14">
        <v>16396912</v>
      </c>
      <c r="AA52" s="14"/>
      <c r="AB52" s="14">
        <f t="shared" si="18"/>
        <v>175126885</v>
      </c>
      <c r="AC52" s="17"/>
      <c r="AD52" s="17">
        <f>103028003-G52</f>
        <v>-32505</v>
      </c>
      <c r="AE52" s="17">
        <f>22418132-H52</f>
        <v>1103759</v>
      </c>
      <c r="AF52" s="17"/>
      <c r="AG52" s="17">
        <f>7954307-J52</f>
        <v>-2241419</v>
      </c>
      <c r="AH52" s="17">
        <f>3160992-K52</f>
        <v>410505</v>
      </c>
      <c r="AI52" s="17"/>
      <c r="AJ52" s="17">
        <f>8226394-M52</f>
        <v>0</v>
      </c>
      <c r="AK52" s="17">
        <f t="shared" si="19"/>
        <v>-759660</v>
      </c>
      <c r="AL52" s="17"/>
      <c r="AM52" s="17">
        <v>1603385</v>
      </c>
      <c r="AN52" s="17">
        <v>28735672</v>
      </c>
      <c r="AQ52" s="124" t="s">
        <v>101</v>
      </c>
      <c r="AR52" s="11">
        <f t="shared" si="20"/>
        <v>30339057</v>
      </c>
      <c r="AS52" s="14">
        <f>16396912-Z52</f>
        <v>0</v>
      </c>
      <c r="AT52" s="14"/>
      <c r="AU52" s="14">
        <f t="shared" si="21"/>
        <v>30339057</v>
      </c>
      <c r="AV52" s="17"/>
      <c r="AW52" s="17">
        <v>0</v>
      </c>
      <c r="AX52" s="17">
        <v>0</v>
      </c>
      <c r="AY52" s="17">
        <v>0</v>
      </c>
      <c r="AZ52" s="17">
        <v>0</v>
      </c>
      <c r="BA52" s="17">
        <v>0</v>
      </c>
      <c r="BB52" s="17">
        <v>0</v>
      </c>
      <c r="BC52" s="17">
        <v>0</v>
      </c>
      <c r="BD52" s="17">
        <f t="shared" si="22"/>
        <v>0</v>
      </c>
      <c r="BE52" s="17"/>
      <c r="BF52" s="11">
        <f t="shared" si="24"/>
        <v>1603385</v>
      </c>
      <c r="BG52" s="11">
        <f t="shared" si="25"/>
        <v>28735672</v>
      </c>
      <c r="BI52" s="159">
        <f t="shared" si="23"/>
        <v>0</v>
      </c>
    </row>
    <row r="53" spans="1:61" ht="12.75">
      <c r="A53" s="124" t="s">
        <v>75</v>
      </c>
      <c r="B53" s="11">
        <v>431610973</v>
      </c>
      <c r="C53" s="11"/>
      <c r="D53" s="11"/>
      <c r="E53" s="11">
        <f t="shared" si="14"/>
        <v>431610973</v>
      </c>
      <c r="F53" s="11"/>
      <c r="G53" s="11">
        <v>221754008</v>
      </c>
      <c r="H53" s="11">
        <v>27406126</v>
      </c>
      <c r="I53" s="11">
        <v>0</v>
      </c>
      <c r="J53" s="11">
        <v>17614398</v>
      </c>
      <c r="K53" s="11">
        <v>4944855</v>
      </c>
      <c r="L53" s="11">
        <v>0</v>
      </c>
      <c r="M53" s="11">
        <v>75832098</v>
      </c>
      <c r="N53" s="11">
        <f t="shared" si="15"/>
        <v>347551485</v>
      </c>
      <c r="O53" s="11"/>
      <c r="P53" s="11">
        <v>84059489</v>
      </c>
      <c r="Q53" s="11"/>
      <c r="S53" s="158">
        <f t="shared" si="16"/>
        <v>0.05068140623827287</v>
      </c>
      <c r="T53" s="158">
        <f t="shared" si="17"/>
        <v>0.040810820627583996</v>
      </c>
      <c r="X53" s="124" t="s">
        <v>75</v>
      </c>
      <c r="Y53" s="11">
        <v>431610973</v>
      </c>
      <c r="Z53" s="11"/>
      <c r="AA53" s="11"/>
      <c r="AB53" s="11">
        <f t="shared" si="18"/>
        <v>431610973</v>
      </c>
      <c r="AC53" s="11"/>
      <c r="AD53" s="11">
        <f>244217669-G53</f>
        <v>22463661</v>
      </c>
      <c r="AE53" s="11">
        <f>77599710-H53</f>
        <v>50193584</v>
      </c>
      <c r="AF53" s="11"/>
      <c r="AG53" s="11">
        <f>21237854-J53</f>
        <v>3623456</v>
      </c>
      <c r="AH53" s="11">
        <f>6427274-K53</f>
        <v>1482419</v>
      </c>
      <c r="AI53" s="11"/>
      <c r="AJ53" s="11">
        <f>76006507-M53</f>
        <v>174409</v>
      </c>
      <c r="AK53" s="17">
        <f t="shared" si="19"/>
        <v>77937529</v>
      </c>
      <c r="AL53" s="11"/>
      <c r="AM53" s="11">
        <v>6121960</v>
      </c>
      <c r="AN53" s="11"/>
      <c r="AQ53" s="124" t="s">
        <v>75</v>
      </c>
      <c r="AR53" s="11">
        <f t="shared" si="20"/>
        <v>6121960</v>
      </c>
      <c r="AS53" s="11">
        <v>0</v>
      </c>
      <c r="AT53" s="11">
        <v>0</v>
      </c>
      <c r="AU53" s="11">
        <f t="shared" si="21"/>
        <v>6121960</v>
      </c>
      <c r="AV53" s="11"/>
      <c r="AW53" s="11">
        <f>3759784</f>
        <v>3759784</v>
      </c>
      <c r="AX53" s="11">
        <f>3047173-7519570</f>
        <v>-4472397</v>
      </c>
      <c r="AY53" s="11">
        <v>0</v>
      </c>
      <c r="AZ53" s="11">
        <f>2949277+162328</f>
        <v>3111605</v>
      </c>
      <c r="BA53" s="11">
        <v>79697</v>
      </c>
      <c r="BB53" s="11">
        <v>0</v>
      </c>
      <c r="BC53" s="11">
        <f>45813+3597458</f>
        <v>3643271</v>
      </c>
      <c r="BD53" s="17">
        <f t="shared" si="22"/>
        <v>6121960</v>
      </c>
      <c r="BE53" s="11"/>
      <c r="BF53" s="11">
        <v>0</v>
      </c>
      <c r="BG53" s="11">
        <f t="shared" si="25"/>
        <v>0</v>
      </c>
      <c r="BH53" s="123" t="s">
        <v>295</v>
      </c>
      <c r="BI53" s="159">
        <f t="shared" si="23"/>
        <v>0</v>
      </c>
    </row>
    <row r="54" spans="1:61" ht="12.75">
      <c r="A54" s="124" t="s">
        <v>76</v>
      </c>
      <c r="B54" s="14">
        <v>76829219</v>
      </c>
      <c r="C54" s="15"/>
      <c r="D54" s="15"/>
      <c r="E54" s="14">
        <f t="shared" si="14"/>
        <v>76829219</v>
      </c>
      <c r="F54" s="17"/>
      <c r="G54" s="17">
        <v>45743099</v>
      </c>
      <c r="H54" s="17">
        <v>21480287</v>
      </c>
      <c r="I54" s="17"/>
      <c r="J54" s="17">
        <v>6115853</v>
      </c>
      <c r="K54" s="17">
        <v>537210</v>
      </c>
      <c r="L54" s="17"/>
      <c r="M54" s="17">
        <v>39732</v>
      </c>
      <c r="N54" s="17">
        <f t="shared" si="15"/>
        <v>73916181</v>
      </c>
      <c r="O54" s="17"/>
      <c r="P54" s="17"/>
      <c r="Q54" s="17">
        <v>2913038</v>
      </c>
      <c r="S54" s="158">
        <f t="shared" si="16"/>
        <v>0.0827403812975673</v>
      </c>
      <c r="T54" s="158">
        <f t="shared" si="17"/>
        <v>0.0796032171041593</v>
      </c>
      <c r="X54" s="124" t="s">
        <v>76</v>
      </c>
      <c r="Y54" s="14">
        <v>76829219</v>
      </c>
      <c r="Z54" s="15"/>
      <c r="AA54" s="15"/>
      <c r="AB54" s="14">
        <f t="shared" si="18"/>
        <v>76829219</v>
      </c>
      <c r="AC54" s="17"/>
      <c r="AD54" s="17">
        <f>48656137-G54</f>
        <v>2913038</v>
      </c>
      <c r="AE54" s="17">
        <f>21480287-H54</f>
        <v>0</v>
      </c>
      <c r="AF54" s="17"/>
      <c r="AG54" s="17">
        <f>6115853-J54</f>
        <v>0</v>
      </c>
      <c r="AH54" s="17">
        <f>537210-K54</f>
        <v>0</v>
      </c>
      <c r="AI54" s="17"/>
      <c r="AJ54" s="17">
        <f>39732-M54</f>
        <v>0</v>
      </c>
      <c r="AK54" s="17">
        <f t="shared" si="19"/>
        <v>2913038</v>
      </c>
      <c r="AL54" s="17"/>
      <c r="AM54" s="17"/>
      <c r="AN54" s="17"/>
      <c r="AQ54" s="124" t="s">
        <v>76</v>
      </c>
      <c r="AR54" s="11">
        <f t="shared" si="20"/>
        <v>0</v>
      </c>
      <c r="AS54" s="15">
        <v>0</v>
      </c>
      <c r="AT54" s="15">
        <v>0</v>
      </c>
      <c r="AU54" s="14">
        <f t="shared" si="21"/>
        <v>0</v>
      </c>
      <c r="AV54" s="17"/>
      <c r="AW54" s="17">
        <v>0</v>
      </c>
      <c r="AX54" s="17">
        <v>0</v>
      </c>
      <c r="AY54" s="17">
        <v>0</v>
      </c>
      <c r="AZ54" s="17">
        <v>0</v>
      </c>
      <c r="BA54" s="17">
        <v>0</v>
      </c>
      <c r="BB54" s="17">
        <v>0</v>
      </c>
      <c r="BC54" s="17">
        <v>0</v>
      </c>
      <c r="BD54" s="17">
        <f t="shared" si="22"/>
        <v>0</v>
      </c>
      <c r="BE54" s="17"/>
      <c r="BF54" s="11">
        <f>AM54</f>
        <v>0</v>
      </c>
      <c r="BG54" s="11">
        <f t="shared" si="25"/>
        <v>0</v>
      </c>
      <c r="BH54" s="123" t="s">
        <v>295</v>
      </c>
      <c r="BI54" s="159">
        <f t="shared" si="23"/>
        <v>0</v>
      </c>
    </row>
    <row r="55" spans="1:61" ht="12.75">
      <c r="A55" s="124" t="s">
        <v>77</v>
      </c>
      <c r="B55" s="11">
        <v>47353181</v>
      </c>
      <c r="C55" s="11">
        <v>3500000</v>
      </c>
      <c r="D55" s="11">
        <v>1700000</v>
      </c>
      <c r="E55" s="11">
        <f t="shared" si="14"/>
        <v>42153181</v>
      </c>
      <c r="F55" s="11"/>
      <c r="G55" s="11">
        <v>30732585</v>
      </c>
      <c r="H55" s="11">
        <v>147164</v>
      </c>
      <c r="I55" s="11">
        <v>483039</v>
      </c>
      <c r="J55" s="11">
        <v>4882614</v>
      </c>
      <c r="K55" s="11">
        <v>273643</v>
      </c>
      <c r="L55" s="11"/>
      <c r="M55" s="11"/>
      <c r="N55" s="11">
        <f t="shared" si="15"/>
        <v>36519045</v>
      </c>
      <c r="O55" s="11"/>
      <c r="P55" s="11"/>
      <c r="Q55" s="11">
        <v>5634136</v>
      </c>
      <c r="S55" s="158">
        <f t="shared" si="16"/>
        <v>0.1337004842267918</v>
      </c>
      <c r="T55" s="158">
        <f t="shared" si="17"/>
        <v>0.10311058089212634</v>
      </c>
      <c r="X55" s="124" t="s">
        <v>77</v>
      </c>
      <c r="Y55" s="11">
        <v>47353181</v>
      </c>
      <c r="Z55" s="11">
        <v>3500000</v>
      </c>
      <c r="AA55" s="11">
        <v>1700000</v>
      </c>
      <c r="AB55" s="11">
        <f t="shared" si="18"/>
        <v>42153181</v>
      </c>
      <c r="AC55" s="11"/>
      <c r="AD55" s="11">
        <f>30717206-G55</f>
        <v>-15379</v>
      </c>
      <c r="AE55" s="11">
        <f>117535-H55</f>
        <v>-29629</v>
      </c>
      <c r="AF55" s="11">
        <f>515320-I55</f>
        <v>32281</v>
      </c>
      <c r="AG55" s="11">
        <f>4999319-J55</f>
        <v>116705</v>
      </c>
      <c r="AH55" s="11">
        <f>275961-K55</f>
        <v>2318</v>
      </c>
      <c r="AI55" s="11"/>
      <c r="AJ55" s="11"/>
      <c r="AK55" s="11">
        <f t="shared" si="19"/>
        <v>106296</v>
      </c>
      <c r="AL55" s="11"/>
      <c r="AM55" s="11"/>
      <c r="AN55" s="11">
        <v>5527840</v>
      </c>
      <c r="AQ55" s="124" t="s">
        <v>77</v>
      </c>
      <c r="AR55" s="11">
        <f t="shared" si="20"/>
        <v>5527840</v>
      </c>
      <c r="AS55" s="11">
        <f>3500000-Z55</f>
        <v>0</v>
      </c>
      <c r="AT55" s="11">
        <f>1700000-AA55</f>
        <v>0</v>
      </c>
      <c r="AU55" s="11">
        <f t="shared" si="21"/>
        <v>5527840</v>
      </c>
      <c r="AV55" s="11"/>
      <c r="AW55" s="11">
        <v>0</v>
      </c>
      <c r="AX55" s="11">
        <v>0</v>
      </c>
      <c r="AY55" s="11">
        <v>0</v>
      </c>
      <c r="AZ55" s="11">
        <v>0</v>
      </c>
      <c r="BA55" s="11">
        <v>0</v>
      </c>
      <c r="BB55" s="11">
        <v>0</v>
      </c>
      <c r="BC55" s="11">
        <v>0</v>
      </c>
      <c r="BD55" s="11">
        <f t="shared" si="22"/>
        <v>0</v>
      </c>
      <c r="BE55" s="11"/>
      <c r="BF55" s="11">
        <f>AM55</f>
        <v>0</v>
      </c>
      <c r="BG55" s="11">
        <f t="shared" si="25"/>
        <v>5527840</v>
      </c>
      <c r="BI55" s="159">
        <f t="shared" si="23"/>
        <v>0</v>
      </c>
    </row>
    <row r="56" spans="1:61" ht="12.75">
      <c r="A56" s="124" t="s">
        <v>78</v>
      </c>
      <c r="B56" s="14">
        <v>114733567</v>
      </c>
      <c r="C56" s="14">
        <v>8385000</v>
      </c>
      <c r="D56" s="14">
        <v>11473357</v>
      </c>
      <c r="E56" s="14">
        <f t="shared" si="14"/>
        <v>94875210</v>
      </c>
      <c r="F56" s="17"/>
      <c r="G56" s="17">
        <v>54846575</v>
      </c>
      <c r="H56" s="17">
        <v>12267339</v>
      </c>
      <c r="I56" s="17">
        <v>219925</v>
      </c>
      <c r="J56" s="17">
        <v>14231282</v>
      </c>
      <c r="K56" s="17">
        <v>1111135</v>
      </c>
      <c r="L56" s="17">
        <v>23854</v>
      </c>
      <c r="M56" s="17">
        <v>411</v>
      </c>
      <c r="N56" s="17">
        <f t="shared" si="15"/>
        <v>82700521</v>
      </c>
      <c r="O56" s="17"/>
      <c r="P56" s="17">
        <v>12174690</v>
      </c>
      <c r="Q56" s="17"/>
      <c r="S56" s="158">
        <f t="shared" si="16"/>
        <v>0.17208213234835606</v>
      </c>
      <c r="T56" s="158">
        <f t="shared" si="17"/>
        <v>0.1240376497664367</v>
      </c>
      <c r="X56" s="124" t="s">
        <v>78</v>
      </c>
      <c r="Y56" s="14">
        <v>114733567</v>
      </c>
      <c r="Z56" s="14">
        <v>8385000</v>
      </c>
      <c r="AA56" s="14">
        <v>11473357</v>
      </c>
      <c r="AB56" s="14">
        <f t="shared" si="18"/>
        <v>94875210</v>
      </c>
      <c r="AC56" s="17"/>
      <c r="AD56" s="17">
        <f>64964542-G56</f>
        <v>10117967</v>
      </c>
      <c r="AE56" s="17">
        <f>14315640-H56</f>
        <v>2048301</v>
      </c>
      <c r="AF56" s="17">
        <f>219925-I56</f>
        <v>0</v>
      </c>
      <c r="AG56" s="17">
        <f>14231282-J56</f>
        <v>0</v>
      </c>
      <c r="AH56" s="17">
        <f>1119559-K56</f>
        <v>8424</v>
      </c>
      <c r="AI56" s="17">
        <f>23854-L56</f>
        <v>0</v>
      </c>
      <c r="AJ56" s="17">
        <f>410-M56</f>
        <v>-1</v>
      </c>
      <c r="AK56" s="11">
        <f t="shared" si="19"/>
        <v>12174691</v>
      </c>
      <c r="AL56" s="17"/>
      <c r="AM56" s="17">
        <v>0</v>
      </c>
      <c r="AN56" s="17">
        <v>0</v>
      </c>
      <c r="AQ56" s="124" t="s">
        <v>78</v>
      </c>
      <c r="AR56" s="11">
        <f t="shared" si="20"/>
        <v>0</v>
      </c>
      <c r="AS56" s="14">
        <f>8385000-Z56</f>
        <v>0</v>
      </c>
      <c r="AT56" s="14">
        <f>11473357-AA56</f>
        <v>0</v>
      </c>
      <c r="AU56" s="14">
        <f t="shared" si="21"/>
        <v>0</v>
      </c>
      <c r="AV56" s="17"/>
      <c r="AW56" s="17">
        <v>0</v>
      </c>
      <c r="AX56" s="17">
        <v>0</v>
      </c>
      <c r="AY56" s="17">
        <v>0</v>
      </c>
      <c r="AZ56" s="17">
        <v>0</v>
      </c>
      <c r="BA56" s="17">
        <v>0</v>
      </c>
      <c r="BB56" s="17">
        <v>0</v>
      </c>
      <c r="BC56" s="17">
        <v>0</v>
      </c>
      <c r="BD56" s="11">
        <f t="shared" si="22"/>
        <v>0</v>
      </c>
      <c r="BE56" s="17"/>
      <c r="BF56" s="11">
        <f>AM56</f>
        <v>0</v>
      </c>
      <c r="BG56" s="11">
        <f t="shared" si="25"/>
        <v>0</v>
      </c>
      <c r="BH56" s="123" t="s">
        <v>304</v>
      </c>
      <c r="BI56" s="159">
        <f t="shared" si="23"/>
        <v>0</v>
      </c>
    </row>
    <row r="57" spans="1:61" ht="12.75">
      <c r="A57" s="124" t="s">
        <v>102</v>
      </c>
      <c r="B57" s="11">
        <v>289298269</v>
      </c>
      <c r="C57" s="11"/>
      <c r="D57" s="11"/>
      <c r="E57" s="11">
        <f t="shared" si="14"/>
        <v>289298269</v>
      </c>
      <c r="F57" s="11"/>
      <c r="G57" s="11">
        <v>192311142</v>
      </c>
      <c r="H57" s="11">
        <v>2452303</v>
      </c>
      <c r="I57" s="11">
        <v>0</v>
      </c>
      <c r="J57" s="11">
        <v>10670174</v>
      </c>
      <c r="K57" s="11">
        <v>833599</v>
      </c>
      <c r="L57" s="11">
        <v>60777</v>
      </c>
      <c r="M57" s="11">
        <v>15603000</v>
      </c>
      <c r="N57" s="11">
        <f t="shared" si="15"/>
        <v>221930995</v>
      </c>
      <c r="O57" s="11"/>
      <c r="P57" s="11">
        <v>67367274</v>
      </c>
      <c r="Q57" s="11"/>
      <c r="S57" s="158">
        <f t="shared" si="16"/>
        <v>0.04807879133782102</v>
      </c>
      <c r="T57" s="158">
        <f t="shared" si="17"/>
        <v>0.036882951415101624</v>
      </c>
      <c r="X57" s="124" t="s">
        <v>102</v>
      </c>
      <c r="Y57" s="11">
        <v>289298269</v>
      </c>
      <c r="Z57" s="11"/>
      <c r="AA57" s="11"/>
      <c r="AB57" s="11">
        <f t="shared" si="18"/>
        <v>289298269</v>
      </c>
      <c r="AC57" s="11"/>
      <c r="AD57" s="11">
        <f>259653564-G57</f>
        <v>67342422</v>
      </c>
      <c r="AE57" s="11">
        <f>2633670-H57</f>
        <v>181367</v>
      </c>
      <c r="AF57" s="11"/>
      <c r="AG57" s="11">
        <f>10138929-J57</f>
        <v>-531245</v>
      </c>
      <c r="AH57" s="11">
        <f>809340-K57</f>
        <v>-24259</v>
      </c>
      <c r="AI57" s="11"/>
      <c r="AJ57" s="11">
        <f>16062765-M57</f>
        <v>459765</v>
      </c>
      <c r="AK57" s="11">
        <f t="shared" si="19"/>
        <v>67428050</v>
      </c>
      <c r="AL57" s="11"/>
      <c r="AM57" s="11"/>
      <c r="AN57" s="11"/>
      <c r="AQ57" s="124" t="s">
        <v>102</v>
      </c>
      <c r="AR57" s="11">
        <f t="shared" si="20"/>
        <v>0</v>
      </c>
      <c r="AS57" s="11">
        <v>0</v>
      </c>
      <c r="AT57" s="11">
        <v>0</v>
      </c>
      <c r="AU57" s="11">
        <f t="shared" si="21"/>
        <v>0</v>
      </c>
      <c r="AV57" s="11"/>
      <c r="AW57" s="11">
        <v>0</v>
      </c>
      <c r="AX57" s="11">
        <v>0</v>
      </c>
      <c r="AY57" s="11">
        <v>0</v>
      </c>
      <c r="AZ57" s="11">
        <v>0</v>
      </c>
      <c r="BA57" s="11">
        <v>0</v>
      </c>
      <c r="BB57" s="11">
        <v>0</v>
      </c>
      <c r="BC57" s="11">
        <v>0</v>
      </c>
      <c r="BD57" s="11">
        <f t="shared" si="22"/>
        <v>0</v>
      </c>
      <c r="BE57" s="11"/>
      <c r="BF57" s="11">
        <f>AM57</f>
        <v>0</v>
      </c>
      <c r="BG57" s="11">
        <f t="shared" si="25"/>
        <v>0</v>
      </c>
      <c r="BH57" s="123" t="s">
        <v>304</v>
      </c>
      <c r="BI57" s="159">
        <f t="shared" si="23"/>
        <v>0</v>
      </c>
    </row>
    <row r="58" spans="1:61" ht="12.75">
      <c r="A58" s="124" t="s">
        <v>80</v>
      </c>
      <c r="B58" s="11">
        <v>82155212</v>
      </c>
      <c r="C58" s="11">
        <v>3562000</v>
      </c>
      <c r="D58" s="11"/>
      <c r="E58" s="11">
        <f t="shared" si="14"/>
        <v>78593212</v>
      </c>
      <c r="F58" s="11"/>
      <c r="G58" s="11">
        <v>41826433</v>
      </c>
      <c r="H58" s="11">
        <v>2273351</v>
      </c>
      <c r="I58" s="11">
        <v>0</v>
      </c>
      <c r="J58" s="11">
        <v>5469410</v>
      </c>
      <c r="K58" s="11">
        <v>1734197</v>
      </c>
      <c r="L58" s="11">
        <v>0</v>
      </c>
      <c r="M58" s="11">
        <v>1243406</v>
      </c>
      <c r="N58" s="11">
        <f t="shared" si="15"/>
        <v>52546797</v>
      </c>
      <c r="O58" s="11"/>
      <c r="P58" s="11">
        <v>0</v>
      </c>
      <c r="Q58" s="11">
        <v>26046415</v>
      </c>
      <c r="S58" s="158">
        <f t="shared" si="16"/>
        <v>0.10408645840011904</v>
      </c>
      <c r="T58" s="158">
        <f t="shared" si="17"/>
        <v>0.06657410853008328</v>
      </c>
      <c r="X58" s="124" t="s">
        <v>80</v>
      </c>
      <c r="Y58" s="11">
        <v>82155212</v>
      </c>
      <c r="Z58" s="11"/>
      <c r="AA58" s="11">
        <v>3562000</v>
      </c>
      <c r="AB58" s="11">
        <f t="shared" si="18"/>
        <v>78593212</v>
      </c>
      <c r="AC58" s="11"/>
      <c r="AD58" s="11">
        <f>61438080-G58</f>
        <v>19611647</v>
      </c>
      <c r="AE58" s="11">
        <f>2388547-H58</f>
        <v>115196</v>
      </c>
      <c r="AF58" s="11"/>
      <c r="AG58" s="11">
        <f>11788982-J58</f>
        <v>6319572</v>
      </c>
      <c r="AH58" s="11">
        <f>1734197-K58</f>
        <v>0</v>
      </c>
      <c r="AI58" s="11"/>
      <c r="AJ58" s="11">
        <f>1243406-M58</f>
        <v>0</v>
      </c>
      <c r="AK58" s="11">
        <f t="shared" si="19"/>
        <v>26046415</v>
      </c>
      <c r="AL58" s="11"/>
      <c r="AM58" s="11">
        <v>0</v>
      </c>
      <c r="AN58" s="11"/>
      <c r="AQ58" s="124" t="s">
        <v>80</v>
      </c>
      <c r="AR58" s="11">
        <f t="shared" si="20"/>
        <v>0</v>
      </c>
      <c r="AS58" s="11">
        <v>0</v>
      </c>
      <c r="AT58" s="11">
        <f>3562000-AA58</f>
        <v>0</v>
      </c>
      <c r="AU58" s="11">
        <f t="shared" si="21"/>
        <v>0</v>
      </c>
      <c r="AV58" s="11"/>
      <c r="AW58" s="11">
        <v>0</v>
      </c>
      <c r="AX58" s="11">
        <v>0</v>
      </c>
      <c r="AY58" s="11">
        <v>0</v>
      </c>
      <c r="AZ58" s="11">
        <v>0</v>
      </c>
      <c r="BA58" s="11">
        <v>0</v>
      </c>
      <c r="BB58" s="11">
        <v>0</v>
      </c>
      <c r="BC58" s="11">
        <v>0</v>
      </c>
      <c r="BD58" s="11">
        <f t="shared" si="22"/>
        <v>0</v>
      </c>
      <c r="BE58" s="11"/>
      <c r="BF58" s="11">
        <f>AM58</f>
        <v>0</v>
      </c>
      <c r="BG58" s="11">
        <f t="shared" si="25"/>
        <v>0</v>
      </c>
      <c r="BH58" s="123" t="s">
        <v>304</v>
      </c>
      <c r="BI58" s="159">
        <f t="shared" si="23"/>
        <v>0</v>
      </c>
    </row>
    <row r="59" spans="1:61" ht="12.75">
      <c r="A59" s="124" t="s">
        <v>103</v>
      </c>
      <c r="B59" s="11">
        <v>318159462</v>
      </c>
      <c r="C59" s="11"/>
      <c r="D59" s="11"/>
      <c r="E59" s="11">
        <f t="shared" si="14"/>
        <v>318159462</v>
      </c>
      <c r="F59" s="11"/>
      <c r="G59" s="11">
        <v>90045752</v>
      </c>
      <c r="H59" s="11">
        <v>52681463</v>
      </c>
      <c r="I59" s="11">
        <v>1193883</v>
      </c>
      <c r="J59" s="11">
        <v>27253203</v>
      </c>
      <c r="K59" s="11">
        <v>6594659</v>
      </c>
      <c r="L59" s="11">
        <v>0</v>
      </c>
      <c r="M59" s="11">
        <v>7834494</v>
      </c>
      <c r="N59" s="11">
        <f t="shared" si="15"/>
        <v>185603454</v>
      </c>
      <c r="O59" s="11"/>
      <c r="P59" s="11"/>
      <c r="Q59" s="11">
        <v>132556008</v>
      </c>
      <c r="S59" s="158">
        <f t="shared" si="16"/>
        <v>0.1468356456340516</v>
      </c>
      <c r="T59" s="158">
        <f t="shared" si="17"/>
        <v>0.0856589423073641</v>
      </c>
      <c r="X59" s="124" t="s">
        <v>103</v>
      </c>
      <c r="Y59" s="11">
        <v>318159462</v>
      </c>
      <c r="Z59" s="11">
        <v>11485733</v>
      </c>
      <c r="AA59" s="11">
        <v>7950000</v>
      </c>
      <c r="AB59" s="11">
        <f t="shared" si="18"/>
        <v>298723729</v>
      </c>
      <c r="AC59" s="11"/>
      <c r="AD59" s="11">
        <f>120457400-G59</f>
        <v>30411648</v>
      </c>
      <c r="AE59" s="11">
        <f>77423712-H59</f>
        <v>24742249</v>
      </c>
      <c r="AF59" s="11"/>
      <c r="AG59" s="11">
        <f>42074425-J59</f>
        <v>14821222</v>
      </c>
      <c r="AH59" s="11">
        <f>6565051-K59</f>
        <v>-29608</v>
      </c>
      <c r="AI59" s="11"/>
      <c r="AJ59" s="11">
        <f>7749547-M59</f>
        <v>-84947</v>
      </c>
      <c r="AK59" s="11">
        <f t="shared" si="19"/>
        <v>69860564</v>
      </c>
      <c r="AL59" s="11"/>
      <c r="AM59" s="11">
        <v>44453594</v>
      </c>
      <c r="AN59" s="11"/>
      <c r="AQ59" s="124" t="s">
        <v>103</v>
      </c>
      <c r="AR59" s="11">
        <f t="shared" si="20"/>
        <v>44453594</v>
      </c>
      <c r="AS59" s="11">
        <f>11485733-11485733</f>
        <v>0</v>
      </c>
      <c r="AT59" s="11">
        <f>7950000-7950000</f>
        <v>0</v>
      </c>
      <c r="AU59" s="11">
        <f t="shared" si="21"/>
        <v>44453594</v>
      </c>
      <c r="AV59" s="11"/>
      <c r="AW59" s="11">
        <f>69499</f>
        <v>69499</v>
      </c>
      <c r="AX59" s="11">
        <f>77423712-77423712</f>
        <v>0</v>
      </c>
      <c r="AY59" s="11">
        <v>0</v>
      </c>
      <c r="AZ59" s="11">
        <f>-254129+296282</f>
        <v>42153</v>
      </c>
      <c r="BA59" s="11">
        <f>6565051-6565051</f>
        <v>0</v>
      </c>
      <c r="BB59" s="11">
        <v>0</v>
      </c>
      <c r="BC59" s="11">
        <f>7749547-7749547</f>
        <v>0</v>
      </c>
      <c r="BD59" s="11">
        <f t="shared" si="22"/>
        <v>111652</v>
      </c>
      <c r="BE59" s="11"/>
      <c r="BF59" s="11">
        <v>44341942</v>
      </c>
      <c r="BG59" s="11">
        <f t="shared" si="25"/>
        <v>0</v>
      </c>
      <c r="BI59" s="159">
        <f t="shared" si="23"/>
        <v>0</v>
      </c>
    </row>
    <row r="60" spans="1:61" ht="12.75">
      <c r="A60" s="126" t="s">
        <v>104</v>
      </c>
      <c r="B60" s="20">
        <v>19215579</v>
      </c>
      <c r="C60" s="21"/>
      <c r="D60" s="21"/>
      <c r="E60" s="14">
        <f t="shared" si="14"/>
        <v>19215579</v>
      </c>
      <c r="F60" s="17"/>
      <c r="G60" s="17">
        <v>2255864</v>
      </c>
      <c r="H60" s="17">
        <v>11635</v>
      </c>
      <c r="I60" s="17"/>
      <c r="J60" s="17">
        <v>495855</v>
      </c>
      <c r="K60" s="17">
        <v>470453</v>
      </c>
      <c r="L60" s="17"/>
      <c r="M60" s="17"/>
      <c r="N60" s="17">
        <f t="shared" si="15"/>
        <v>3233807</v>
      </c>
      <c r="O60" s="17"/>
      <c r="P60" s="17">
        <v>15981772</v>
      </c>
      <c r="Q60" s="17"/>
      <c r="S60" s="158">
        <f t="shared" si="16"/>
        <v>0.15333475374380723</v>
      </c>
      <c r="T60" s="158">
        <f t="shared" si="17"/>
        <v>0.025804843039077822</v>
      </c>
      <c r="X60" s="126" t="s">
        <v>104</v>
      </c>
      <c r="Y60" s="20">
        <v>18134456</v>
      </c>
      <c r="Z60" s="21"/>
      <c r="AA60" s="21"/>
      <c r="AB60" s="14">
        <f t="shared" si="18"/>
        <v>18134456</v>
      </c>
      <c r="AC60" s="17"/>
      <c r="AD60" s="17">
        <f>2612046-G60</f>
        <v>356182</v>
      </c>
      <c r="AE60" s="17">
        <f>11635-H60</f>
        <v>0</v>
      </c>
      <c r="AF60" s="17"/>
      <c r="AG60" s="17">
        <f>495818-J60</f>
        <v>-37</v>
      </c>
      <c r="AH60" s="17">
        <f>470463-K60</f>
        <v>10</v>
      </c>
      <c r="AI60" s="17"/>
      <c r="AJ60" s="17"/>
      <c r="AK60" s="17">
        <f t="shared" si="19"/>
        <v>356155</v>
      </c>
      <c r="AL60" s="17"/>
      <c r="AM60" s="17">
        <v>15625616</v>
      </c>
      <c r="AN60" s="17"/>
      <c r="AQ60" s="126" t="s">
        <v>104</v>
      </c>
      <c r="AR60" s="11">
        <f>(+AM60+AN60)-1081123</f>
        <v>14544493</v>
      </c>
      <c r="AS60" s="21">
        <v>0</v>
      </c>
      <c r="AT60" s="21">
        <v>0</v>
      </c>
      <c r="AU60" s="14">
        <f t="shared" si="21"/>
        <v>14544493</v>
      </c>
      <c r="AV60" s="17"/>
      <c r="AW60" s="11">
        <f>3193851-2612046</f>
        <v>581805</v>
      </c>
      <c r="AX60" s="11">
        <f>11635-11635</f>
        <v>0</v>
      </c>
      <c r="AY60" s="17">
        <v>0</v>
      </c>
      <c r="AZ60" s="11">
        <v>0</v>
      </c>
      <c r="BA60" s="11">
        <f>470463-470463</f>
        <v>0</v>
      </c>
      <c r="BB60" s="17">
        <v>0</v>
      </c>
      <c r="BC60" s="17">
        <v>0</v>
      </c>
      <c r="BD60" s="17">
        <f t="shared" si="22"/>
        <v>581805</v>
      </c>
      <c r="BE60" s="17"/>
      <c r="BF60" s="11">
        <f>13962688</f>
        <v>13962688</v>
      </c>
      <c r="BG60" s="11">
        <f t="shared" si="25"/>
        <v>0</v>
      </c>
      <c r="BI60" s="159">
        <f t="shared" si="23"/>
        <v>0</v>
      </c>
    </row>
    <row r="61" spans="1:59" ht="12.75">
      <c r="A61" s="124"/>
      <c r="B61" s="123"/>
      <c r="C61" s="123"/>
      <c r="D61" s="123"/>
      <c r="E61" s="11">
        <f t="shared" si="14"/>
        <v>0</v>
      </c>
      <c r="F61" s="11"/>
      <c r="G61" s="11"/>
      <c r="H61" s="11"/>
      <c r="I61" s="11"/>
      <c r="J61" s="11"/>
      <c r="K61" s="11"/>
      <c r="L61" s="11"/>
      <c r="M61" s="11"/>
      <c r="N61" s="11"/>
      <c r="O61" s="11"/>
      <c r="P61" s="11"/>
      <c r="Q61" s="11"/>
      <c r="S61" s="158" t="e">
        <f t="shared" si="16"/>
        <v>#DIV/0!</v>
      </c>
      <c r="T61" s="158" t="e">
        <f t="shared" si="17"/>
        <v>#DIV/0!</v>
      </c>
      <c r="X61" s="124"/>
      <c r="Y61" s="123"/>
      <c r="Z61" s="123"/>
      <c r="AA61" s="123"/>
      <c r="AB61" s="11"/>
      <c r="AC61" s="11"/>
      <c r="AD61" s="11"/>
      <c r="AE61" s="11"/>
      <c r="AF61" s="11"/>
      <c r="AG61" s="11"/>
      <c r="AH61" s="11"/>
      <c r="AI61" s="11"/>
      <c r="AJ61" s="11"/>
      <c r="AK61" s="11"/>
      <c r="AL61" s="11"/>
      <c r="AM61" s="11"/>
      <c r="AN61" s="11"/>
      <c r="AQ61" s="124"/>
      <c r="AR61" s="123"/>
      <c r="AS61" s="123"/>
      <c r="AT61" s="123"/>
      <c r="AU61" s="11"/>
      <c r="AV61" s="11"/>
      <c r="AW61" s="11"/>
      <c r="AX61" s="11"/>
      <c r="AY61" s="11"/>
      <c r="AZ61" s="11"/>
      <c r="BA61" s="11"/>
      <c r="BB61" s="11"/>
      <c r="BC61" s="11"/>
      <c r="BD61" s="11"/>
      <c r="BE61" s="11"/>
      <c r="BF61" s="17" t="s">
        <v>249</v>
      </c>
      <c r="BG61" s="11"/>
    </row>
    <row r="62" spans="1:59" ht="13.5" thickBot="1">
      <c r="A62" s="161" t="s">
        <v>83</v>
      </c>
      <c r="B62" s="162">
        <f>SUM(B10:B60)</f>
        <v>13360423923</v>
      </c>
      <c r="C62" s="162">
        <f>SUM(C10:C60)</f>
        <v>179337473</v>
      </c>
      <c r="D62" s="162">
        <f>SUM(D10:D60)</f>
        <v>314431662</v>
      </c>
      <c r="E62" s="162">
        <f>SUM(E10:E60)</f>
        <v>12866654788</v>
      </c>
      <c r="F62" s="162"/>
      <c r="G62" s="162">
        <f aca="true" t="shared" si="26" ref="G62:N62">SUM(G10:G60)</f>
        <v>7707626701</v>
      </c>
      <c r="H62" s="162">
        <f t="shared" si="26"/>
        <v>466534367</v>
      </c>
      <c r="I62" s="162">
        <f t="shared" si="26"/>
        <v>14495371</v>
      </c>
      <c r="J62" s="162">
        <f t="shared" si="26"/>
        <v>872159699</v>
      </c>
      <c r="K62" s="162">
        <f t="shared" si="26"/>
        <v>109089290</v>
      </c>
      <c r="L62" s="162">
        <f t="shared" si="26"/>
        <v>289386</v>
      </c>
      <c r="M62" s="162">
        <f t="shared" si="26"/>
        <v>861797212</v>
      </c>
      <c r="N62" s="162">
        <f t="shared" si="26"/>
        <v>10031992026</v>
      </c>
      <c r="O62" s="162"/>
      <c r="P62" s="162">
        <f>SUM(P10:P60)</f>
        <v>1639418743</v>
      </c>
      <c r="Q62" s="162">
        <f>SUM(Q10:Q60)</f>
        <v>1196252609</v>
      </c>
      <c r="S62" s="158">
        <f t="shared" si="16"/>
        <v>0.08693783814217716</v>
      </c>
      <c r="T62" s="158">
        <f t="shared" si="17"/>
        <v>0.0652793432324086</v>
      </c>
      <c r="X62" s="161" t="s">
        <v>83</v>
      </c>
      <c r="Y62" s="162">
        <f>SUM(Y10:Y60)</f>
        <v>13378258274</v>
      </c>
      <c r="Z62" s="162">
        <f>SUM(Z10:Z60)</f>
        <v>262023098</v>
      </c>
      <c r="AA62" s="162">
        <f>SUM(AA10:AA60)</f>
        <v>398388973</v>
      </c>
      <c r="AB62" s="162">
        <f>SUM(AB10:AB60)</f>
        <v>12717846203</v>
      </c>
      <c r="AC62" s="162"/>
      <c r="AD62" s="162">
        <f aca="true" t="shared" si="27" ref="AD62:AK62">SUM(AD10:AD60)</f>
        <v>729794589</v>
      </c>
      <c r="AE62" s="162">
        <f t="shared" si="27"/>
        <v>293310428</v>
      </c>
      <c r="AF62" s="162">
        <f t="shared" si="27"/>
        <v>12032281</v>
      </c>
      <c r="AG62" s="162">
        <f t="shared" si="27"/>
        <v>74469000</v>
      </c>
      <c r="AH62" s="162">
        <f t="shared" si="27"/>
        <v>34176807</v>
      </c>
      <c r="AI62" s="162">
        <f t="shared" si="27"/>
        <v>5656674</v>
      </c>
      <c r="AJ62" s="162">
        <f t="shared" si="27"/>
        <v>231537036</v>
      </c>
      <c r="AK62" s="162">
        <f t="shared" si="27"/>
        <v>1380976815</v>
      </c>
      <c r="AL62" s="162"/>
      <c r="AM62" s="162">
        <f>SUM(AM10:AM60)</f>
        <v>984683061</v>
      </c>
      <c r="AN62" s="162">
        <f>SUM(AN10:AN60)</f>
        <v>337019370</v>
      </c>
      <c r="AQ62" s="161" t="s">
        <v>83</v>
      </c>
      <c r="AR62" s="162">
        <f>SUM(AR10:AR60)</f>
        <v>1323498691</v>
      </c>
      <c r="AS62" s="162">
        <f>SUM(AS10:AS60)</f>
        <v>53554067</v>
      </c>
      <c r="AT62" s="162">
        <f>SUM(AT10:AT60)</f>
        <v>111321803</v>
      </c>
      <c r="AU62" s="162">
        <f>SUM(AU10:AU60)</f>
        <v>1158622821</v>
      </c>
      <c r="AV62" s="162"/>
      <c r="AW62" s="162">
        <f aca="true" t="shared" si="28" ref="AW62:BD62">SUM(AW10:AW60)</f>
        <v>-33643444</v>
      </c>
      <c r="AX62" s="162">
        <f t="shared" si="28"/>
        <v>63936576</v>
      </c>
      <c r="AY62" s="162">
        <f t="shared" si="28"/>
        <v>469010</v>
      </c>
      <c r="AZ62" s="162">
        <f t="shared" si="28"/>
        <v>14808475</v>
      </c>
      <c r="BA62" s="162">
        <f t="shared" si="28"/>
        <v>4031169</v>
      </c>
      <c r="BB62" s="162">
        <f t="shared" si="28"/>
        <v>3728831</v>
      </c>
      <c r="BC62" s="162">
        <f t="shared" si="28"/>
        <v>-27228208</v>
      </c>
      <c r="BD62" s="162">
        <f t="shared" si="28"/>
        <v>26102409</v>
      </c>
      <c r="BE62" s="162"/>
      <c r="BF62" s="162">
        <f>SUM(BF10:BF60)</f>
        <v>921380454</v>
      </c>
      <c r="BG62" s="162">
        <f>SUM(BG10:BG60)</f>
        <v>207096666</v>
      </c>
    </row>
    <row r="63" spans="1:59" ht="13.5" thickTop="1">
      <c r="A63" s="126"/>
      <c r="B63" s="162"/>
      <c r="C63" s="162"/>
      <c r="D63" s="162"/>
      <c r="E63" s="162"/>
      <c r="F63" s="162"/>
      <c r="G63" s="162"/>
      <c r="H63" s="162"/>
      <c r="I63" s="162"/>
      <c r="J63" s="162"/>
      <c r="K63" s="162"/>
      <c r="L63" s="162"/>
      <c r="M63" s="162"/>
      <c r="N63" s="162"/>
      <c r="O63" s="162"/>
      <c r="P63" s="162"/>
      <c r="Q63" s="162"/>
      <c r="S63" s="158"/>
      <c r="T63" s="158"/>
      <c r="X63" s="126"/>
      <c r="Y63" s="162"/>
      <c r="Z63" s="162"/>
      <c r="AA63" s="162"/>
      <c r="AB63" s="162"/>
      <c r="AC63" s="162"/>
      <c r="AD63" s="162"/>
      <c r="AE63" s="162"/>
      <c r="AF63" s="162"/>
      <c r="AG63" s="162"/>
      <c r="AH63" s="162"/>
      <c r="AI63" s="162"/>
      <c r="AJ63" s="162"/>
      <c r="AK63" s="162"/>
      <c r="AL63" s="162"/>
      <c r="AM63" s="162"/>
      <c r="AN63" s="162"/>
      <c r="AQ63" s="126"/>
      <c r="AR63" s="162"/>
      <c r="AS63" s="162"/>
      <c r="AT63" s="162"/>
      <c r="AU63" s="162"/>
      <c r="AV63" s="162"/>
      <c r="AW63" s="162"/>
      <c r="AX63" s="162"/>
      <c r="AY63" s="162"/>
      <c r="AZ63" s="162"/>
      <c r="BA63" s="162"/>
      <c r="BB63" s="162"/>
      <c r="BC63" s="162"/>
      <c r="BD63" s="162"/>
      <c r="BE63" s="162"/>
      <c r="BF63" s="162"/>
      <c r="BG63" s="162"/>
    </row>
    <row r="64" spans="1:59" ht="15">
      <c r="A64" s="126"/>
      <c r="B64" s="162"/>
      <c r="C64" s="162"/>
      <c r="D64" s="162"/>
      <c r="E64" s="162"/>
      <c r="F64" s="162"/>
      <c r="G64" s="162"/>
      <c r="H64" s="162"/>
      <c r="I64" s="162"/>
      <c r="J64" s="162"/>
      <c r="K64" s="162"/>
      <c r="L64" s="162"/>
      <c r="M64" s="162"/>
      <c r="N64" s="162"/>
      <c r="O64" s="162"/>
      <c r="P64" s="162"/>
      <c r="Q64" s="162"/>
      <c r="S64" s="158"/>
      <c r="T64" s="158"/>
      <c r="X64" s="126"/>
      <c r="Y64" s="162"/>
      <c r="Z64" s="162"/>
      <c r="AA64" s="162"/>
      <c r="AB64" s="162"/>
      <c r="AC64" s="162"/>
      <c r="AD64" s="162"/>
      <c r="AE64" s="162"/>
      <c r="AF64" s="162"/>
      <c r="AG64" s="162"/>
      <c r="AH64" s="162"/>
      <c r="AI64" s="162"/>
      <c r="AJ64" s="162"/>
      <c r="AK64" s="162"/>
      <c r="AL64" s="162"/>
      <c r="AM64" s="162"/>
      <c r="AN64" s="162"/>
      <c r="AQ64" s="129" t="s">
        <v>84</v>
      </c>
      <c r="AR64" s="107"/>
      <c r="AS64" s="148">
        <f>AS62/AR62</f>
        <v>0.040464012064519675</v>
      </c>
      <c r="AT64" s="163">
        <f>AT62/AR62</f>
        <v>0.08411175904971106</v>
      </c>
      <c r="AU64" s="148">
        <f>AU62/AR62</f>
        <v>0.8754242288857692</v>
      </c>
      <c r="AV64" s="107"/>
      <c r="AW64" s="148">
        <f>AW62/BD62</f>
        <v>-1.288901878749965</v>
      </c>
      <c r="AX64" s="148">
        <f>AX62/BD62</f>
        <v>2.449451159852717</v>
      </c>
      <c r="AY64" s="148">
        <f>AY62/BD62</f>
        <v>0.017968073368247354</v>
      </c>
      <c r="AZ64" s="148">
        <f>AZ62/BD62</f>
        <v>0.5673221578897182</v>
      </c>
      <c r="BA64" s="148">
        <f>BA62/BD62</f>
        <v>0.15443666521354407</v>
      </c>
      <c r="BB64" s="148">
        <f>BB62/BD62</f>
        <v>0.1428539028715702</v>
      </c>
      <c r="BC64" s="148">
        <f>BC62/BD62</f>
        <v>-1.0431300804458317</v>
      </c>
      <c r="BD64" s="148">
        <f>BD62/AU62</f>
        <v>0.022528823467736617</v>
      </c>
      <c r="BE64" s="150"/>
      <c r="BF64" s="151">
        <f>BF62/AU62</f>
        <v>0.7952376194392256</v>
      </c>
      <c r="BG64" s="151">
        <f>BG62/AU62</f>
        <v>0.17874381744117226</v>
      </c>
    </row>
    <row r="65" spans="1:59" ht="12.75">
      <c r="A65" s="126"/>
      <c r="B65" s="162"/>
      <c r="C65" s="162"/>
      <c r="D65" s="162"/>
      <c r="E65" s="162"/>
      <c r="F65" s="162"/>
      <c r="G65" s="162"/>
      <c r="H65" s="162"/>
      <c r="I65" s="162"/>
      <c r="J65" s="162"/>
      <c r="K65" s="162"/>
      <c r="L65" s="162"/>
      <c r="M65" s="162"/>
      <c r="N65" s="162"/>
      <c r="O65" s="162"/>
      <c r="P65" s="162"/>
      <c r="Q65" s="162"/>
      <c r="S65" s="158"/>
      <c r="T65" s="158"/>
      <c r="X65" s="126"/>
      <c r="Y65" s="162"/>
      <c r="Z65" s="162"/>
      <c r="AA65" s="162"/>
      <c r="AB65" s="162"/>
      <c r="AC65" s="162"/>
      <c r="AD65" s="162"/>
      <c r="AE65" s="162"/>
      <c r="AF65" s="162"/>
      <c r="AG65" s="162"/>
      <c r="AH65" s="162"/>
      <c r="AI65" s="162"/>
      <c r="AJ65" s="162"/>
      <c r="AK65" s="162"/>
      <c r="AL65" s="162"/>
      <c r="AM65" s="162"/>
      <c r="AN65" s="162"/>
      <c r="AQ65" s="126"/>
      <c r="AR65" s="162"/>
      <c r="AS65" s="162"/>
      <c r="AT65" s="162"/>
      <c r="AU65" s="162"/>
      <c r="AV65" s="162"/>
      <c r="AW65" s="162"/>
      <c r="AX65" s="162"/>
      <c r="AY65" s="162"/>
      <c r="AZ65" s="162"/>
      <c r="BA65" s="162"/>
      <c r="BB65" s="162"/>
      <c r="BC65" s="162"/>
      <c r="BD65" s="162"/>
      <c r="BE65" s="162"/>
      <c r="BF65" s="162"/>
      <c r="BG65" s="162"/>
    </row>
    <row r="66" spans="7:43" ht="14.25">
      <c r="G66" s="18"/>
      <c r="H66" s="18"/>
      <c r="I66" s="18"/>
      <c r="J66" s="18"/>
      <c r="K66" s="18"/>
      <c r="L66" s="18"/>
      <c r="M66" s="18"/>
      <c r="N66" s="18"/>
      <c r="O66" s="18"/>
      <c r="P66" s="18"/>
      <c r="Q66" s="24"/>
      <c r="X66" s="164" t="s">
        <v>85</v>
      </c>
      <c r="AQ66" s="164" t="s">
        <v>85</v>
      </c>
    </row>
    <row r="67" spans="1:43" ht="14.25">
      <c r="A67" s="164" t="s">
        <v>85</v>
      </c>
      <c r="G67" s="18"/>
      <c r="H67" s="18"/>
      <c r="I67" s="18"/>
      <c r="J67" s="18"/>
      <c r="K67" s="18"/>
      <c r="L67" s="18"/>
      <c r="M67" s="18"/>
      <c r="N67" s="18"/>
      <c r="O67" s="18"/>
      <c r="P67" s="18"/>
      <c r="Q67" s="18"/>
      <c r="X67" s="165" t="s">
        <v>305</v>
      </c>
      <c r="AQ67" s="165" t="s">
        <v>306</v>
      </c>
    </row>
    <row r="68" spans="1:43" ht="12.75">
      <c r="A68" s="165" t="s">
        <v>307</v>
      </c>
      <c r="G68" s="18"/>
      <c r="H68" s="18"/>
      <c r="I68" s="18"/>
      <c r="J68" s="18"/>
      <c r="K68" s="18"/>
      <c r="L68" s="18"/>
      <c r="M68" s="18"/>
      <c r="N68" s="18"/>
      <c r="O68" s="18"/>
      <c r="P68" s="18"/>
      <c r="Q68" s="18"/>
      <c r="X68" s="123" t="s">
        <v>308</v>
      </c>
      <c r="AQ68" s="123" t="s">
        <v>308</v>
      </c>
    </row>
    <row r="69" spans="1:43" ht="12.75">
      <c r="A69" s="165"/>
      <c r="G69" s="18"/>
      <c r="H69" s="18"/>
      <c r="I69" s="18"/>
      <c r="J69" s="18"/>
      <c r="K69" s="18"/>
      <c r="L69" s="18"/>
      <c r="M69" s="18"/>
      <c r="N69" s="18"/>
      <c r="O69" s="18"/>
      <c r="P69" s="18"/>
      <c r="Q69" s="18"/>
      <c r="X69" s="153" t="s">
        <v>309</v>
      </c>
      <c r="AQ69" s="153" t="s">
        <v>310</v>
      </c>
    </row>
    <row r="70" spans="1:43" ht="15">
      <c r="A70" s="166" t="s">
        <v>311</v>
      </c>
      <c r="G70" s="18"/>
      <c r="H70" s="18"/>
      <c r="I70" s="18"/>
      <c r="J70" s="18"/>
      <c r="K70" s="18"/>
      <c r="L70" s="18"/>
      <c r="M70" s="18"/>
      <c r="N70" s="18"/>
      <c r="O70" s="18"/>
      <c r="P70" s="18"/>
      <c r="Q70" s="18"/>
      <c r="X70" s="153" t="s">
        <v>312</v>
      </c>
      <c r="AQ70" s="153" t="s">
        <v>312</v>
      </c>
    </row>
    <row r="71" spans="1:43" ht="15">
      <c r="A71" s="166" t="s">
        <v>86</v>
      </c>
      <c r="G71" s="18"/>
      <c r="H71" s="18"/>
      <c r="I71" s="18"/>
      <c r="J71" s="18"/>
      <c r="K71" s="18"/>
      <c r="L71" s="18"/>
      <c r="M71" s="18"/>
      <c r="N71" s="18"/>
      <c r="O71" s="18"/>
      <c r="P71" s="18"/>
      <c r="Q71" s="18"/>
      <c r="AQ71" s="107" t="s">
        <v>87</v>
      </c>
    </row>
    <row r="72" spans="7:43" ht="14.25">
      <c r="G72" s="18"/>
      <c r="H72" s="18"/>
      <c r="I72" s="18"/>
      <c r="J72" s="18"/>
      <c r="K72" s="18"/>
      <c r="L72" s="18"/>
      <c r="M72" s="18"/>
      <c r="N72" s="18"/>
      <c r="O72" s="18"/>
      <c r="P72" s="18"/>
      <c r="Q72" s="18"/>
      <c r="AQ72" s="107" t="s">
        <v>313</v>
      </c>
    </row>
    <row r="73" spans="1:44" ht="14.25">
      <c r="A73" s="164" t="s">
        <v>314</v>
      </c>
      <c r="G73" s="18"/>
      <c r="H73" s="18"/>
      <c r="I73" s="18"/>
      <c r="J73" s="18"/>
      <c r="K73" s="18"/>
      <c r="L73" s="18"/>
      <c r="M73" s="18"/>
      <c r="N73" s="18"/>
      <c r="O73" s="18"/>
      <c r="P73" s="18"/>
      <c r="Q73" s="18"/>
      <c r="AQ73" s="107" t="s">
        <v>315</v>
      </c>
      <c r="AR73" s="167"/>
    </row>
    <row r="74" spans="1:43" ht="14.25">
      <c r="A74" s="164" t="s">
        <v>316</v>
      </c>
      <c r="G74" s="18"/>
      <c r="H74" s="18"/>
      <c r="I74" s="18"/>
      <c r="J74" s="18"/>
      <c r="K74" s="18"/>
      <c r="L74" s="18"/>
      <c r="M74" s="18"/>
      <c r="N74" s="18"/>
      <c r="O74" s="18"/>
      <c r="P74" s="18"/>
      <c r="Q74" s="18"/>
      <c r="AQ74" s="107" t="s">
        <v>317</v>
      </c>
    </row>
    <row r="75" spans="1:44" ht="12.75">
      <c r="A75" s="144" t="s">
        <v>318</v>
      </c>
      <c r="G75" s="18"/>
      <c r="H75" s="18"/>
      <c r="I75" s="18"/>
      <c r="J75" s="18"/>
      <c r="K75" s="18"/>
      <c r="L75" s="18"/>
      <c r="M75" s="18"/>
      <c r="N75" s="18"/>
      <c r="O75" s="18"/>
      <c r="P75" s="18"/>
      <c r="Q75" s="18"/>
      <c r="AR75" s="167"/>
    </row>
    <row r="76" spans="7:17" ht="12.75">
      <c r="G76" s="18"/>
      <c r="H76" s="18"/>
      <c r="I76" s="18"/>
      <c r="J76" s="18"/>
      <c r="K76" s="18"/>
      <c r="L76" s="18"/>
      <c r="M76" s="18"/>
      <c r="N76" s="18"/>
      <c r="O76" s="18"/>
      <c r="P76" s="18"/>
      <c r="Q76" s="18"/>
    </row>
    <row r="77" spans="7:17" ht="12.75">
      <c r="G77" s="18"/>
      <c r="H77" s="18"/>
      <c r="I77" s="18"/>
      <c r="J77" s="18"/>
      <c r="K77" s="18"/>
      <c r="L77" s="18"/>
      <c r="M77" s="18"/>
      <c r="N77" s="18"/>
      <c r="O77" s="18"/>
      <c r="P77" s="18"/>
      <c r="Q77" s="18"/>
    </row>
    <row r="78" spans="7:43" ht="12.75">
      <c r="G78" s="18"/>
      <c r="H78" s="18"/>
      <c r="I78" s="18"/>
      <c r="J78" s="18"/>
      <c r="K78" s="18"/>
      <c r="L78" s="18"/>
      <c r="M78" s="18"/>
      <c r="N78" s="18"/>
      <c r="O78" s="18"/>
      <c r="P78" s="18"/>
      <c r="Q78" s="18"/>
      <c r="AQ78" s="157" t="s">
        <v>319</v>
      </c>
    </row>
    <row r="79" spans="7:17" ht="12.75">
      <c r="G79" s="18"/>
      <c r="H79" s="18"/>
      <c r="I79" s="18"/>
      <c r="J79" s="18"/>
      <c r="K79" s="18"/>
      <c r="L79" s="18"/>
      <c r="M79" s="18"/>
      <c r="N79" s="18"/>
      <c r="O79" s="18"/>
      <c r="P79" s="18"/>
      <c r="Q79" s="18"/>
    </row>
    <row r="80" spans="7:17" ht="12.75">
      <c r="G80" s="18"/>
      <c r="H80" s="18"/>
      <c r="I80" s="18"/>
      <c r="J80" s="18"/>
      <c r="K80" s="18"/>
      <c r="L80" s="18"/>
      <c r="M80" s="18"/>
      <c r="N80" s="18"/>
      <c r="O80" s="18"/>
      <c r="P80" s="18"/>
      <c r="Q80" s="18"/>
    </row>
    <row r="81" spans="7:17" ht="12.75">
      <c r="G81" s="18"/>
      <c r="H81" s="18"/>
      <c r="I81" s="18"/>
      <c r="J81" s="18"/>
      <c r="K81" s="18"/>
      <c r="L81" s="18"/>
      <c r="M81" s="18"/>
      <c r="N81" s="18"/>
      <c r="O81" s="18"/>
      <c r="P81" s="18"/>
      <c r="Q81" s="18"/>
    </row>
    <row r="82" spans="7:17" ht="12.75">
      <c r="G82" s="18"/>
      <c r="H82" s="18"/>
      <c r="I82" s="18"/>
      <c r="J82" s="18"/>
      <c r="K82" s="18"/>
      <c r="L82" s="18"/>
      <c r="M82" s="18"/>
      <c r="N82" s="18"/>
      <c r="O82" s="18"/>
      <c r="P82" s="18"/>
      <c r="Q82" s="18"/>
    </row>
    <row r="83" spans="7:44" ht="12.75">
      <c r="G83" s="18"/>
      <c r="H83" s="18"/>
      <c r="I83" s="18"/>
      <c r="J83" s="18"/>
      <c r="K83" s="18"/>
      <c r="L83" s="18"/>
      <c r="M83" s="18"/>
      <c r="N83" s="18"/>
      <c r="O83" s="18"/>
      <c r="P83" s="18"/>
      <c r="Q83" s="18"/>
      <c r="AR83" s="167">
        <f>C62+Z62+AS62</f>
        <v>494914638</v>
      </c>
    </row>
    <row r="84" spans="7:17" ht="12.75">
      <c r="G84" s="18"/>
      <c r="H84" s="18"/>
      <c r="I84" s="18"/>
      <c r="J84" s="18"/>
      <c r="K84" s="18"/>
      <c r="L84" s="18"/>
      <c r="M84" s="18"/>
      <c r="N84" s="18"/>
      <c r="O84" s="18"/>
      <c r="P84" s="18"/>
      <c r="Q84" s="18"/>
    </row>
    <row r="85" spans="7:17" ht="12.75">
      <c r="G85" s="18"/>
      <c r="H85" s="18"/>
      <c r="I85" s="18"/>
      <c r="J85" s="18"/>
      <c r="K85" s="18"/>
      <c r="L85" s="18"/>
      <c r="M85" s="18"/>
      <c r="N85" s="18"/>
      <c r="O85" s="18"/>
      <c r="P85" s="18"/>
      <c r="Q85" s="18"/>
    </row>
    <row r="86" spans="7:17" ht="12.75">
      <c r="G86" s="18"/>
      <c r="H86" s="18"/>
      <c r="I86" s="18"/>
      <c r="J86" s="18"/>
      <c r="K86" s="18"/>
      <c r="L86" s="18"/>
      <c r="M86" s="18"/>
      <c r="N86" s="18"/>
      <c r="O86" s="18"/>
      <c r="P86" s="18"/>
      <c r="Q86" s="18"/>
    </row>
    <row r="87" spans="7:17" ht="12.75">
      <c r="G87" s="18"/>
      <c r="H87" s="18"/>
      <c r="I87" s="18"/>
      <c r="J87" s="18"/>
      <c r="K87" s="18"/>
      <c r="L87" s="18"/>
      <c r="M87" s="18"/>
      <c r="N87" s="18"/>
      <c r="O87" s="18"/>
      <c r="P87" s="18"/>
      <c r="Q87" s="18"/>
    </row>
    <row r="88" spans="7:17" ht="12.75">
      <c r="G88" s="18"/>
      <c r="H88" s="18"/>
      <c r="I88" s="18"/>
      <c r="J88" s="18"/>
      <c r="K88" s="18"/>
      <c r="L88" s="18"/>
      <c r="M88" s="18"/>
      <c r="N88" s="18"/>
      <c r="O88" s="18"/>
      <c r="P88" s="18"/>
      <c r="Q88" s="18"/>
    </row>
    <row r="89" spans="7:17" ht="12.75">
      <c r="G89" s="18"/>
      <c r="H89" s="18"/>
      <c r="I89" s="18"/>
      <c r="J89" s="18"/>
      <c r="K89" s="18"/>
      <c r="L89" s="18"/>
      <c r="M89" s="18"/>
      <c r="N89" s="18"/>
      <c r="O89" s="18"/>
      <c r="P89" s="18"/>
      <c r="Q89" s="18"/>
    </row>
    <row r="90" spans="7:17" ht="12.75">
      <c r="G90" s="18"/>
      <c r="H90" s="18"/>
      <c r="I90" s="18"/>
      <c r="J90" s="18"/>
      <c r="K90" s="18"/>
      <c r="L90" s="18"/>
      <c r="M90" s="18"/>
      <c r="N90" s="18"/>
      <c r="O90" s="18"/>
      <c r="P90" s="18"/>
      <c r="Q90" s="18"/>
    </row>
    <row r="91" spans="7:17" ht="12.75">
      <c r="G91" s="18"/>
      <c r="H91" s="18"/>
      <c r="I91" s="18"/>
      <c r="J91" s="18"/>
      <c r="K91" s="18"/>
      <c r="L91" s="18"/>
      <c r="M91" s="18"/>
      <c r="N91" s="18"/>
      <c r="O91" s="18"/>
      <c r="P91" s="18"/>
      <c r="Q91" s="18"/>
    </row>
    <row r="92" spans="7:17" ht="12.75">
      <c r="G92" s="18"/>
      <c r="H92" s="18"/>
      <c r="I92" s="18"/>
      <c r="J92" s="18"/>
      <c r="K92" s="18"/>
      <c r="L92" s="18"/>
      <c r="M92" s="18"/>
      <c r="N92" s="18"/>
      <c r="O92" s="18"/>
      <c r="P92" s="18"/>
      <c r="Q92" s="18"/>
    </row>
    <row r="93" spans="7:17" ht="12.75">
      <c r="G93" s="18"/>
      <c r="H93" s="18"/>
      <c r="I93" s="18"/>
      <c r="J93" s="18"/>
      <c r="K93" s="18"/>
      <c r="L93" s="18"/>
      <c r="M93" s="18"/>
      <c r="N93" s="18"/>
      <c r="O93" s="18"/>
      <c r="P93" s="18"/>
      <c r="Q93" s="18"/>
    </row>
    <row r="94" spans="7:17" ht="12.75">
      <c r="G94" s="18"/>
      <c r="H94" s="18"/>
      <c r="I94" s="18"/>
      <c r="J94" s="18"/>
      <c r="K94" s="18"/>
      <c r="L94" s="18"/>
      <c r="M94" s="18"/>
      <c r="N94" s="18"/>
      <c r="O94" s="18"/>
      <c r="P94" s="18"/>
      <c r="Q94" s="18"/>
    </row>
    <row r="95" spans="7:17" ht="12.75">
      <c r="G95" s="18"/>
      <c r="H95" s="18"/>
      <c r="I95" s="18"/>
      <c r="J95" s="18"/>
      <c r="K95" s="18"/>
      <c r="L95" s="18"/>
      <c r="M95" s="18"/>
      <c r="N95" s="18"/>
      <c r="O95" s="18"/>
      <c r="P95" s="18"/>
      <c r="Q95" s="18"/>
    </row>
    <row r="96" spans="7:17" ht="12.75">
      <c r="G96" s="18"/>
      <c r="H96" s="18"/>
      <c r="I96" s="18"/>
      <c r="J96" s="18"/>
      <c r="K96" s="18"/>
      <c r="L96" s="18"/>
      <c r="M96" s="18"/>
      <c r="N96" s="18"/>
      <c r="O96" s="18"/>
      <c r="P96" s="18"/>
      <c r="Q96" s="18"/>
    </row>
    <row r="97" spans="7:17" ht="12.75">
      <c r="G97" s="18"/>
      <c r="H97" s="18"/>
      <c r="I97" s="18"/>
      <c r="J97" s="18"/>
      <c r="K97" s="18"/>
      <c r="L97" s="18"/>
      <c r="M97" s="18"/>
      <c r="N97" s="18"/>
      <c r="O97" s="18"/>
      <c r="P97" s="18"/>
      <c r="Q97" s="18"/>
    </row>
    <row r="98" spans="7:17" ht="12.75">
      <c r="G98" s="18"/>
      <c r="H98" s="18"/>
      <c r="I98" s="18"/>
      <c r="J98" s="18"/>
      <c r="K98" s="18"/>
      <c r="L98" s="18"/>
      <c r="M98" s="18"/>
      <c r="N98" s="18"/>
      <c r="O98" s="18"/>
      <c r="P98" s="18"/>
      <c r="Q98" s="18"/>
    </row>
    <row r="99" spans="7:17" ht="12.75">
      <c r="G99" s="18"/>
      <c r="H99" s="18"/>
      <c r="I99" s="18"/>
      <c r="J99" s="18"/>
      <c r="K99" s="18"/>
      <c r="L99" s="18"/>
      <c r="M99" s="18"/>
      <c r="N99" s="18"/>
      <c r="O99" s="18"/>
      <c r="P99" s="18"/>
      <c r="Q99" s="18"/>
    </row>
    <row r="100" spans="7:17" ht="12.75">
      <c r="G100" s="18"/>
      <c r="H100" s="18"/>
      <c r="I100" s="18"/>
      <c r="J100" s="18"/>
      <c r="K100" s="18"/>
      <c r="L100" s="18"/>
      <c r="M100" s="18"/>
      <c r="N100" s="18"/>
      <c r="O100" s="18"/>
      <c r="P100" s="18"/>
      <c r="Q100" s="18"/>
    </row>
    <row r="101" spans="7:17" ht="12.75">
      <c r="G101" s="18"/>
      <c r="H101" s="18"/>
      <c r="I101" s="18"/>
      <c r="J101" s="18"/>
      <c r="K101" s="18"/>
      <c r="L101" s="18"/>
      <c r="M101" s="18"/>
      <c r="N101" s="18"/>
      <c r="O101" s="18"/>
      <c r="P101" s="18"/>
      <c r="Q101" s="18"/>
    </row>
    <row r="102" spans="7:17" ht="12.75">
      <c r="G102" s="18"/>
      <c r="H102" s="18"/>
      <c r="I102" s="18"/>
      <c r="J102" s="18"/>
      <c r="K102" s="18"/>
      <c r="L102" s="18"/>
      <c r="M102" s="18"/>
      <c r="N102" s="18"/>
      <c r="O102" s="18"/>
      <c r="P102" s="18"/>
      <c r="Q102" s="18"/>
    </row>
    <row r="103" spans="7:17" ht="12.75">
      <c r="G103" s="18"/>
      <c r="H103" s="18"/>
      <c r="I103" s="18"/>
      <c r="J103" s="18"/>
      <c r="K103" s="18"/>
      <c r="L103" s="18"/>
      <c r="M103" s="18"/>
      <c r="N103" s="18"/>
      <c r="O103" s="18"/>
      <c r="P103" s="18"/>
      <c r="Q103" s="18"/>
    </row>
    <row r="104" spans="7:17" ht="12.75">
      <c r="G104" s="18"/>
      <c r="H104" s="18"/>
      <c r="I104" s="18"/>
      <c r="J104" s="18"/>
      <c r="K104" s="18"/>
      <c r="L104" s="18"/>
      <c r="M104" s="18"/>
      <c r="N104" s="18"/>
      <c r="O104" s="18"/>
      <c r="P104" s="18"/>
      <c r="Q104" s="18"/>
    </row>
    <row r="105" spans="7:17" ht="12.75">
      <c r="G105" s="18"/>
      <c r="H105" s="18"/>
      <c r="I105" s="18"/>
      <c r="J105" s="18"/>
      <c r="K105" s="18"/>
      <c r="L105" s="18"/>
      <c r="M105" s="18"/>
      <c r="N105" s="18"/>
      <c r="O105" s="18"/>
      <c r="P105" s="18"/>
      <c r="Q105" s="18"/>
    </row>
    <row r="106" spans="7:17" ht="12.75">
      <c r="G106" s="18"/>
      <c r="H106" s="18"/>
      <c r="I106" s="18"/>
      <c r="J106" s="18"/>
      <c r="K106" s="18"/>
      <c r="L106" s="18"/>
      <c r="M106" s="18"/>
      <c r="N106" s="18"/>
      <c r="O106" s="18"/>
      <c r="P106" s="18"/>
      <c r="Q106" s="18"/>
    </row>
    <row r="107" spans="7:17" ht="12.75">
      <c r="G107" s="18"/>
      <c r="H107" s="18"/>
      <c r="I107" s="18"/>
      <c r="J107" s="18"/>
      <c r="K107" s="18"/>
      <c r="L107" s="18"/>
      <c r="M107" s="18"/>
      <c r="N107" s="18"/>
      <c r="O107" s="18"/>
      <c r="P107" s="18"/>
      <c r="Q107" s="18"/>
    </row>
    <row r="108" spans="7:17" ht="12.75">
      <c r="G108" s="18"/>
      <c r="H108" s="18"/>
      <c r="I108" s="18"/>
      <c r="J108" s="18"/>
      <c r="K108" s="18"/>
      <c r="L108" s="18"/>
      <c r="M108" s="18"/>
      <c r="N108" s="18"/>
      <c r="O108" s="18"/>
      <c r="P108" s="18"/>
      <c r="Q108" s="18"/>
    </row>
    <row r="109" spans="7:17" ht="12.75">
      <c r="G109" s="18"/>
      <c r="H109" s="18"/>
      <c r="I109" s="18"/>
      <c r="J109" s="18"/>
      <c r="K109" s="18"/>
      <c r="L109" s="18"/>
      <c r="M109" s="18"/>
      <c r="N109" s="18"/>
      <c r="O109" s="18"/>
      <c r="P109" s="18"/>
      <c r="Q109" s="18"/>
    </row>
    <row r="110" spans="7:17" ht="12.75">
      <c r="G110" s="18"/>
      <c r="H110" s="18"/>
      <c r="I110" s="18"/>
      <c r="J110" s="18"/>
      <c r="K110" s="18"/>
      <c r="L110" s="18"/>
      <c r="M110" s="18"/>
      <c r="N110" s="18"/>
      <c r="O110" s="18"/>
      <c r="P110" s="18"/>
      <c r="Q110" s="18"/>
    </row>
    <row r="111" spans="7:17" ht="12.75">
      <c r="G111" s="18"/>
      <c r="H111" s="18"/>
      <c r="I111" s="18"/>
      <c r="J111" s="18"/>
      <c r="K111" s="18"/>
      <c r="L111" s="18"/>
      <c r="M111" s="18"/>
      <c r="N111" s="18"/>
      <c r="O111" s="18"/>
      <c r="P111" s="18"/>
      <c r="Q111" s="18"/>
    </row>
    <row r="112" spans="7:17" ht="12.75">
      <c r="G112" s="18"/>
      <c r="H112" s="18"/>
      <c r="I112" s="18"/>
      <c r="J112" s="18"/>
      <c r="K112" s="18"/>
      <c r="L112" s="18"/>
      <c r="M112" s="18"/>
      <c r="N112" s="18"/>
      <c r="O112" s="18"/>
      <c r="P112" s="18"/>
      <c r="Q112" s="18"/>
    </row>
    <row r="113" spans="7:17" ht="12.75">
      <c r="G113" s="18"/>
      <c r="H113" s="18"/>
      <c r="I113" s="18"/>
      <c r="J113" s="18"/>
      <c r="K113" s="18"/>
      <c r="L113" s="18"/>
      <c r="M113" s="18"/>
      <c r="N113" s="18"/>
      <c r="O113" s="18"/>
      <c r="P113" s="18"/>
      <c r="Q113" s="18"/>
    </row>
    <row r="114" spans="7:17" ht="12.75">
      <c r="G114" s="18"/>
      <c r="H114" s="18"/>
      <c r="I114" s="18"/>
      <c r="J114" s="18"/>
      <c r="K114" s="18"/>
      <c r="L114" s="18"/>
      <c r="M114" s="18"/>
      <c r="N114" s="18"/>
      <c r="O114" s="18"/>
      <c r="P114" s="18"/>
      <c r="Q114" s="18"/>
    </row>
    <row r="115" spans="7:17" ht="12.75">
      <c r="G115" s="18"/>
      <c r="H115" s="18"/>
      <c r="I115" s="18"/>
      <c r="J115" s="18"/>
      <c r="K115" s="18"/>
      <c r="L115" s="18"/>
      <c r="M115" s="18"/>
      <c r="N115" s="18"/>
      <c r="O115" s="18"/>
      <c r="P115" s="18"/>
      <c r="Q115" s="18"/>
    </row>
    <row r="116" spans="7:17" ht="12.75">
      <c r="G116" s="18"/>
      <c r="H116" s="18"/>
      <c r="I116" s="18"/>
      <c r="J116" s="18"/>
      <c r="K116" s="18"/>
      <c r="L116" s="18"/>
      <c r="M116" s="18"/>
      <c r="N116" s="18"/>
      <c r="O116" s="18"/>
      <c r="P116" s="18"/>
      <c r="Q116" s="18"/>
    </row>
    <row r="117" spans="7:17" ht="12.75">
      <c r="G117" s="18"/>
      <c r="H117" s="18"/>
      <c r="I117" s="18"/>
      <c r="J117" s="18"/>
      <c r="K117" s="18"/>
      <c r="L117" s="18"/>
      <c r="M117" s="18"/>
      <c r="N117" s="18"/>
      <c r="O117" s="18"/>
      <c r="P117" s="18"/>
      <c r="Q117" s="18"/>
    </row>
    <row r="118" spans="7:17" ht="12.75">
      <c r="G118" s="18"/>
      <c r="H118" s="18"/>
      <c r="I118" s="18"/>
      <c r="J118" s="18"/>
      <c r="K118" s="18"/>
      <c r="L118" s="18"/>
      <c r="M118" s="18"/>
      <c r="N118" s="18"/>
      <c r="O118" s="18"/>
      <c r="P118" s="18"/>
      <c r="Q118" s="18"/>
    </row>
    <row r="119" spans="7:17" ht="12.75">
      <c r="G119" s="18"/>
      <c r="H119" s="18"/>
      <c r="I119" s="18"/>
      <c r="J119" s="18"/>
      <c r="K119" s="18"/>
      <c r="L119" s="18"/>
      <c r="M119" s="18"/>
      <c r="N119" s="18"/>
      <c r="O119" s="18"/>
      <c r="P119" s="18"/>
      <c r="Q119" s="18"/>
    </row>
    <row r="120" spans="7:17" ht="12.75">
      <c r="G120" s="18"/>
      <c r="H120" s="18"/>
      <c r="I120" s="18"/>
      <c r="J120" s="18"/>
      <c r="K120" s="18"/>
      <c r="L120" s="18"/>
      <c r="M120" s="18"/>
      <c r="N120" s="18"/>
      <c r="O120" s="18"/>
      <c r="P120" s="18"/>
      <c r="Q120" s="18"/>
    </row>
    <row r="121" spans="7:17" ht="12.75">
      <c r="G121" s="18"/>
      <c r="H121" s="18"/>
      <c r="I121" s="18"/>
      <c r="J121" s="18"/>
      <c r="K121" s="18"/>
      <c r="L121" s="18"/>
      <c r="M121" s="18"/>
      <c r="N121" s="18"/>
      <c r="O121" s="18"/>
      <c r="P121" s="18"/>
      <c r="Q121" s="18"/>
    </row>
    <row r="122" spans="7:17" ht="12.75">
      <c r="G122" s="18"/>
      <c r="H122" s="18"/>
      <c r="I122" s="18"/>
      <c r="J122" s="18"/>
      <c r="K122" s="18"/>
      <c r="L122" s="18"/>
      <c r="M122" s="18"/>
      <c r="N122" s="18"/>
      <c r="O122" s="18"/>
      <c r="P122" s="18"/>
      <c r="Q122" s="18"/>
    </row>
    <row r="123" spans="7:17" ht="12.75">
      <c r="G123" s="18"/>
      <c r="H123" s="18"/>
      <c r="I123" s="18"/>
      <c r="J123" s="18"/>
      <c r="K123" s="18"/>
      <c r="L123" s="18"/>
      <c r="M123" s="18"/>
      <c r="N123" s="18"/>
      <c r="O123" s="18"/>
      <c r="P123" s="18"/>
      <c r="Q123" s="18"/>
    </row>
    <row r="124" spans="7:17" ht="12.75">
      <c r="G124" s="18"/>
      <c r="H124" s="18"/>
      <c r="I124" s="18"/>
      <c r="J124" s="18"/>
      <c r="K124" s="18"/>
      <c r="L124" s="18"/>
      <c r="M124" s="18"/>
      <c r="N124" s="18"/>
      <c r="O124" s="18"/>
      <c r="P124" s="18"/>
      <c r="Q124" s="18"/>
    </row>
    <row r="125" spans="7:17" ht="12.75">
      <c r="G125" s="18"/>
      <c r="H125" s="18"/>
      <c r="I125" s="18"/>
      <c r="J125" s="18"/>
      <c r="K125" s="18"/>
      <c r="L125" s="18"/>
      <c r="M125" s="18"/>
      <c r="N125" s="18"/>
      <c r="O125" s="18"/>
      <c r="P125" s="18"/>
      <c r="Q125" s="18"/>
    </row>
    <row r="126" spans="7:17" ht="12.75">
      <c r="G126" s="18"/>
      <c r="H126" s="18"/>
      <c r="I126" s="18"/>
      <c r="J126" s="18"/>
      <c r="K126" s="18"/>
      <c r="L126" s="18"/>
      <c r="M126" s="18"/>
      <c r="N126" s="18"/>
      <c r="O126" s="18"/>
      <c r="P126" s="18"/>
      <c r="Q126" s="18"/>
    </row>
    <row r="127" spans="7:17" ht="12.75">
      <c r="G127" s="18"/>
      <c r="H127" s="18"/>
      <c r="I127" s="18"/>
      <c r="J127" s="18"/>
      <c r="K127" s="18"/>
      <c r="L127" s="18"/>
      <c r="M127" s="18"/>
      <c r="N127" s="18"/>
      <c r="O127" s="18"/>
      <c r="P127" s="18"/>
      <c r="Q127" s="18"/>
    </row>
    <row r="128" spans="7:17" ht="12.75">
      <c r="G128" s="18"/>
      <c r="H128" s="18"/>
      <c r="I128" s="18"/>
      <c r="J128" s="18"/>
      <c r="K128" s="18"/>
      <c r="L128" s="18"/>
      <c r="M128" s="18"/>
      <c r="N128" s="18"/>
      <c r="O128" s="18"/>
      <c r="P128" s="18"/>
      <c r="Q128" s="18"/>
    </row>
    <row r="129" spans="7:17" ht="12.75">
      <c r="G129" s="18"/>
      <c r="H129" s="18"/>
      <c r="I129" s="18"/>
      <c r="J129" s="18"/>
      <c r="K129" s="18"/>
      <c r="L129" s="18"/>
      <c r="M129" s="18"/>
      <c r="N129" s="18"/>
      <c r="O129" s="18"/>
      <c r="P129" s="18"/>
      <c r="Q129" s="18"/>
    </row>
    <row r="130" spans="7:17" ht="12.75">
      <c r="G130" s="18"/>
      <c r="H130" s="18"/>
      <c r="I130" s="18"/>
      <c r="J130" s="18"/>
      <c r="K130" s="18"/>
      <c r="L130" s="18"/>
      <c r="M130" s="18"/>
      <c r="N130" s="18"/>
      <c r="O130" s="18"/>
      <c r="P130" s="18"/>
      <c r="Q130" s="18"/>
    </row>
    <row r="131" spans="7:17" ht="12.75">
      <c r="G131" s="18"/>
      <c r="H131" s="18"/>
      <c r="I131" s="18"/>
      <c r="J131" s="18"/>
      <c r="K131" s="18"/>
      <c r="L131" s="18"/>
      <c r="M131" s="18"/>
      <c r="N131" s="18"/>
      <c r="O131" s="18"/>
      <c r="P131" s="18"/>
      <c r="Q131" s="18"/>
    </row>
    <row r="132" spans="7:17" ht="12.75">
      <c r="G132" s="18"/>
      <c r="H132" s="18"/>
      <c r="I132" s="18"/>
      <c r="J132" s="18"/>
      <c r="K132" s="18"/>
      <c r="L132" s="18"/>
      <c r="M132" s="18"/>
      <c r="N132" s="18"/>
      <c r="O132" s="18"/>
      <c r="P132" s="18"/>
      <c r="Q132" s="18"/>
    </row>
    <row r="133" spans="7:17" ht="12.75">
      <c r="G133" s="18"/>
      <c r="H133" s="18"/>
      <c r="I133" s="18"/>
      <c r="J133" s="18"/>
      <c r="K133" s="18"/>
      <c r="L133" s="18"/>
      <c r="M133" s="18"/>
      <c r="N133" s="18"/>
      <c r="O133" s="18"/>
      <c r="P133" s="18"/>
      <c r="Q133" s="18"/>
    </row>
    <row r="134" spans="7:17" ht="12.75">
      <c r="G134" s="18"/>
      <c r="H134" s="18"/>
      <c r="I134" s="18"/>
      <c r="J134" s="18"/>
      <c r="K134" s="18"/>
      <c r="L134" s="18"/>
      <c r="M134" s="18"/>
      <c r="N134" s="18"/>
      <c r="O134" s="18"/>
      <c r="P134" s="18"/>
      <c r="Q134" s="18"/>
    </row>
    <row r="135" spans="7:17" ht="12.75">
      <c r="G135" s="18"/>
      <c r="H135" s="18"/>
      <c r="I135" s="18"/>
      <c r="J135" s="18"/>
      <c r="K135" s="18"/>
      <c r="L135" s="18"/>
      <c r="M135" s="18"/>
      <c r="N135" s="18"/>
      <c r="O135" s="18"/>
      <c r="P135" s="18"/>
      <c r="Q135" s="18"/>
    </row>
    <row r="136" spans="7:17" ht="12.75">
      <c r="G136" s="18"/>
      <c r="H136" s="18"/>
      <c r="I136" s="18"/>
      <c r="J136" s="18"/>
      <c r="K136" s="18"/>
      <c r="L136" s="18"/>
      <c r="M136" s="18"/>
      <c r="N136" s="18"/>
      <c r="O136" s="18"/>
      <c r="P136" s="18"/>
      <c r="Q136" s="18"/>
    </row>
    <row r="137" spans="7:17" ht="12.75">
      <c r="G137" s="18"/>
      <c r="H137" s="18"/>
      <c r="I137" s="18"/>
      <c r="J137" s="18"/>
      <c r="K137" s="18"/>
      <c r="L137" s="18"/>
      <c r="M137" s="18"/>
      <c r="N137" s="18"/>
      <c r="O137" s="18"/>
      <c r="P137" s="18"/>
      <c r="Q137" s="18"/>
    </row>
    <row r="138" spans="7:17" ht="12.75">
      <c r="G138" s="18"/>
      <c r="H138" s="18"/>
      <c r="I138" s="18"/>
      <c r="J138" s="18"/>
      <c r="K138" s="18"/>
      <c r="L138" s="18"/>
      <c r="M138" s="18"/>
      <c r="N138" s="18"/>
      <c r="O138" s="18"/>
      <c r="P138" s="18"/>
      <c r="Q138" s="18"/>
    </row>
    <row r="139" spans="7:17" ht="12.75">
      <c r="G139" s="18"/>
      <c r="H139" s="18"/>
      <c r="I139" s="18"/>
      <c r="J139" s="18"/>
      <c r="K139" s="18"/>
      <c r="L139" s="18"/>
      <c r="M139" s="18"/>
      <c r="N139" s="18"/>
      <c r="O139" s="18"/>
      <c r="P139" s="18"/>
      <c r="Q139" s="18"/>
    </row>
    <row r="140" spans="7:17" ht="12.75">
      <c r="G140" s="18"/>
      <c r="H140" s="18"/>
      <c r="I140" s="18"/>
      <c r="J140" s="18"/>
      <c r="K140" s="18"/>
      <c r="L140" s="18"/>
      <c r="M140" s="18"/>
      <c r="N140" s="18"/>
      <c r="O140" s="18"/>
      <c r="P140" s="18"/>
      <c r="Q140" s="18"/>
    </row>
    <row r="141" spans="7:17" ht="12.75">
      <c r="G141" s="18"/>
      <c r="H141" s="18"/>
      <c r="I141" s="18"/>
      <c r="J141" s="18"/>
      <c r="K141" s="18"/>
      <c r="L141" s="18"/>
      <c r="M141" s="18"/>
      <c r="N141" s="18"/>
      <c r="O141" s="18"/>
      <c r="P141" s="18"/>
      <c r="Q141" s="18"/>
    </row>
    <row r="142" spans="7:17" ht="12.75">
      <c r="G142" s="18"/>
      <c r="H142" s="18"/>
      <c r="I142" s="18"/>
      <c r="J142" s="18"/>
      <c r="K142" s="18"/>
      <c r="L142" s="18"/>
      <c r="M142" s="18"/>
      <c r="N142" s="18"/>
      <c r="O142" s="18"/>
      <c r="P142" s="18"/>
      <c r="Q142" s="18"/>
    </row>
    <row r="143" spans="7:17" ht="12.75">
      <c r="G143" s="18"/>
      <c r="H143" s="18"/>
      <c r="I143" s="18"/>
      <c r="J143" s="18"/>
      <c r="K143" s="18"/>
      <c r="L143" s="18"/>
      <c r="M143" s="18"/>
      <c r="N143" s="18"/>
      <c r="O143" s="18"/>
      <c r="P143" s="18"/>
      <c r="Q143" s="18"/>
    </row>
    <row r="144" spans="7:17" ht="12.75">
      <c r="G144" s="18"/>
      <c r="H144" s="18"/>
      <c r="I144" s="18"/>
      <c r="J144" s="18"/>
      <c r="K144" s="18"/>
      <c r="L144" s="18"/>
      <c r="M144" s="18"/>
      <c r="N144" s="18"/>
      <c r="O144" s="18"/>
      <c r="P144" s="18"/>
      <c r="Q144" s="18"/>
    </row>
    <row r="145" spans="7:17" ht="12.75">
      <c r="G145" s="18"/>
      <c r="H145" s="18"/>
      <c r="I145" s="18"/>
      <c r="J145" s="18"/>
      <c r="K145" s="18"/>
      <c r="L145" s="18"/>
      <c r="M145" s="18"/>
      <c r="N145" s="18"/>
      <c r="O145" s="18"/>
      <c r="P145" s="18"/>
      <c r="Q145" s="18"/>
    </row>
    <row r="146" spans="7:17" ht="12.75">
      <c r="G146" s="18"/>
      <c r="H146" s="18"/>
      <c r="I146" s="18"/>
      <c r="J146" s="18"/>
      <c r="K146" s="18"/>
      <c r="L146" s="18"/>
      <c r="M146" s="18"/>
      <c r="N146" s="18"/>
      <c r="O146" s="18"/>
      <c r="P146" s="18"/>
      <c r="Q146" s="18"/>
    </row>
    <row r="147" spans="7:17" ht="12.75">
      <c r="G147" s="18"/>
      <c r="H147" s="18"/>
      <c r="I147" s="18"/>
      <c r="J147" s="18"/>
      <c r="K147" s="18"/>
      <c r="L147" s="18"/>
      <c r="M147" s="18"/>
      <c r="N147" s="18"/>
      <c r="O147" s="18"/>
      <c r="P147" s="18"/>
      <c r="Q147" s="18"/>
    </row>
    <row r="148" spans="7:17" ht="12.75">
      <c r="G148" s="18"/>
      <c r="H148" s="18"/>
      <c r="I148" s="18"/>
      <c r="J148" s="18"/>
      <c r="K148" s="18"/>
      <c r="L148" s="18"/>
      <c r="M148" s="18"/>
      <c r="N148" s="18"/>
      <c r="O148" s="18"/>
      <c r="P148" s="18"/>
      <c r="Q148" s="18"/>
    </row>
    <row r="149" spans="7:17" ht="12.75">
      <c r="G149" s="18"/>
      <c r="H149" s="18"/>
      <c r="I149" s="18"/>
      <c r="J149" s="18"/>
      <c r="K149" s="18"/>
      <c r="L149" s="18"/>
      <c r="M149" s="18"/>
      <c r="N149" s="18"/>
      <c r="O149" s="18"/>
      <c r="P149" s="18"/>
      <c r="Q149" s="18"/>
    </row>
    <row r="150" spans="7:17" ht="12.75">
      <c r="G150" s="18"/>
      <c r="H150" s="18"/>
      <c r="I150" s="18"/>
      <c r="J150" s="18"/>
      <c r="K150" s="18"/>
      <c r="L150" s="18"/>
      <c r="M150" s="18"/>
      <c r="N150" s="18"/>
      <c r="O150" s="18"/>
      <c r="P150" s="18"/>
      <c r="Q150" s="18"/>
    </row>
    <row r="151" spans="7:17" ht="12.75">
      <c r="G151" s="18"/>
      <c r="H151" s="18"/>
      <c r="I151" s="18"/>
      <c r="J151" s="18"/>
      <c r="K151" s="18"/>
      <c r="L151" s="18"/>
      <c r="M151" s="18"/>
      <c r="N151" s="18"/>
      <c r="O151" s="18"/>
      <c r="P151" s="18"/>
      <c r="Q151" s="18"/>
    </row>
    <row r="152" spans="7:17" ht="12.75">
      <c r="G152" s="18"/>
      <c r="H152" s="18"/>
      <c r="I152" s="18"/>
      <c r="J152" s="18"/>
      <c r="K152" s="18"/>
      <c r="L152" s="18"/>
      <c r="M152" s="18"/>
      <c r="N152" s="18"/>
      <c r="O152" s="18"/>
      <c r="P152" s="18"/>
      <c r="Q152" s="18"/>
    </row>
    <row r="153" spans="7:17" ht="12.75">
      <c r="G153" s="18"/>
      <c r="H153" s="18"/>
      <c r="I153" s="18"/>
      <c r="J153" s="18"/>
      <c r="K153" s="18"/>
      <c r="L153" s="18"/>
      <c r="M153" s="18"/>
      <c r="N153" s="18"/>
      <c r="O153" s="18"/>
      <c r="P153" s="18"/>
      <c r="Q153" s="18"/>
    </row>
    <row r="154" spans="7:17" ht="12.75">
      <c r="G154" s="18"/>
      <c r="H154" s="18"/>
      <c r="I154" s="18"/>
      <c r="J154" s="18"/>
      <c r="K154" s="18"/>
      <c r="L154" s="18"/>
      <c r="M154" s="18"/>
      <c r="N154" s="18"/>
      <c r="O154" s="18"/>
      <c r="P154" s="18"/>
      <c r="Q154" s="18"/>
    </row>
    <row r="155" spans="7:17" ht="12.75">
      <c r="G155" s="18"/>
      <c r="H155" s="18"/>
      <c r="I155" s="18"/>
      <c r="J155" s="18"/>
      <c r="K155" s="18"/>
      <c r="L155" s="18"/>
      <c r="M155" s="18"/>
      <c r="N155" s="18"/>
      <c r="O155" s="18"/>
      <c r="P155" s="18"/>
      <c r="Q155" s="18"/>
    </row>
    <row r="156" spans="7:17" ht="12.75">
      <c r="G156" s="18"/>
      <c r="H156" s="18"/>
      <c r="I156" s="18"/>
      <c r="J156" s="18"/>
      <c r="K156" s="18"/>
      <c r="L156" s="18"/>
      <c r="M156" s="18"/>
      <c r="N156" s="18"/>
      <c r="O156" s="18"/>
      <c r="P156" s="18"/>
      <c r="Q156" s="18"/>
    </row>
    <row r="157" spans="7:17" ht="12.75">
      <c r="G157" s="18"/>
      <c r="H157" s="18"/>
      <c r="I157" s="18"/>
      <c r="J157" s="18"/>
      <c r="K157" s="18"/>
      <c r="L157" s="18"/>
      <c r="M157" s="18"/>
      <c r="N157" s="18"/>
      <c r="O157" s="18"/>
      <c r="P157" s="18"/>
      <c r="Q157" s="18"/>
    </row>
    <row r="158" spans="7:17" ht="12.75">
      <c r="G158" s="18"/>
      <c r="H158" s="18"/>
      <c r="I158" s="18"/>
      <c r="J158" s="18"/>
      <c r="K158" s="18"/>
      <c r="L158" s="18"/>
      <c r="M158" s="18"/>
      <c r="N158" s="18"/>
      <c r="O158" s="18"/>
      <c r="P158" s="18"/>
      <c r="Q158" s="18"/>
    </row>
    <row r="159" spans="7:17" ht="12.75">
      <c r="G159" s="18"/>
      <c r="H159" s="18"/>
      <c r="I159" s="18"/>
      <c r="J159" s="18"/>
      <c r="K159" s="18"/>
      <c r="L159" s="18"/>
      <c r="M159" s="18"/>
      <c r="N159" s="18"/>
      <c r="O159" s="18"/>
      <c r="P159" s="18"/>
      <c r="Q159" s="18"/>
    </row>
    <row r="160" spans="7:17" ht="12.75">
      <c r="G160" s="18"/>
      <c r="H160" s="18"/>
      <c r="I160" s="18"/>
      <c r="J160" s="18"/>
      <c r="K160" s="18"/>
      <c r="L160" s="18"/>
      <c r="M160" s="18"/>
      <c r="N160" s="18"/>
      <c r="O160" s="18"/>
      <c r="P160" s="18"/>
      <c r="Q160" s="18"/>
    </row>
    <row r="161" spans="7:17" ht="12.75">
      <c r="G161" s="18"/>
      <c r="H161" s="18"/>
      <c r="I161" s="18"/>
      <c r="J161" s="18"/>
      <c r="K161" s="18"/>
      <c r="L161" s="18"/>
      <c r="M161" s="18"/>
      <c r="N161" s="18"/>
      <c r="O161" s="18"/>
      <c r="P161" s="18"/>
      <c r="Q161" s="18"/>
    </row>
    <row r="162" spans="7:17" ht="12.75">
      <c r="G162" s="18"/>
      <c r="H162" s="18"/>
      <c r="I162" s="18"/>
      <c r="J162" s="18"/>
      <c r="K162" s="18"/>
      <c r="L162" s="18"/>
      <c r="M162" s="18"/>
      <c r="N162" s="18"/>
      <c r="O162" s="18"/>
      <c r="P162" s="18"/>
      <c r="Q162" s="18"/>
    </row>
    <row r="163" spans="7:17" ht="12.75">
      <c r="G163" s="18"/>
      <c r="H163" s="18"/>
      <c r="I163" s="18"/>
      <c r="J163" s="18"/>
      <c r="K163" s="18"/>
      <c r="L163" s="18"/>
      <c r="M163" s="18"/>
      <c r="N163" s="18"/>
      <c r="O163" s="18"/>
      <c r="P163" s="18"/>
      <c r="Q163" s="18"/>
    </row>
    <row r="164" spans="7:17" ht="12.75">
      <c r="G164" s="18"/>
      <c r="H164" s="18"/>
      <c r="I164" s="18"/>
      <c r="J164" s="18"/>
      <c r="K164" s="18"/>
      <c r="L164" s="18"/>
      <c r="M164" s="18"/>
      <c r="N164" s="18"/>
      <c r="O164" s="18"/>
      <c r="P164" s="18"/>
      <c r="Q164" s="18"/>
    </row>
    <row r="165" spans="7:17" ht="12.75">
      <c r="G165" s="18"/>
      <c r="H165" s="18"/>
      <c r="I165" s="18"/>
      <c r="J165" s="18"/>
      <c r="K165" s="18"/>
      <c r="L165" s="18"/>
      <c r="M165" s="18"/>
      <c r="N165" s="18"/>
      <c r="O165" s="18"/>
      <c r="P165" s="18"/>
      <c r="Q165" s="18"/>
    </row>
    <row r="166" spans="7:17" ht="12.75">
      <c r="G166" s="18"/>
      <c r="H166" s="18"/>
      <c r="I166" s="18"/>
      <c r="J166" s="18"/>
      <c r="K166" s="18"/>
      <c r="L166" s="18"/>
      <c r="M166" s="18"/>
      <c r="N166" s="18"/>
      <c r="O166" s="18"/>
      <c r="P166" s="18"/>
      <c r="Q166" s="18"/>
    </row>
    <row r="167" spans="7:17" ht="12.75">
      <c r="G167" s="18"/>
      <c r="H167" s="18"/>
      <c r="I167" s="18"/>
      <c r="J167" s="18"/>
      <c r="K167" s="18"/>
      <c r="L167" s="18"/>
      <c r="M167" s="18"/>
      <c r="N167" s="18"/>
      <c r="O167" s="18"/>
      <c r="P167" s="18"/>
      <c r="Q167" s="18"/>
    </row>
    <row r="168" spans="7:17" ht="12.75">
      <c r="G168" s="18"/>
      <c r="H168" s="18"/>
      <c r="I168" s="18"/>
      <c r="J168" s="18"/>
      <c r="K168" s="18"/>
      <c r="L168" s="18"/>
      <c r="M168" s="18"/>
      <c r="N168" s="18"/>
      <c r="O168" s="18"/>
      <c r="P168" s="18"/>
      <c r="Q168" s="18"/>
    </row>
    <row r="169" spans="7:17" ht="12.75">
      <c r="G169" s="18"/>
      <c r="H169" s="18"/>
      <c r="I169" s="18"/>
      <c r="J169" s="18"/>
      <c r="K169" s="18"/>
      <c r="L169" s="18"/>
      <c r="M169" s="18"/>
      <c r="N169" s="18"/>
      <c r="O169" s="18"/>
      <c r="P169" s="18"/>
      <c r="Q169" s="18"/>
    </row>
    <row r="170" spans="7:17" ht="12.75">
      <c r="G170" s="18"/>
      <c r="H170" s="18"/>
      <c r="I170" s="18"/>
      <c r="J170" s="18"/>
      <c r="K170" s="18"/>
      <c r="L170" s="18"/>
      <c r="M170" s="18"/>
      <c r="N170" s="18"/>
      <c r="O170" s="18"/>
      <c r="P170" s="18"/>
      <c r="Q170" s="18"/>
    </row>
    <row r="171" spans="7:17" ht="12.75">
      <c r="G171" s="18"/>
      <c r="H171" s="18"/>
      <c r="I171" s="18"/>
      <c r="J171" s="18"/>
      <c r="K171" s="18"/>
      <c r="L171" s="18"/>
      <c r="M171" s="18"/>
      <c r="N171" s="18"/>
      <c r="O171" s="18"/>
      <c r="P171" s="18"/>
      <c r="Q171" s="18"/>
    </row>
    <row r="172" spans="7:17" ht="12.75">
      <c r="G172" s="18"/>
      <c r="H172" s="18"/>
      <c r="I172" s="18"/>
      <c r="J172" s="18"/>
      <c r="K172" s="18"/>
      <c r="L172" s="18"/>
      <c r="M172" s="18"/>
      <c r="N172" s="18"/>
      <c r="O172" s="18"/>
      <c r="P172" s="18"/>
      <c r="Q172" s="18"/>
    </row>
    <row r="173" spans="7:17" ht="12.75">
      <c r="G173" s="18"/>
      <c r="H173" s="18"/>
      <c r="I173" s="18"/>
      <c r="J173" s="18"/>
      <c r="K173" s="18"/>
      <c r="L173" s="18"/>
      <c r="M173" s="18"/>
      <c r="N173" s="18"/>
      <c r="O173" s="18"/>
      <c r="P173" s="18"/>
      <c r="Q173" s="18"/>
    </row>
    <row r="174" spans="7:17" ht="12.75">
      <c r="G174" s="18"/>
      <c r="H174" s="18"/>
      <c r="I174" s="18"/>
      <c r="J174" s="18"/>
      <c r="K174" s="18"/>
      <c r="L174" s="18"/>
      <c r="M174" s="18"/>
      <c r="N174" s="18"/>
      <c r="O174" s="18"/>
      <c r="P174" s="18"/>
      <c r="Q174" s="18"/>
    </row>
    <row r="175" spans="7:17" ht="12.75">
      <c r="G175" s="18"/>
      <c r="H175" s="18"/>
      <c r="I175" s="18"/>
      <c r="J175" s="18"/>
      <c r="K175" s="18"/>
      <c r="L175" s="18"/>
      <c r="M175" s="18"/>
      <c r="N175" s="18"/>
      <c r="O175" s="18"/>
      <c r="P175" s="18"/>
      <c r="Q175" s="18"/>
    </row>
    <row r="176" spans="7:17" ht="12.75">
      <c r="G176" s="18"/>
      <c r="H176" s="18"/>
      <c r="I176" s="18"/>
      <c r="J176" s="18"/>
      <c r="K176" s="18"/>
      <c r="L176" s="18"/>
      <c r="M176" s="18"/>
      <c r="N176" s="18"/>
      <c r="O176" s="18"/>
      <c r="P176" s="18"/>
      <c r="Q176" s="18"/>
    </row>
    <row r="177" spans="7:17" ht="12.75">
      <c r="G177" s="18"/>
      <c r="H177" s="18"/>
      <c r="I177" s="18"/>
      <c r="J177" s="18"/>
      <c r="K177" s="18"/>
      <c r="L177" s="18"/>
      <c r="M177" s="18"/>
      <c r="N177" s="18"/>
      <c r="O177" s="18"/>
      <c r="P177" s="18"/>
      <c r="Q177" s="18"/>
    </row>
    <row r="178" spans="7:17" ht="12.75">
      <c r="G178" s="18"/>
      <c r="H178" s="18"/>
      <c r="I178" s="18"/>
      <c r="J178" s="18"/>
      <c r="K178" s="18"/>
      <c r="L178" s="18"/>
      <c r="M178" s="18"/>
      <c r="N178" s="18"/>
      <c r="O178" s="18"/>
      <c r="P178" s="18"/>
      <c r="Q178" s="18"/>
    </row>
    <row r="179" spans="7:17" ht="12.75">
      <c r="G179" s="18"/>
      <c r="H179" s="18"/>
      <c r="I179" s="18"/>
      <c r="J179" s="18"/>
      <c r="K179" s="18"/>
      <c r="L179" s="18"/>
      <c r="M179" s="18"/>
      <c r="N179" s="18"/>
      <c r="O179" s="18"/>
      <c r="P179" s="18"/>
      <c r="Q179" s="18"/>
    </row>
    <row r="180" spans="7:17" ht="12.75">
      <c r="G180" s="18"/>
      <c r="H180" s="18"/>
      <c r="I180" s="18"/>
      <c r="J180" s="18"/>
      <c r="K180" s="18"/>
      <c r="L180" s="18"/>
      <c r="M180" s="18"/>
      <c r="N180" s="18"/>
      <c r="O180" s="18"/>
      <c r="P180" s="18"/>
      <c r="Q180" s="18"/>
    </row>
    <row r="181" spans="7:17" ht="12.75">
      <c r="G181" s="18"/>
      <c r="H181" s="18"/>
      <c r="I181" s="18"/>
      <c r="J181" s="18"/>
      <c r="K181" s="18"/>
      <c r="L181" s="18"/>
      <c r="M181" s="18"/>
      <c r="N181" s="18"/>
      <c r="O181" s="18"/>
      <c r="P181" s="18"/>
      <c r="Q181" s="18"/>
    </row>
    <row r="182" spans="7:17" ht="12.75">
      <c r="G182" s="18"/>
      <c r="H182" s="18"/>
      <c r="I182" s="18"/>
      <c r="J182" s="18"/>
      <c r="K182" s="18"/>
      <c r="L182" s="18"/>
      <c r="M182" s="18"/>
      <c r="N182" s="18"/>
      <c r="O182" s="18"/>
      <c r="P182" s="18"/>
      <c r="Q182" s="18"/>
    </row>
    <row r="183" spans="7:17" ht="12.75">
      <c r="G183" s="18"/>
      <c r="H183" s="18"/>
      <c r="I183" s="18"/>
      <c r="J183" s="18"/>
      <c r="K183" s="18"/>
      <c r="L183" s="18"/>
      <c r="M183" s="18"/>
      <c r="N183" s="18"/>
      <c r="O183" s="18"/>
      <c r="P183" s="18"/>
      <c r="Q183" s="18"/>
    </row>
    <row r="184" spans="7:17" ht="12.75">
      <c r="G184" s="18"/>
      <c r="H184" s="18"/>
      <c r="I184" s="18"/>
      <c r="J184" s="18"/>
      <c r="K184" s="18"/>
      <c r="L184" s="18"/>
      <c r="M184" s="18"/>
      <c r="N184" s="18"/>
      <c r="O184" s="18"/>
      <c r="P184" s="18"/>
      <c r="Q184" s="18"/>
    </row>
    <row r="185" spans="7:17" ht="12.75">
      <c r="G185" s="18"/>
      <c r="H185" s="18"/>
      <c r="I185" s="18"/>
      <c r="J185" s="18"/>
      <c r="K185" s="18"/>
      <c r="L185" s="18"/>
      <c r="M185" s="18"/>
      <c r="N185" s="18"/>
      <c r="O185" s="18"/>
      <c r="P185" s="18"/>
      <c r="Q185" s="18"/>
    </row>
    <row r="186" spans="7:17" ht="12.75">
      <c r="G186" s="18"/>
      <c r="H186" s="18"/>
      <c r="I186" s="18"/>
      <c r="J186" s="18"/>
      <c r="K186" s="18"/>
      <c r="L186" s="18"/>
      <c r="M186" s="18"/>
      <c r="N186" s="18"/>
      <c r="O186" s="18"/>
      <c r="P186" s="18"/>
      <c r="Q186" s="18"/>
    </row>
    <row r="187" spans="7:17" ht="12.75">
      <c r="G187" s="18"/>
      <c r="H187" s="18"/>
      <c r="I187" s="18"/>
      <c r="J187" s="18"/>
      <c r="K187" s="18"/>
      <c r="L187" s="18"/>
      <c r="M187" s="18"/>
      <c r="N187" s="18"/>
      <c r="O187" s="18"/>
      <c r="P187" s="18"/>
      <c r="Q187" s="18"/>
    </row>
    <row r="188" spans="7:17" ht="12.75">
      <c r="G188" s="18"/>
      <c r="H188" s="18"/>
      <c r="I188" s="18"/>
      <c r="J188" s="18"/>
      <c r="K188" s="18"/>
      <c r="L188" s="18"/>
      <c r="M188" s="18"/>
      <c r="N188" s="18"/>
      <c r="O188" s="18"/>
      <c r="P188" s="18"/>
      <c r="Q188" s="18"/>
    </row>
    <row r="189" spans="7:17" ht="12.75">
      <c r="G189" s="18"/>
      <c r="H189" s="18"/>
      <c r="I189" s="18"/>
      <c r="J189" s="18"/>
      <c r="K189" s="18"/>
      <c r="L189" s="18"/>
      <c r="M189" s="18"/>
      <c r="N189" s="18"/>
      <c r="O189" s="18"/>
      <c r="P189" s="18"/>
      <c r="Q189" s="18"/>
    </row>
    <row r="190" spans="7:17" ht="12.75">
      <c r="G190" s="18"/>
      <c r="H190" s="18"/>
      <c r="I190" s="18"/>
      <c r="J190" s="18"/>
      <c r="K190" s="18"/>
      <c r="L190" s="18"/>
      <c r="M190" s="18"/>
      <c r="N190" s="18"/>
      <c r="O190" s="18"/>
      <c r="P190" s="18"/>
      <c r="Q190" s="18"/>
    </row>
    <row r="191" spans="7:17" ht="12.75">
      <c r="G191" s="18"/>
      <c r="H191" s="18"/>
      <c r="I191" s="18"/>
      <c r="J191" s="18"/>
      <c r="K191" s="18"/>
      <c r="L191" s="18"/>
      <c r="M191" s="18"/>
      <c r="N191" s="18"/>
      <c r="O191" s="18"/>
      <c r="P191" s="18"/>
      <c r="Q191" s="18"/>
    </row>
    <row r="192" spans="7:17" ht="12.75">
      <c r="G192" s="18"/>
      <c r="H192" s="18"/>
      <c r="I192" s="18"/>
      <c r="J192" s="18"/>
      <c r="K192" s="18"/>
      <c r="L192" s="18"/>
      <c r="M192" s="18"/>
      <c r="N192" s="18"/>
      <c r="O192" s="18"/>
      <c r="P192" s="18"/>
      <c r="Q192" s="18"/>
    </row>
    <row r="193" spans="7:17" ht="12.75">
      <c r="G193" s="18"/>
      <c r="H193" s="18"/>
      <c r="I193" s="18"/>
      <c r="J193" s="18"/>
      <c r="K193" s="18"/>
      <c r="L193" s="18"/>
      <c r="M193" s="18"/>
      <c r="N193" s="18"/>
      <c r="O193" s="18"/>
      <c r="P193" s="18"/>
      <c r="Q193" s="18"/>
    </row>
    <row r="194" spans="7:17" ht="12.75">
      <c r="G194" s="18"/>
      <c r="H194" s="18"/>
      <c r="I194" s="18"/>
      <c r="J194" s="18"/>
      <c r="K194" s="18"/>
      <c r="L194" s="18"/>
      <c r="M194" s="18"/>
      <c r="N194" s="18"/>
      <c r="O194" s="18"/>
      <c r="P194" s="18"/>
      <c r="Q194" s="18"/>
    </row>
    <row r="195" spans="7:17" ht="12.75">
      <c r="G195" s="18"/>
      <c r="H195" s="18"/>
      <c r="I195" s="18"/>
      <c r="J195" s="18"/>
      <c r="K195" s="18"/>
      <c r="L195" s="18"/>
      <c r="M195" s="18"/>
      <c r="N195" s="18"/>
      <c r="O195" s="18"/>
      <c r="P195" s="18"/>
      <c r="Q195" s="18"/>
    </row>
    <row r="196" spans="7:17" ht="12.75">
      <c r="G196" s="18"/>
      <c r="H196" s="18"/>
      <c r="I196" s="18"/>
      <c r="J196" s="18"/>
      <c r="K196" s="18"/>
      <c r="L196" s="18"/>
      <c r="M196" s="18"/>
      <c r="N196" s="18"/>
      <c r="O196" s="18"/>
      <c r="P196" s="18"/>
      <c r="Q196" s="18"/>
    </row>
    <row r="197" spans="7:17" ht="12.75">
      <c r="G197" s="18"/>
      <c r="H197" s="18"/>
      <c r="I197" s="18"/>
      <c r="J197" s="18"/>
      <c r="K197" s="18"/>
      <c r="L197" s="18"/>
      <c r="M197" s="18"/>
      <c r="N197" s="18"/>
      <c r="O197" s="18"/>
      <c r="P197" s="18"/>
      <c r="Q197" s="18"/>
    </row>
    <row r="198" spans="7:17" ht="12.75">
      <c r="G198" s="18"/>
      <c r="H198" s="18"/>
      <c r="I198" s="18"/>
      <c r="J198" s="18"/>
      <c r="K198" s="18"/>
      <c r="L198" s="18"/>
      <c r="M198" s="18"/>
      <c r="N198" s="18"/>
      <c r="O198" s="18"/>
      <c r="P198" s="18"/>
      <c r="Q198" s="18"/>
    </row>
    <row r="199" spans="7:17" ht="12.75">
      <c r="G199" s="18"/>
      <c r="H199" s="18"/>
      <c r="I199" s="18"/>
      <c r="J199" s="18"/>
      <c r="K199" s="18"/>
      <c r="L199" s="18"/>
      <c r="M199" s="18"/>
      <c r="N199" s="18"/>
      <c r="O199" s="18"/>
      <c r="P199" s="18"/>
      <c r="Q199" s="18"/>
    </row>
    <row r="200" spans="7:17" ht="12.75">
      <c r="G200" s="18"/>
      <c r="H200" s="18"/>
      <c r="I200" s="18"/>
      <c r="J200" s="18"/>
      <c r="K200" s="18"/>
      <c r="L200" s="18"/>
      <c r="M200" s="18"/>
      <c r="N200" s="18"/>
      <c r="O200" s="18"/>
      <c r="P200" s="18"/>
      <c r="Q200" s="18"/>
    </row>
    <row r="201" spans="7:17" ht="12.75">
      <c r="G201" s="18"/>
      <c r="H201" s="18"/>
      <c r="I201" s="18"/>
      <c r="J201" s="18"/>
      <c r="K201" s="18"/>
      <c r="L201" s="18"/>
      <c r="M201" s="18"/>
      <c r="N201" s="18"/>
      <c r="O201" s="18"/>
      <c r="P201" s="18"/>
      <c r="Q201" s="18"/>
    </row>
    <row r="202" spans="7:17" ht="12.75">
      <c r="G202" s="18"/>
      <c r="H202" s="18"/>
      <c r="I202" s="18"/>
      <c r="J202" s="18"/>
      <c r="K202" s="18"/>
      <c r="L202" s="18"/>
      <c r="M202" s="18"/>
      <c r="N202" s="18"/>
      <c r="O202" s="18"/>
      <c r="P202" s="18"/>
      <c r="Q202" s="18"/>
    </row>
    <row r="203" spans="7:17" ht="12.75">
      <c r="G203" s="18"/>
      <c r="H203" s="18"/>
      <c r="I203" s="18"/>
      <c r="J203" s="18"/>
      <c r="K203" s="18"/>
      <c r="L203" s="18"/>
      <c r="M203" s="18"/>
      <c r="N203" s="18"/>
      <c r="O203" s="18"/>
      <c r="P203" s="18"/>
      <c r="Q203" s="18"/>
    </row>
    <row r="204" spans="7:17" ht="12.75">
      <c r="G204" s="18"/>
      <c r="H204" s="18"/>
      <c r="I204" s="18"/>
      <c r="J204" s="18"/>
      <c r="K204" s="18"/>
      <c r="L204" s="18"/>
      <c r="M204" s="18"/>
      <c r="N204" s="18"/>
      <c r="O204" s="18"/>
      <c r="P204" s="18"/>
      <c r="Q204" s="18"/>
    </row>
    <row r="205" spans="7:17" ht="12.75">
      <c r="G205" s="18"/>
      <c r="H205" s="18"/>
      <c r="I205" s="18"/>
      <c r="J205" s="18"/>
      <c r="K205" s="18"/>
      <c r="L205" s="18"/>
      <c r="M205" s="18"/>
      <c r="N205" s="18"/>
      <c r="O205" s="18"/>
      <c r="P205" s="18"/>
      <c r="Q205" s="18"/>
    </row>
    <row r="206" spans="7:17" ht="12.75">
      <c r="G206" s="18"/>
      <c r="H206" s="18"/>
      <c r="I206" s="18"/>
      <c r="J206" s="18"/>
      <c r="K206" s="18"/>
      <c r="L206" s="18"/>
      <c r="M206" s="18"/>
      <c r="N206" s="18"/>
      <c r="O206" s="18"/>
      <c r="P206" s="18"/>
      <c r="Q206" s="18"/>
    </row>
    <row r="207" spans="7:17" ht="12.75">
      <c r="G207" s="18"/>
      <c r="H207" s="18"/>
      <c r="I207" s="18"/>
      <c r="J207" s="18"/>
      <c r="K207" s="18"/>
      <c r="L207" s="18"/>
      <c r="M207" s="18"/>
      <c r="N207" s="18"/>
      <c r="O207" s="18"/>
      <c r="P207" s="18"/>
      <c r="Q207" s="18"/>
    </row>
    <row r="208" spans="7:17" ht="12.75">
      <c r="G208" s="18"/>
      <c r="H208" s="18"/>
      <c r="I208" s="18"/>
      <c r="J208" s="18"/>
      <c r="K208" s="18"/>
      <c r="L208" s="18"/>
      <c r="M208" s="18"/>
      <c r="N208" s="18"/>
      <c r="O208" s="18"/>
      <c r="P208" s="18"/>
      <c r="Q208" s="18"/>
    </row>
    <row r="209" spans="7:17" ht="12.75">
      <c r="G209" s="18"/>
      <c r="H209" s="18"/>
      <c r="I209" s="18"/>
      <c r="J209" s="18"/>
      <c r="K209" s="18"/>
      <c r="L209" s="18"/>
      <c r="M209" s="18"/>
      <c r="N209" s="18"/>
      <c r="O209" s="18"/>
      <c r="P209" s="18"/>
      <c r="Q209" s="18"/>
    </row>
    <row r="210" spans="7:17" ht="12.75">
      <c r="G210" s="18"/>
      <c r="H210" s="18"/>
      <c r="I210" s="18"/>
      <c r="J210" s="18"/>
      <c r="K210" s="18"/>
      <c r="L210" s="18"/>
      <c r="M210" s="18"/>
      <c r="N210" s="18"/>
      <c r="O210" s="18"/>
      <c r="P210" s="18"/>
      <c r="Q210" s="18"/>
    </row>
    <row r="211" spans="7:17" ht="12.75">
      <c r="G211" s="18"/>
      <c r="H211" s="18"/>
      <c r="I211" s="18"/>
      <c r="J211" s="18"/>
      <c r="K211" s="18"/>
      <c r="L211" s="18"/>
      <c r="M211" s="18"/>
      <c r="N211" s="18"/>
      <c r="O211" s="18"/>
      <c r="P211" s="18"/>
      <c r="Q211" s="18"/>
    </row>
  </sheetData>
  <printOptions gridLines="1" horizontalCentered="1"/>
  <pageMargins left="0.2" right="0" top="0.36" bottom="0.25" header="0.24" footer="0"/>
  <pageSetup fitToHeight="1" fitToWidth="1" horizontalDpi="300" verticalDpi="300" orientation="landscape" scale="56" r:id="rId1"/>
  <headerFooter alignWithMargins="0">
    <oddHeader>&amp;C&amp;A&amp;R&amp;9&amp;D</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209"/>
  <sheetViews>
    <sheetView zoomScale="75" zoomScaleNormal="75" workbookViewId="0" topLeftCell="A1">
      <pane xSplit="1" ySplit="8" topLeftCell="B9" activePane="bottomRight" state="frozen"/>
      <selection pane="topLeft" activeCell="A3" sqref="A3"/>
      <selection pane="topRight" activeCell="A3" sqref="A3"/>
      <selection pane="bottomLeft" activeCell="A3" sqref="A3"/>
      <selection pane="bottomRight" activeCell="B9" sqref="B9"/>
    </sheetView>
  </sheetViews>
  <sheetFormatPr defaultColWidth="9.140625" defaultRowHeight="12.75"/>
  <cols>
    <col min="1" max="1" width="20.57421875" style="0" customWidth="1"/>
    <col min="2" max="2" width="20.421875" style="0" customWidth="1"/>
    <col min="3" max="3" width="14.8515625" style="0" customWidth="1"/>
    <col min="4" max="4" width="12.8515625" style="0" customWidth="1"/>
    <col min="5" max="5" width="17.28125" style="0" customWidth="1"/>
    <col min="6" max="6" width="13.57421875" style="0" customWidth="1"/>
    <col min="7" max="7" width="14.8515625" style="0" customWidth="1"/>
    <col min="8" max="8" width="16.28125" style="0" customWidth="1"/>
    <col min="9" max="9" width="15.7109375" style="0" customWidth="1"/>
    <col min="10" max="10" width="2.7109375" style="0" customWidth="1"/>
    <col min="11" max="13" width="15.7109375" style="0" customWidth="1"/>
    <col min="14" max="14" width="14.8515625" style="0" customWidth="1"/>
    <col min="15" max="15" width="15.28125" style="0" customWidth="1"/>
    <col min="16" max="16" width="16.57421875" style="0" customWidth="1"/>
    <col min="17" max="17" width="13.28125" style="0" customWidth="1"/>
    <col min="18" max="18" width="14.57421875" style="0" customWidth="1"/>
    <col min="19" max="19" width="3.57421875" style="0" customWidth="1"/>
    <col min="20" max="20" width="17.7109375" style="0" customWidth="1"/>
    <col min="21" max="21" width="15.140625" style="0" customWidth="1"/>
    <col min="22" max="22" width="16.00390625" style="0" customWidth="1"/>
    <col min="23" max="23" width="17.7109375" style="0" customWidth="1"/>
  </cols>
  <sheetData>
    <row r="1" spans="1:4" ht="15.75">
      <c r="A1" s="1"/>
      <c r="D1" s="174"/>
    </row>
    <row r="2" spans="1:10" ht="15.75">
      <c r="A2" s="28" t="s">
        <v>352</v>
      </c>
      <c r="B2" s="28"/>
      <c r="C2" s="28"/>
      <c r="D2" s="28"/>
      <c r="E2" s="28"/>
      <c r="F2" s="28"/>
      <c r="G2" s="28"/>
      <c r="H2" s="28"/>
      <c r="I2" s="28"/>
      <c r="J2" s="28"/>
    </row>
    <row r="3" spans="1:10" ht="15.75">
      <c r="A3" s="28" t="s">
        <v>332</v>
      </c>
      <c r="B3" s="28"/>
      <c r="C3" s="28"/>
      <c r="D3" s="28"/>
      <c r="E3" s="28"/>
      <c r="F3" s="28"/>
      <c r="G3" s="28"/>
      <c r="H3" s="28"/>
      <c r="I3" s="28"/>
      <c r="J3" s="28"/>
    </row>
    <row r="4" spans="1:12" ht="15.75">
      <c r="A4" s="4" t="s">
        <v>1</v>
      </c>
      <c r="B4" s="28"/>
      <c r="C4" s="28"/>
      <c r="D4" s="28"/>
      <c r="E4" s="28"/>
      <c r="F4" s="28"/>
      <c r="G4" s="28"/>
      <c r="H4" s="28"/>
      <c r="I4" s="6">
        <v>11</v>
      </c>
      <c r="J4" s="28"/>
      <c r="L4" t="s">
        <v>243</v>
      </c>
    </row>
    <row r="5" spans="1:9" ht="12.75">
      <c r="A5" t="s">
        <v>90</v>
      </c>
      <c r="I5" s="29" t="s">
        <v>16</v>
      </c>
    </row>
    <row r="6" spans="1:10" ht="15.75">
      <c r="A6" s="5" t="s">
        <v>91</v>
      </c>
      <c r="B6" s="6">
        <v>5</v>
      </c>
      <c r="C6" s="6">
        <v>6</v>
      </c>
      <c r="D6" s="6">
        <v>7</v>
      </c>
      <c r="E6" s="6">
        <v>8</v>
      </c>
      <c r="F6" s="6" t="s">
        <v>4</v>
      </c>
      <c r="G6" s="6">
        <v>9</v>
      </c>
      <c r="H6" s="6">
        <v>10</v>
      </c>
      <c r="I6" s="29" t="s">
        <v>92</v>
      </c>
      <c r="J6" s="6"/>
    </row>
    <row r="7" spans="2:10" ht="12.75">
      <c r="B7" s="29" t="s">
        <v>9</v>
      </c>
      <c r="C7" s="29" t="s">
        <v>10</v>
      </c>
      <c r="D7" s="29" t="s">
        <v>11</v>
      </c>
      <c r="E7" s="29" t="s">
        <v>12</v>
      </c>
      <c r="F7" s="29" t="s">
        <v>13</v>
      </c>
      <c r="G7" s="29" t="s">
        <v>14</v>
      </c>
      <c r="H7" s="29" t="s">
        <v>15</v>
      </c>
      <c r="I7" s="29" t="s">
        <v>23</v>
      </c>
      <c r="J7" s="29"/>
    </row>
    <row r="8" spans="2:10" ht="12.75">
      <c r="B8" s="29" t="s">
        <v>24</v>
      </c>
      <c r="C8" s="29" t="s">
        <v>25</v>
      </c>
      <c r="D8" s="29" t="s">
        <v>93</v>
      </c>
      <c r="E8" s="29"/>
      <c r="F8" s="29"/>
      <c r="G8" s="29" t="s">
        <v>27</v>
      </c>
      <c r="H8" s="29" t="s">
        <v>28</v>
      </c>
      <c r="I8" s="29" t="s">
        <v>28</v>
      </c>
      <c r="J8" s="29"/>
    </row>
    <row r="9" spans="2:10" ht="12.75">
      <c r="B9" s="29"/>
      <c r="C9" s="29"/>
      <c r="D9" s="29"/>
      <c r="E9" s="29"/>
      <c r="F9" s="29"/>
      <c r="G9" s="29"/>
      <c r="H9" s="29"/>
      <c r="I9" s="29"/>
      <c r="J9" s="29"/>
    </row>
    <row r="10" spans="1:12" ht="12.75">
      <c r="A10" s="1" t="s">
        <v>32</v>
      </c>
      <c r="B10" s="18">
        <v>7124592</v>
      </c>
      <c r="C10" s="18">
        <v>2374370</v>
      </c>
      <c r="D10" s="18">
        <v>1728308</v>
      </c>
      <c r="E10" s="18">
        <v>1680245</v>
      </c>
      <c r="F10" s="18">
        <v>75458</v>
      </c>
      <c r="G10" s="18">
        <v>0</v>
      </c>
      <c r="H10" s="18">
        <v>3286848</v>
      </c>
      <c r="I10" s="18">
        <f>SUM(B10:H10)</f>
        <v>16269821</v>
      </c>
      <c r="J10" s="18"/>
      <c r="L10" s="42">
        <f>E10/I10</f>
        <v>0.10327372378589783</v>
      </c>
    </row>
    <row r="11" spans="1:12" ht="12.75">
      <c r="A11" s="1" t="s">
        <v>33</v>
      </c>
      <c r="B11" s="18">
        <v>16155834</v>
      </c>
      <c r="C11" s="18">
        <v>1828895</v>
      </c>
      <c r="D11" s="18">
        <v>1368134</v>
      </c>
      <c r="E11" s="18">
        <v>1565724</v>
      </c>
      <c r="F11" s="18">
        <v>546361</v>
      </c>
      <c r="G11" s="18">
        <v>0</v>
      </c>
      <c r="H11" s="18">
        <v>102146</v>
      </c>
      <c r="I11" s="18">
        <f aca="true" t="shared" si="0" ref="I11:I41">SUM(B11:H11)</f>
        <v>21567094</v>
      </c>
      <c r="J11" s="18"/>
      <c r="L11" s="42">
        <f aca="true" t="shared" si="1" ref="L11:L62">E11/I11</f>
        <v>0.07259781962280129</v>
      </c>
    </row>
    <row r="12" spans="1:12" ht="12.75">
      <c r="A12" s="1" t="s">
        <v>34</v>
      </c>
      <c r="B12" s="18">
        <v>17377921</v>
      </c>
      <c r="C12" s="18">
        <v>1196036</v>
      </c>
      <c r="D12" s="18">
        <v>0</v>
      </c>
      <c r="E12" s="18">
        <v>7033902</v>
      </c>
      <c r="F12" s="18">
        <v>158869</v>
      </c>
      <c r="G12" s="18">
        <v>0</v>
      </c>
      <c r="H12" s="18">
        <v>12296618</v>
      </c>
      <c r="I12" s="18">
        <f t="shared" si="0"/>
        <v>38063346</v>
      </c>
      <c r="J12" s="18"/>
      <c r="L12" s="42">
        <f t="shared" si="1"/>
        <v>0.18479463155971626</v>
      </c>
    </row>
    <row r="13" spans="1:12" ht="12.75">
      <c r="A13" s="1" t="s">
        <v>35</v>
      </c>
      <c r="B13" s="18">
        <v>-962390</v>
      </c>
      <c r="C13" s="18">
        <v>3027581</v>
      </c>
      <c r="D13" s="18">
        <v>1812167</v>
      </c>
      <c r="E13" s="18">
        <v>1285144</v>
      </c>
      <c r="F13" s="18">
        <v>132500</v>
      </c>
      <c r="G13" s="18">
        <v>608005</v>
      </c>
      <c r="H13" s="18">
        <v>1510173</v>
      </c>
      <c r="I13" s="18">
        <f t="shared" si="0"/>
        <v>7413180</v>
      </c>
      <c r="J13" s="18"/>
      <c r="L13" s="42">
        <f t="shared" si="1"/>
        <v>0.17335934106550765</v>
      </c>
    </row>
    <row r="14" spans="1:12" ht="12.75">
      <c r="A14" s="1" t="s">
        <v>94</v>
      </c>
      <c r="B14" s="18">
        <v>634431606</v>
      </c>
      <c r="C14" s="18">
        <v>223353</v>
      </c>
      <c r="D14" s="18">
        <v>47533</v>
      </c>
      <c r="E14" s="30">
        <v>22757620</v>
      </c>
      <c r="F14" s="18">
        <v>6607204</v>
      </c>
      <c r="G14" s="18">
        <v>5172909</v>
      </c>
      <c r="H14" s="18">
        <v>83469422</v>
      </c>
      <c r="I14" s="18">
        <f t="shared" si="0"/>
        <v>752709647</v>
      </c>
      <c r="J14" s="18"/>
      <c r="L14" s="42">
        <f t="shared" si="1"/>
        <v>0.030234261100150348</v>
      </c>
    </row>
    <row r="15" spans="1:12" ht="12.75">
      <c r="A15" s="1" t="s">
        <v>95</v>
      </c>
      <c r="B15" s="18">
        <v>11014917</v>
      </c>
      <c r="C15" s="18">
        <v>884225</v>
      </c>
      <c r="D15" s="18">
        <v>5332197</v>
      </c>
      <c r="E15" s="18">
        <v>1158459</v>
      </c>
      <c r="F15" s="18">
        <v>1572044</v>
      </c>
      <c r="G15" s="18">
        <v>0</v>
      </c>
      <c r="H15" s="18">
        <v>22499275</v>
      </c>
      <c r="I15" s="18">
        <f t="shared" si="0"/>
        <v>42461117</v>
      </c>
      <c r="J15" s="18"/>
      <c r="L15" s="42">
        <f t="shared" si="1"/>
        <v>0.027282819714799306</v>
      </c>
    </row>
    <row r="16" spans="1:12" ht="12.75">
      <c r="A16" s="1" t="s">
        <v>38</v>
      </c>
      <c r="B16" s="18">
        <v>28853534</v>
      </c>
      <c r="C16" s="18">
        <v>0</v>
      </c>
      <c r="D16" s="18">
        <v>44136108</v>
      </c>
      <c r="E16" s="18">
        <v>3129482</v>
      </c>
      <c r="F16" s="18">
        <v>4470992</v>
      </c>
      <c r="G16" s="18">
        <v>0</v>
      </c>
      <c r="H16" s="18">
        <v>1639061</v>
      </c>
      <c r="I16" s="18">
        <f t="shared" si="0"/>
        <v>82229177</v>
      </c>
      <c r="J16" s="18"/>
      <c r="L16" s="42">
        <f t="shared" si="1"/>
        <v>0.03805804842239878</v>
      </c>
    </row>
    <row r="17" spans="1:12" ht="12.75">
      <c r="A17" s="1" t="s">
        <v>39</v>
      </c>
      <c r="B17" s="18">
        <v>1776396</v>
      </c>
      <c r="C17" s="18">
        <v>1613182</v>
      </c>
      <c r="D17" s="18">
        <v>3303143</v>
      </c>
      <c r="E17" s="18">
        <v>882595</v>
      </c>
      <c r="F17" s="18">
        <v>1331872</v>
      </c>
      <c r="G17" s="18">
        <v>0</v>
      </c>
      <c r="H17" s="18">
        <v>0</v>
      </c>
      <c r="I17" s="18">
        <f t="shared" si="0"/>
        <v>8907188</v>
      </c>
      <c r="J17" s="18"/>
      <c r="L17" s="42">
        <f t="shared" si="1"/>
        <v>0.09908795009154404</v>
      </c>
    </row>
    <row r="18" spans="1:12" ht="12.75">
      <c r="A18" s="1" t="s">
        <v>40</v>
      </c>
      <c r="B18" s="18">
        <v>19054755</v>
      </c>
      <c r="C18" s="18">
        <v>0</v>
      </c>
      <c r="D18" s="18">
        <v>8599350</v>
      </c>
      <c r="E18" s="18">
        <v>2052471</v>
      </c>
      <c r="F18" s="18">
        <v>278882</v>
      </c>
      <c r="G18" s="18">
        <v>0</v>
      </c>
      <c r="H18" s="18">
        <v>0</v>
      </c>
      <c r="I18" s="18">
        <f t="shared" si="0"/>
        <v>29985458</v>
      </c>
      <c r="J18" s="18"/>
      <c r="L18" s="42">
        <f t="shared" si="1"/>
        <v>0.06844887945350042</v>
      </c>
    </row>
    <row r="19" spans="1:12" ht="12.75">
      <c r="A19" s="1" t="s">
        <v>96</v>
      </c>
      <c r="B19" s="18">
        <v>149796132</v>
      </c>
      <c r="C19" s="18">
        <v>39746</v>
      </c>
      <c r="D19" s="18">
        <v>14428242</v>
      </c>
      <c r="E19" s="18">
        <v>17213360</v>
      </c>
      <c r="F19" s="18">
        <v>1980003</v>
      </c>
      <c r="G19" s="18">
        <v>398449</v>
      </c>
      <c r="H19" s="18">
        <v>7644449</v>
      </c>
      <c r="I19" s="18">
        <f t="shared" si="0"/>
        <v>191500381</v>
      </c>
      <c r="J19" s="18"/>
      <c r="L19" s="42">
        <f t="shared" si="1"/>
        <v>0.08988681855416256</v>
      </c>
    </row>
    <row r="20" spans="1:12" ht="12.75">
      <c r="A20" s="1" t="s">
        <v>42</v>
      </c>
      <c r="B20" s="18">
        <v>19455665</v>
      </c>
      <c r="C20" s="18">
        <v>1359778</v>
      </c>
      <c r="D20" s="18">
        <v>0</v>
      </c>
      <c r="E20" s="18">
        <v>2210858</v>
      </c>
      <c r="F20" s="18">
        <v>625809</v>
      </c>
      <c r="G20" s="18">
        <v>0</v>
      </c>
      <c r="H20" s="18">
        <v>6511860</v>
      </c>
      <c r="I20" s="18">
        <f t="shared" si="0"/>
        <v>30163970</v>
      </c>
      <c r="J20" s="18"/>
      <c r="L20" s="42">
        <f t="shared" si="1"/>
        <v>0.07329466247314263</v>
      </c>
    </row>
    <row r="21" spans="1:12" ht="12.75">
      <c r="A21" s="1" t="s">
        <v>43</v>
      </c>
      <c r="B21" s="18">
        <v>7471750</v>
      </c>
      <c r="C21" s="18">
        <v>721350</v>
      </c>
      <c r="D21" s="18">
        <v>0</v>
      </c>
      <c r="E21" s="18">
        <v>2199236</v>
      </c>
      <c r="F21" s="18">
        <v>493361</v>
      </c>
      <c r="G21" s="18">
        <v>0</v>
      </c>
      <c r="H21" s="18">
        <v>0</v>
      </c>
      <c r="I21" s="18">
        <f t="shared" si="0"/>
        <v>10885697</v>
      </c>
      <c r="J21" s="18"/>
      <c r="L21" s="42">
        <f t="shared" si="1"/>
        <v>0.20202987461436783</v>
      </c>
    </row>
    <row r="22" spans="1:12" ht="12.75">
      <c r="A22" s="1" t="s">
        <v>97</v>
      </c>
      <c r="B22" s="18">
        <v>2275880</v>
      </c>
      <c r="C22" s="18">
        <v>704184</v>
      </c>
      <c r="D22" s="18">
        <v>685895</v>
      </c>
      <c r="E22" s="18">
        <v>374365</v>
      </c>
      <c r="F22" s="18">
        <v>431429</v>
      </c>
      <c r="G22" s="18">
        <v>133392</v>
      </c>
      <c r="H22" s="18">
        <v>1256232</v>
      </c>
      <c r="I22" s="18">
        <f t="shared" si="0"/>
        <v>5861377</v>
      </c>
      <c r="J22" s="18"/>
      <c r="L22" s="42">
        <f t="shared" si="1"/>
        <v>0.06386980397268423</v>
      </c>
    </row>
    <row r="23" spans="1:12" ht="12.75">
      <c r="A23" s="1" t="s">
        <v>45</v>
      </c>
      <c r="B23" s="18">
        <v>74142902</v>
      </c>
      <c r="C23" s="18">
        <v>10349734</v>
      </c>
      <c r="D23" s="18">
        <v>65963597</v>
      </c>
      <c r="E23" s="18">
        <v>19313903</v>
      </c>
      <c r="F23" s="18">
        <v>472136</v>
      </c>
      <c r="G23" s="18">
        <v>0</v>
      </c>
      <c r="H23" s="18">
        <v>0</v>
      </c>
      <c r="I23" s="18">
        <f t="shared" si="0"/>
        <v>170242272</v>
      </c>
      <c r="J23" s="18"/>
      <c r="L23" s="42">
        <f t="shared" si="1"/>
        <v>0.11344951387866815</v>
      </c>
    </row>
    <row r="24" spans="1:12" ht="12.75">
      <c r="A24" s="1" t="s">
        <v>98</v>
      </c>
      <c r="B24" s="18">
        <v>27354521</v>
      </c>
      <c r="C24" s="18">
        <v>6732275</v>
      </c>
      <c r="D24" s="18">
        <v>7679260</v>
      </c>
      <c r="E24" s="18">
        <v>5472423</v>
      </c>
      <c r="F24" s="18">
        <v>755306</v>
      </c>
      <c r="G24" s="18">
        <v>0</v>
      </c>
      <c r="H24" s="18">
        <v>2412810</v>
      </c>
      <c r="I24" s="18">
        <f t="shared" si="0"/>
        <v>50406595</v>
      </c>
      <c r="J24" s="18"/>
      <c r="L24" s="42">
        <f t="shared" si="1"/>
        <v>0.1085656152731602</v>
      </c>
    </row>
    <row r="25" spans="1:12" ht="12.75">
      <c r="A25" s="1" t="s">
        <v>47</v>
      </c>
      <c r="B25" s="18">
        <v>20659944</v>
      </c>
      <c r="C25" s="18">
        <v>5380230</v>
      </c>
      <c r="D25" s="18">
        <v>529021</v>
      </c>
      <c r="E25" s="18">
        <v>7055500</v>
      </c>
      <c r="F25" s="18">
        <v>1579276</v>
      </c>
      <c r="G25" s="18">
        <v>0</v>
      </c>
      <c r="H25" s="18">
        <v>0</v>
      </c>
      <c r="I25" s="18">
        <f t="shared" si="0"/>
        <v>35203971</v>
      </c>
      <c r="J25" s="18"/>
      <c r="L25" s="42">
        <f t="shared" si="1"/>
        <v>0.20041773128378046</v>
      </c>
    </row>
    <row r="26" spans="1:12" ht="12.75">
      <c r="A26" s="1" t="s">
        <v>48</v>
      </c>
      <c r="B26" s="18">
        <v>23236602</v>
      </c>
      <c r="C26" s="18">
        <v>275</v>
      </c>
      <c r="D26" s="18">
        <v>2942282</v>
      </c>
      <c r="E26" s="18">
        <v>1265735</v>
      </c>
      <c r="F26" s="18">
        <v>0</v>
      </c>
      <c r="G26" s="18">
        <v>0</v>
      </c>
      <c r="H26" s="18">
        <v>15782662</v>
      </c>
      <c r="I26" s="18">
        <f t="shared" si="0"/>
        <v>43227556</v>
      </c>
      <c r="J26" s="18"/>
      <c r="L26" s="42">
        <f t="shared" si="1"/>
        <v>0.02928074397729078</v>
      </c>
    </row>
    <row r="27" spans="1:12" ht="12.75">
      <c r="A27" s="1" t="s">
        <v>49</v>
      </c>
      <c r="B27" s="18">
        <v>22523301</v>
      </c>
      <c r="C27" s="18">
        <v>3129706</v>
      </c>
      <c r="D27" s="18">
        <v>3090616</v>
      </c>
      <c r="E27" s="18">
        <v>4009970</v>
      </c>
      <c r="F27" s="18">
        <v>91134</v>
      </c>
      <c r="G27" s="18">
        <v>0</v>
      </c>
      <c r="H27" s="18">
        <v>1707068</v>
      </c>
      <c r="I27" s="18">
        <f t="shared" si="0"/>
        <v>34551795</v>
      </c>
      <c r="J27" s="18"/>
      <c r="L27" s="42">
        <f t="shared" si="1"/>
        <v>0.11605677794742647</v>
      </c>
    </row>
    <row r="28" spans="1:12" ht="12.75">
      <c r="A28" s="1" t="s">
        <v>50</v>
      </c>
      <c r="B28" s="18">
        <v>28015973</v>
      </c>
      <c r="C28" s="18">
        <v>-73</v>
      </c>
      <c r="D28" s="18">
        <v>2283537</v>
      </c>
      <c r="E28" s="18">
        <v>534272</v>
      </c>
      <c r="F28" s="18">
        <v>0</v>
      </c>
      <c r="G28" s="18">
        <v>0</v>
      </c>
      <c r="H28" s="18">
        <v>0</v>
      </c>
      <c r="I28" s="18">
        <f t="shared" si="0"/>
        <v>30833709</v>
      </c>
      <c r="J28" s="18"/>
      <c r="L28" s="42">
        <f t="shared" si="1"/>
        <v>0.017327529425668512</v>
      </c>
    </row>
    <row r="29" spans="1:12" ht="12.75">
      <c r="A29" s="1" t="s">
        <v>51</v>
      </c>
      <c r="B29" s="18">
        <v>12618678</v>
      </c>
      <c r="C29" s="18">
        <v>0</v>
      </c>
      <c r="D29" s="18">
        <v>2935545</v>
      </c>
      <c r="E29" s="18">
        <v>1071708</v>
      </c>
      <c r="F29" s="18">
        <v>0</v>
      </c>
      <c r="G29" s="18">
        <v>0</v>
      </c>
      <c r="H29" s="18">
        <v>0</v>
      </c>
      <c r="I29" s="18">
        <f t="shared" si="0"/>
        <v>16625931</v>
      </c>
      <c r="J29" s="18"/>
      <c r="L29" s="42">
        <f t="shared" si="1"/>
        <v>0.06446002933610154</v>
      </c>
    </row>
    <row r="30" spans="1:12" ht="12.75">
      <c r="A30" s="1" t="s">
        <v>52</v>
      </c>
      <c r="B30" s="18">
        <v>41590022</v>
      </c>
      <c r="C30" s="18">
        <v>6416262</v>
      </c>
      <c r="D30" s="18">
        <v>5833432</v>
      </c>
      <c r="E30" s="18">
        <v>9058338</v>
      </c>
      <c r="F30" s="18">
        <v>1901751</v>
      </c>
      <c r="G30" s="18">
        <v>0</v>
      </c>
      <c r="H30" s="18">
        <v>743975</v>
      </c>
      <c r="I30" s="18">
        <f t="shared" si="0"/>
        <v>65543780</v>
      </c>
      <c r="J30" s="18"/>
      <c r="L30" s="42">
        <f t="shared" si="1"/>
        <v>0.13820286227007353</v>
      </c>
    </row>
    <row r="31" spans="1:12" ht="12.75">
      <c r="A31" s="1" t="s">
        <v>53</v>
      </c>
      <c r="B31" s="18">
        <v>82834877</v>
      </c>
      <c r="C31" s="18">
        <v>13720987</v>
      </c>
      <c r="D31" s="18">
        <v>25399501</v>
      </c>
      <c r="E31" s="18">
        <v>19914542</v>
      </c>
      <c r="F31" s="18">
        <v>0</v>
      </c>
      <c r="G31" s="18">
        <v>0</v>
      </c>
      <c r="H31" s="18">
        <v>23731913</v>
      </c>
      <c r="I31" s="18">
        <f t="shared" si="0"/>
        <v>165601820</v>
      </c>
      <c r="J31" s="18"/>
      <c r="L31" s="42">
        <f t="shared" si="1"/>
        <v>0.12025557448583596</v>
      </c>
    </row>
    <row r="32" spans="1:12" ht="12.75">
      <c r="A32" s="1" t="s">
        <v>54</v>
      </c>
      <c r="B32" s="18">
        <v>131845317</v>
      </c>
      <c r="C32" s="18">
        <v>5255485</v>
      </c>
      <c r="D32" s="18">
        <v>15301996</v>
      </c>
      <c r="E32" s="18">
        <v>9511776</v>
      </c>
      <c r="F32" s="18">
        <v>0</v>
      </c>
      <c r="G32" s="18">
        <v>0</v>
      </c>
      <c r="H32" s="18">
        <v>1400384</v>
      </c>
      <c r="I32" s="18">
        <f t="shared" si="0"/>
        <v>163314958</v>
      </c>
      <c r="J32" s="18"/>
      <c r="L32" s="42">
        <f t="shared" si="1"/>
        <v>0.05824191559967214</v>
      </c>
    </row>
    <row r="33" spans="1:12" ht="12.75">
      <c r="A33" s="1" t="s">
        <v>55</v>
      </c>
      <c r="B33" s="18">
        <v>56142895</v>
      </c>
      <c r="C33" s="18">
        <v>2300919</v>
      </c>
      <c r="D33" s="18">
        <v>24658258</v>
      </c>
      <c r="E33" s="18">
        <v>10714745</v>
      </c>
      <c r="F33" s="18">
        <v>1963265</v>
      </c>
      <c r="G33" s="18">
        <v>0</v>
      </c>
      <c r="H33" s="18">
        <v>0</v>
      </c>
      <c r="I33" s="18">
        <f t="shared" si="0"/>
        <v>95780082</v>
      </c>
      <c r="J33" s="18"/>
      <c r="L33" s="42">
        <f t="shared" si="1"/>
        <v>0.11186819614541571</v>
      </c>
    </row>
    <row r="34" spans="1:12" ht="12.75">
      <c r="A34" s="1" t="s">
        <v>56</v>
      </c>
      <c r="B34" s="18">
        <v>3272721</v>
      </c>
      <c r="C34" s="18">
        <v>71407</v>
      </c>
      <c r="D34" s="18">
        <v>1332003</v>
      </c>
      <c r="E34" s="18">
        <v>864740</v>
      </c>
      <c r="F34" s="18">
        <v>0</v>
      </c>
      <c r="G34" s="18">
        <v>42678</v>
      </c>
      <c r="H34" s="18">
        <v>64414</v>
      </c>
      <c r="I34" s="18">
        <f t="shared" si="0"/>
        <v>5647963</v>
      </c>
      <c r="J34" s="18"/>
      <c r="L34" s="42">
        <f t="shared" si="1"/>
        <v>0.1531065270788778</v>
      </c>
    </row>
    <row r="35" spans="1:12" ht="12.75">
      <c r="A35" s="1" t="s">
        <v>57</v>
      </c>
      <c r="B35" s="18">
        <v>25596090</v>
      </c>
      <c r="C35" s="18">
        <v>2000000</v>
      </c>
      <c r="D35" s="18">
        <v>15637628</v>
      </c>
      <c r="E35" s="18">
        <v>3830695</v>
      </c>
      <c r="F35" s="18">
        <v>1000000</v>
      </c>
      <c r="G35" s="18">
        <v>0</v>
      </c>
      <c r="H35" s="18">
        <v>16000000</v>
      </c>
      <c r="I35" s="18">
        <f t="shared" si="0"/>
        <v>64064413</v>
      </c>
      <c r="J35" s="18"/>
      <c r="L35" s="42">
        <f t="shared" si="1"/>
        <v>0.059794429084989824</v>
      </c>
    </row>
    <row r="36" spans="1:12" ht="12.75">
      <c r="A36" s="1" t="s">
        <v>58</v>
      </c>
      <c r="B36" s="18">
        <v>4270585</v>
      </c>
      <c r="C36" s="18">
        <v>143700</v>
      </c>
      <c r="D36" s="18">
        <v>1313990</v>
      </c>
      <c r="E36" s="18">
        <v>1025177</v>
      </c>
      <c r="F36" s="18">
        <v>276035</v>
      </c>
      <c r="G36" s="18">
        <v>0</v>
      </c>
      <c r="H36" s="18">
        <v>526095</v>
      </c>
      <c r="I36" s="18">
        <f t="shared" si="0"/>
        <v>7555582</v>
      </c>
      <c r="J36" s="18"/>
      <c r="L36" s="42">
        <f t="shared" si="1"/>
        <v>0.13568471627996362</v>
      </c>
    </row>
    <row r="37" spans="1:12" ht="12.75">
      <c r="A37" s="1" t="s">
        <v>59</v>
      </c>
      <c r="B37" s="18">
        <v>3931365</v>
      </c>
      <c r="C37" s="18">
        <v>606742</v>
      </c>
      <c r="D37" s="18">
        <v>3579682</v>
      </c>
      <c r="E37" s="18">
        <v>5336510</v>
      </c>
      <c r="F37" s="18">
        <v>1753430</v>
      </c>
      <c r="G37" s="18">
        <v>0</v>
      </c>
      <c r="H37" s="18">
        <v>0</v>
      </c>
      <c r="I37" s="18">
        <f t="shared" si="0"/>
        <v>15207729</v>
      </c>
      <c r="J37" s="18"/>
      <c r="L37" s="42">
        <f t="shared" si="1"/>
        <v>0.35090775223572174</v>
      </c>
    </row>
    <row r="38" spans="1:12" ht="12.75">
      <c r="A38" s="1" t="s">
        <v>60</v>
      </c>
      <c r="B38" s="18">
        <v>3104006</v>
      </c>
      <c r="C38" s="18">
        <v>300696</v>
      </c>
      <c r="D38" s="18">
        <v>1440720</v>
      </c>
      <c r="E38" s="18">
        <v>173621</v>
      </c>
      <c r="F38" s="18">
        <v>1003551</v>
      </c>
      <c r="G38" s="18">
        <v>525089</v>
      </c>
      <c r="H38" s="18">
        <v>5757362</v>
      </c>
      <c r="I38" s="18">
        <f t="shared" si="0"/>
        <v>12305045</v>
      </c>
      <c r="J38" s="18"/>
      <c r="L38" s="42">
        <f t="shared" si="1"/>
        <v>0.014109741167139169</v>
      </c>
    </row>
    <row r="39" spans="1:12" ht="12.75">
      <c r="A39" s="1" t="s">
        <v>61</v>
      </c>
      <c r="B39" s="18">
        <v>9529232</v>
      </c>
      <c r="C39" s="18">
        <v>655922</v>
      </c>
      <c r="D39" s="18">
        <v>2173034</v>
      </c>
      <c r="E39" s="18">
        <v>713649</v>
      </c>
      <c r="F39" s="18">
        <v>1441756</v>
      </c>
      <c r="G39" s="18">
        <v>0</v>
      </c>
      <c r="H39" s="18">
        <v>1543957</v>
      </c>
      <c r="I39" s="18">
        <f t="shared" si="0"/>
        <v>16057550</v>
      </c>
      <c r="J39" s="18"/>
      <c r="L39" s="42">
        <f t="shared" si="1"/>
        <v>0.044443205843979934</v>
      </c>
    </row>
    <row r="40" spans="1:12" ht="12.75">
      <c r="A40" s="1" t="s">
        <v>62</v>
      </c>
      <c r="B40" s="18">
        <v>98854244</v>
      </c>
      <c r="C40" s="18">
        <v>9488490</v>
      </c>
      <c r="D40" s="18">
        <v>22065495</v>
      </c>
      <c r="E40" s="18">
        <v>16717206</v>
      </c>
      <c r="F40" s="18">
        <v>2317907</v>
      </c>
      <c r="G40" s="18">
        <v>0</v>
      </c>
      <c r="H40" s="18">
        <v>0</v>
      </c>
      <c r="I40" s="18">
        <f t="shared" si="0"/>
        <v>149443342</v>
      </c>
      <c r="J40" s="18"/>
      <c r="L40" s="42">
        <f t="shared" si="1"/>
        <v>0.1118631701906131</v>
      </c>
    </row>
    <row r="41" spans="1:12" ht="12.75">
      <c r="A41" s="1" t="s">
        <v>63</v>
      </c>
      <c r="B41" s="18">
        <v>10776045</v>
      </c>
      <c r="C41" s="18">
        <v>0</v>
      </c>
      <c r="D41" s="18">
        <v>2800000</v>
      </c>
      <c r="E41" s="18">
        <v>2132722</v>
      </c>
      <c r="F41" s="18">
        <v>568770</v>
      </c>
      <c r="G41" s="18">
        <v>0</v>
      </c>
      <c r="H41" s="18">
        <v>2057047</v>
      </c>
      <c r="I41" s="18">
        <f t="shared" si="0"/>
        <v>18334584</v>
      </c>
      <c r="J41" s="18"/>
      <c r="L41" s="42">
        <f t="shared" si="1"/>
        <v>0.11632235560948642</v>
      </c>
    </row>
    <row r="42" spans="1:12" ht="12.75">
      <c r="A42" s="1" t="s">
        <v>64</v>
      </c>
      <c r="B42" s="18">
        <v>500136035</v>
      </c>
      <c r="C42" s="18">
        <v>34554299</v>
      </c>
      <c r="D42" s="18">
        <v>38707597</v>
      </c>
      <c r="E42" s="18">
        <v>116277068</v>
      </c>
      <c r="F42" s="18">
        <v>0</v>
      </c>
      <c r="G42" s="18">
        <v>0</v>
      </c>
      <c r="H42" s="18">
        <v>93597561</v>
      </c>
      <c r="I42" s="18">
        <f aca="true" t="shared" si="2" ref="I42:I60">SUM(B42:H42)</f>
        <v>783272560</v>
      </c>
      <c r="J42" s="18"/>
      <c r="L42" s="42">
        <f t="shared" si="1"/>
        <v>0.14845032743136055</v>
      </c>
    </row>
    <row r="43" spans="1:12" ht="12.75">
      <c r="A43" s="1" t="s">
        <v>65</v>
      </c>
      <c r="B43" s="18">
        <v>1559053</v>
      </c>
      <c r="C43" s="18">
        <v>1190239</v>
      </c>
      <c r="D43" s="18">
        <v>17779704</v>
      </c>
      <c r="E43" s="18">
        <v>8660386</v>
      </c>
      <c r="F43" s="18">
        <v>1296587</v>
      </c>
      <c r="G43" s="18">
        <v>35874</v>
      </c>
      <c r="H43" s="18">
        <v>43490857</v>
      </c>
      <c r="I43" s="18">
        <f t="shared" si="2"/>
        <v>74012700</v>
      </c>
      <c r="J43" s="18"/>
      <c r="L43" s="42">
        <f t="shared" si="1"/>
        <v>0.1170121614263498</v>
      </c>
    </row>
    <row r="44" spans="1:12" ht="12.75">
      <c r="A44" s="1" t="s">
        <v>99</v>
      </c>
      <c r="B44" s="18">
        <v>4288931</v>
      </c>
      <c r="C44" s="18">
        <v>0</v>
      </c>
      <c r="D44" s="18">
        <v>1017036</v>
      </c>
      <c r="E44" s="18">
        <v>11416</v>
      </c>
      <c r="F44" s="18">
        <v>103905</v>
      </c>
      <c r="G44" s="18">
        <v>0</v>
      </c>
      <c r="H44" s="18">
        <v>597297</v>
      </c>
      <c r="I44" s="18">
        <f t="shared" si="2"/>
        <v>6018585</v>
      </c>
      <c r="J44" s="18"/>
      <c r="L44" s="42">
        <f t="shared" si="1"/>
        <v>0.0018967913554431815</v>
      </c>
    </row>
    <row r="45" spans="1:12" ht="12.75">
      <c r="A45" s="1" t="s">
        <v>67</v>
      </c>
      <c r="B45" s="18">
        <v>185357494</v>
      </c>
      <c r="C45" s="18">
        <v>264537</v>
      </c>
      <c r="D45" s="18">
        <v>0</v>
      </c>
      <c r="E45" s="18">
        <v>7107047</v>
      </c>
      <c r="F45" s="18">
        <v>2049046</v>
      </c>
      <c r="G45" s="18">
        <v>0</v>
      </c>
      <c r="H45" s="18">
        <v>17542434</v>
      </c>
      <c r="I45" s="18">
        <f t="shared" si="2"/>
        <v>212320558</v>
      </c>
      <c r="J45" s="18"/>
      <c r="L45" s="42">
        <f t="shared" si="1"/>
        <v>0.03347319292557624</v>
      </c>
    </row>
    <row r="46" spans="1:12" ht="12.75">
      <c r="A46" s="1" t="s">
        <v>68</v>
      </c>
      <c r="B46" s="18">
        <v>12188732</v>
      </c>
      <c r="C46" s="18">
        <v>7385345</v>
      </c>
      <c r="D46" s="18">
        <v>8335751</v>
      </c>
      <c r="E46" s="18">
        <v>1617629</v>
      </c>
      <c r="F46" s="18">
        <v>161062</v>
      </c>
      <c r="G46" s="18">
        <v>0</v>
      </c>
      <c r="H46" s="18">
        <v>2962682</v>
      </c>
      <c r="I46" s="18">
        <f t="shared" si="2"/>
        <v>32651201</v>
      </c>
      <c r="J46" s="18"/>
      <c r="L46" s="42">
        <f t="shared" si="1"/>
        <v>0.0495427105422554</v>
      </c>
    </row>
    <row r="47" spans="1:12" ht="12.75">
      <c r="A47" s="1" t="s">
        <v>100</v>
      </c>
      <c r="B47" s="18">
        <v>26508730</v>
      </c>
      <c r="C47" s="18">
        <v>8315957</v>
      </c>
      <c r="D47" s="18">
        <v>1327102</v>
      </c>
      <c r="E47" s="18">
        <v>4066257</v>
      </c>
      <c r="F47" s="18">
        <v>874215</v>
      </c>
      <c r="G47" s="18">
        <v>0</v>
      </c>
      <c r="H47" s="18">
        <v>32653</v>
      </c>
      <c r="I47" s="18">
        <f t="shared" si="2"/>
        <v>41124914</v>
      </c>
      <c r="J47" s="18"/>
      <c r="L47" s="42">
        <f t="shared" si="1"/>
        <v>0.09887575691951599</v>
      </c>
    </row>
    <row r="48" spans="1:12" ht="12.75">
      <c r="A48" s="1" t="s">
        <v>70</v>
      </c>
      <c r="B48" s="18">
        <v>72534541</v>
      </c>
      <c r="C48" s="18">
        <v>12168270</v>
      </c>
      <c r="D48" s="18">
        <v>35849691</v>
      </c>
      <c r="E48" s="18">
        <v>6299494</v>
      </c>
      <c r="F48" s="18">
        <v>1547774</v>
      </c>
      <c r="G48" s="18">
        <v>0</v>
      </c>
      <c r="H48" s="18">
        <v>60618453</v>
      </c>
      <c r="I48" s="18">
        <f t="shared" si="2"/>
        <v>189018223</v>
      </c>
      <c r="J48" s="18"/>
      <c r="L48" s="42">
        <f t="shared" si="1"/>
        <v>0.03332744271963661</v>
      </c>
    </row>
    <row r="49" spans="1:12" ht="12.75">
      <c r="A49" s="1" t="s">
        <v>71</v>
      </c>
      <c r="B49" s="18">
        <v>22722919</v>
      </c>
      <c r="C49" s="18">
        <v>1255629</v>
      </c>
      <c r="D49" s="18">
        <v>6777276</v>
      </c>
      <c r="E49" s="18">
        <v>5148684</v>
      </c>
      <c r="F49" s="18">
        <v>585798</v>
      </c>
      <c r="G49" s="18">
        <v>0</v>
      </c>
      <c r="H49" s="18">
        <v>1413611</v>
      </c>
      <c r="I49" s="18">
        <f t="shared" si="2"/>
        <v>37903917</v>
      </c>
      <c r="J49" s="18"/>
      <c r="L49" s="42">
        <f t="shared" si="1"/>
        <v>0.13583514337053873</v>
      </c>
    </row>
    <row r="50" spans="1:12" ht="12.75">
      <c r="A50" s="1" t="s">
        <v>72</v>
      </c>
      <c r="B50" s="18">
        <v>7185983</v>
      </c>
      <c r="C50" s="18">
        <v>3610337</v>
      </c>
      <c r="D50" s="18">
        <v>1119938</v>
      </c>
      <c r="E50" s="18">
        <v>2540558</v>
      </c>
      <c r="F50" s="18">
        <v>967554</v>
      </c>
      <c r="G50" s="18">
        <v>119193</v>
      </c>
      <c r="H50" s="18">
        <v>3597776</v>
      </c>
      <c r="I50" s="18">
        <f t="shared" si="2"/>
        <v>19141339</v>
      </c>
      <c r="J50" s="18"/>
      <c r="L50" s="42">
        <f t="shared" si="1"/>
        <v>0.13272624240132835</v>
      </c>
    </row>
    <row r="51" spans="1:12" ht="12.75">
      <c r="A51" s="1" t="s">
        <v>73</v>
      </c>
      <c r="B51" s="18">
        <v>3098067</v>
      </c>
      <c r="C51" s="18">
        <v>685786</v>
      </c>
      <c r="D51" s="18">
        <v>275699</v>
      </c>
      <c r="E51" s="18">
        <v>695859</v>
      </c>
      <c r="F51" s="18">
        <v>59617</v>
      </c>
      <c r="G51" s="18">
        <v>0</v>
      </c>
      <c r="H51" s="18">
        <v>0</v>
      </c>
      <c r="I51" s="18">
        <f t="shared" si="2"/>
        <v>4815028</v>
      </c>
      <c r="J51" s="18"/>
      <c r="L51" s="42">
        <f t="shared" si="1"/>
        <v>0.14451816271888762</v>
      </c>
    </row>
    <row r="52" spans="1:12" ht="12.75">
      <c r="A52" s="1" t="s">
        <v>101</v>
      </c>
      <c r="B52" s="18">
        <v>15072248</v>
      </c>
      <c r="C52" s="18">
        <v>2735314</v>
      </c>
      <c r="D52" s="18">
        <v>0</v>
      </c>
      <c r="E52" s="18">
        <v>3133453</v>
      </c>
      <c r="F52" s="18">
        <v>2009114</v>
      </c>
      <c r="G52" s="18">
        <v>0</v>
      </c>
      <c r="H52" s="18">
        <v>3220366</v>
      </c>
      <c r="I52" s="18">
        <f t="shared" si="2"/>
        <v>26170495</v>
      </c>
      <c r="J52" s="18"/>
      <c r="L52" s="42">
        <f t="shared" si="1"/>
        <v>0.11973227865961267</v>
      </c>
    </row>
    <row r="53" spans="1:12" ht="12.75">
      <c r="A53" s="1" t="s">
        <v>75</v>
      </c>
      <c r="B53" s="18">
        <v>63387772</v>
      </c>
      <c r="C53" s="18">
        <v>651040</v>
      </c>
      <c r="D53" s="18">
        <v>21003397</v>
      </c>
      <c r="E53" s="18">
        <v>6061628</v>
      </c>
      <c r="F53" s="18">
        <v>1939230</v>
      </c>
      <c r="G53" s="18">
        <v>0</v>
      </c>
      <c r="H53" s="18">
        <v>32677335</v>
      </c>
      <c r="I53" s="18">
        <f t="shared" si="2"/>
        <v>125720402</v>
      </c>
      <c r="J53" s="18"/>
      <c r="L53" s="42">
        <f t="shared" si="1"/>
        <v>0.048215149677933736</v>
      </c>
    </row>
    <row r="54" spans="1:12" ht="12.75">
      <c r="A54" s="1" t="s">
        <v>76</v>
      </c>
      <c r="B54" s="18">
        <v>5986130</v>
      </c>
      <c r="C54" s="18">
        <v>3310249</v>
      </c>
      <c r="D54" s="18">
        <v>2237462</v>
      </c>
      <c r="E54" s="18">
        <v>1008000</v>
      </c>
      <c r="F54" s="18">
        <v>97102</v>
      </c>
      <c r="G54" s="18">
        <v>6331</v>
      </c>
      <c r="H54" s="18">
        <v>0</v>
      </c>
      <c r="I54" s="18">
        <f t="shared" si="2"/>
        <v>12645274</v>
      </c>
      <c r="J54" s="18"/>
      <c r="L54" s="42">
        <f t="shared" si="1"/>
        <v>0.0797135752060414</v>
      </c>
    </row>
    <row r="55" spans="1:12" ht="12.75">
      <c r="A55" s="1" t="s">
        <v>77</v>
      </c>
      <c r="B55" s="18">
        <v>10726593</v>
      </c>
      <c r="C55" s="18">
        <v>63513</v>
      </c>
      <c r="D55" s="18">
        <v>1541491</v>
      </c>
      <c r="E55" s="18">
        <v>1236049</v>
      </c>
      <c r="F55" s="18">
        <v>114170</v>
      </c>
      <c r="G55" s="18">
        <v>0</v>
      </c>
      <c r="H55" s="18">
        <v>0</v>
      </c>
      <c r="I55" s="18">
        <f t="shared" si="2"/>
        <v>13681816</v>
      </c>
      <c r="J55" s="18"/>
      <c r="L55" s="42">
        <f t="shared" si="1"/>
        <v>0.09034246623401455</v>
      </c>
    </row>
    <row r="56" spans="1:12" ht="12.75">
      <c r="A56" s="1" t="s">
        <v>78</v>
      </c>
      <c r="B56" s="18">
        <v>21232646</v>
      </c>
      <c r="C56" s="18">
        <v>13265366</v>
      </c>
      <c r="D56" s="18">
        <v>13248149</v>
      </c>
      <c r="E56" s="18">
        <v>3007045</v>
      </c>
      <c r="F56" s="18">
        <v>1807554</v>
      </c>
      <c r="G56" s="18">
        <v>66679</v>
      </c>
      <c r="H56" s="18">
        <v>243</v>
      </c>
      <c r="I56" s="18">
        <f t="shared" si="2"/>
        <v>52627682</v>
      </c>
      <c r="J56" s="18"/>
      <c r="L56" s="42">
        <f t="shared" si="1"/>
        <v>0.05713808561813534</v>
      </c>
    </row>
    <row r="57" spans="1:12" ht="12.75">
      <c r="A57" s="1" t="s">
        <v>102</v>
      </c>
      <c r="B57" s="18">
        <v>74931195</v>
      </c>
      <c r="C57" s="18">
        <v>36822</v>
      </c>
      <c r="D57" s="18">
        <v>36602607</v>
      </c>
      <c r="E57" s="18">
        <v>8271792</v>
      </c>
      <c r="F57" s="18">
        <v>1471661</v>
      </c>
      <c r="G57" s="18">
        <v>0</v>
      </c>
      <c r="H57" s="30">
        <v>10928488</v>
      </c>
      <c r="I57" s="18">
        <f t="shared" si="2"/>
        <v>132242565</v>
      </c>
      <c r="J57" s="18"/>
      <c r="L57" s="42">
        <f t="shared" si="1"/>
        <v>0.06255014790434532</v>
      </c>
    </row>
    <row r="58" spans="1:12" ht="12.75">
      <c r="A58" s="1" t="s">
        <v>80</v>
      </c>
      <c r="B58" s="18">
        <v>12816924</v>
      </c>
      <c r="C58" s="18">
        <v>1159083</v>
      </c>
      <c r="D58" s="18">
        <v>2020920</v>
      </c>
      <c r="E58" s="18">
        <v>3024904</v>
      </c>
      <c r="F58" s="18">
        <v>3015213</v>
      </c>
      <c r="G58" s="18">
        <v>0</v>
      </c>
      <c r="H58" s="18">
        <v>149904</v>
      </c>
      <c r="I58" s="18">
        <f t="shared" si="2"/>
        <v>22186948</v>
      </c>
      <c r="J58" s="18"/>
      <c r="L58" s="42">
        <f t="shared" si="1"/>
        <v>0.1363370933217133</v>
      </c>
    </row>
    <row r="59" spans="1:12" ht="12.75">
      <c r="A59" s="1" t="s">
        <v>103</v>
      </c>
      <c r="B59" s="18">
        <v>18327130</v>
      </c>
      <c r="C59" s="18">
        <v>36251180</v>
      </c>
      <c r="D59" s="18">
        <v>12337055</v>
      </c>
      <c r="E59" s="18">
        <v>2075741</v>
      </c>
      <c r="F59" s="18">
        <v>0</v>
      </c>
      <c r="G59" s="18">
        <v>0</v>
      </c>
      <c r="H59" s="18">
        <v>44589</v>
      </c>
      <c r="I59" s="18">
        <f t="shared" si="2"/>
        <v>69035695</v>
      </c>
      <c r="J59" s="18"/>
      <c r="L59" s="42">
        <f t="shared" si="1"/>
        <v>0.030067648337573773</v>
      </c>
    </row>
    <row r="60" spans="1:12" ht="13.5" thickBot="1">
      <c r="A60" s="31" t="s">
        <v>104</v>
      </c>
      <c r="B60" s="18">
        <v>3997001</v>
      </c>
      <c r="C60" s="18">
        <v>797309</v>
      </c>
      <c r="D60" s="18">
        <v>0</v>
      </c>
      <c r="E60" s="18">
        <v>196452</v>
      </c>
      <c r="F60" s="18">
        <v>182932</v>
      </c>
      <c r="G60" s="18">
        <v>0</v>
      </c>
      <c r="H60" s="18">
        <v>0</v>
      </c>
      <c r="I60" s="18">
        <f t="shared" si="2"/>
        <v>5173694</v>
      </c>
      <c r="J60" s="18"/>
      <c r="L60" s="42">
        <f t="shared" si="1"/>
        <v>0.03797132184470129</v>
      </c>
    </row>
    <row r="61" spans="1:12" ht="12.75">
      <c r="A61" s="1"/>
      <c r="C61" s="18"/>
      <c r="D61" s="18"/>
      <c r="E61" s="18"/>
      <c r="F61" s="18"/>
      <c r="G61" s="18"/>
      <c r="H61" s="18"/>
      <c r="I61" s="18"/>
      <c r="J61" s="18"/>
      <c r="L61" s="42"/>
    </row>
    <row r="62" spans="1:12" ht="13.5" thickBot="1">
      <c r="A62" s="32" t="s">
        <v>105</v>
      </c>
      <c r="B62" s="18">
        <f>SUM(B10:B60)</f>
        <v>2656184036</v>
      </c>
      <c r="C62" s="18">
        <f aca="true" t="shared" si="3" ref="C62:I62">SUM(C10:C60)</f>
        <v>208225732</v>
      </c>
      <c r="D62" s="18">
        <f t="shared" si="3"/>
        <v>488581549</v>
      </c>
      <c r="E62" s="18">
        <f t="shared" si="3"/>
        <v>362700155</v>
      </c>
      <c r="F62" s="18">
        <f t="shared" si="3"/>
        <v>52111635</v>
      </c>
      <c r="G62" s="18">
        <f t="shared" si="3"/>
        <v>7108599</v>
      </c>
      <c r="H62" s="18">
        <f t="shared" si="3"/>
        <v>482818020</v>
      </c>
      <c r="I62" s="18">
        <f t="shared" si="3"/>
        <v>4257729726</v>
      </c>
      <c r="J62" s="18"/>
      <c r="L62" s="42">
        <f t="shared" si="1"/>
        <v>0.0851862796234239</v>
      </c>
    </row>
    <row r="63" spans="2:10" ht="13.5" thickTop="1">
      <c r="B63" s="18"/>
      <c r="C63" s="18"/>
      <c r="D63" s="18"/>
      <c r="E63" s="18"/>
      <c r="F63" s="18"/>
      <c r="G63" s="18"/>
      <c r="H63" s="18"/>
      <c r="I63" s="18"/>
      <c r="J63" s="18"/>
    </row>
    <row r="64" spans="1:10" ht="12.75">
      <c r="A64" s="1" t="s">
        <v>106</v>
      </c>
      <c r="B64" s="36">
        <f>B62/I62</f>
        <v>0.6238498464991575</v>
      </c>
      <c r="C64" s="36">
        <f>C62/I62</f>
        <v>0.048905342847025045</v>
      </c>
      <c r="D64" s="36">
        <f>D62/I62</f>
        <v>0.11475165885153697</v>
      </c>
      <c r="E64" s="36">
        <f>E62/I62</f>
        <v>0.0851862796234239</v>
      </c>
      <c r="F64" s="36">
        <f>F62/I62</f>
        <v>0.012239300837199266</v>
      </c>
      <c r="G64" s="36">
        <f>G62/I62</f>
        <v>0.0016695749748019586</v>
      </c>
      <c r="H64" s="36">
        <f>H62/I62</f>
        <v>0.11339799636685534</v>
      </c>
      <c r="I64" s="82">
        <f>SUM(B64:H64)</f>
        <v>0.9999999999999999</v>
      </c>
      <c r="J64" s="18"/>
    </row>
    <row r="65" spans="2:10" ht="12.75">
      <c r="B65" s="18"/>
      <c r="C65" s="18"/>
      <c r="D65" s="18"/>
      <c r="E65" s="18"/>
      <c r="F65" s="18"/>
      <c r="G65" s="18"/>
      <c r="H65" s="18"/>
      <c r="I65" s="18"/>
      <c r="J65" s="18"/>
    </row>
    <row r="66" spans="1:10" ht="12.75">
      <c r="A66" t="s">
        <v>85</v>
      </c>
      <c r="B66" s="18"/>
      <c r="C66" s="18"/>
      <c r="D66" s="18"/>
      <c r="E66" s="18"/>
      <c r="F66" s="18"/>
      <c r="G66" s="18"/>
      <c r="H66" s="18"/>
      <c r="I66" s="18"/>
      <c r="J66" s="18"/>
    </row>
    <row r="67" spans="2:10" ht="12.75">
      <c r="B67" s="18"/>
      <c r="C67" s="18"/>
      <c r="D67" s="18"/>
      <c r="E67" s="18"/>
      <c r="F67" s="18"/>
      <c r="G67" s="18"/>
      <c r="H67" s="18"/>
      <c r="I67" s="18"/>
      <c r="J67" s="18"/>
    </row>
    <row r="68" spans="1:10" ht="12.75">
      <c r="A68" t="s">
        <v>244</v>
      </c>
      <c r="B68" s="18"/>
      <c r="C68" s="18"/>
      <c r="D68" s="18"/>
      <c r="E68" s="18"/>
      <c r="F68" s="18"/>
      <c r="G68" s="18"/>
      <c r="H68" s="18"/>
      <c r="I68" s="18"/>
      <c r="J68" s="18"/>
    </row>
    <row r="69" spans="1:10" ht="12.75">
      <c r="A69" t="s">
        <v>245</v>
      </c>
      <c r="B69" s="18"/>
      <c r="C69" t="s">
        <v>107</v>
      </c>
      <c r="D69" s="18"/>
      <c r="E69" s="18"/>
      <c r="F69" s="18"/>
      <c r="G69" s="18"/>
      <c r="H69" s="18"/>
      <c r="I69" s="18"/>
      <c r="J69" s="18"/>
    </row>
    <row r="70" spans="2:10" ht="12.75">
      <c r="B70" s="18"/>
      <c r="C70" s="18"/>
      <c r="D70" s="18"/>
      <c r="E70" s="18"/>
      <c r="F70" s="18"/>
      <c r="G70" s="18"/>
      <c r="H70" s="18"/>
      <c r="I70" s="18"/>
      <c r="J70" s="18"/>
    </row>
    <row r="71" spans="1:15" ht="12.75">
      <c r="A71" s="1" t="s">
        <v>108</v>
      </c>
      <c r="B71" s="18"/>
      <c r="C71" s="18"/>
      <c r="D71" s="18"/>
      <c r="E71" s="18"/>
      <c r="F71" s="18"/>
      <c r="G71" s="18"/>
      <c r="H71" s="18"/>
      <c r="I71" s="18"/>
      <c r="J71" s="18"/>
      <c r="K71" s="18"/>
      <c r="L71" s="18"/>
      <c r="M71" s="18"/>
      <c r="N71" s="18"/>
      <c r="O71" s="18"/>
    </row>
    <row r="72" spans="1:15" ht="12.75">
      <c r="A72" t="s">
        <v>109</v>
      </c>
      <c r="B72" s="18"/>
      <c r="C72" s="18"/>
      <c r="D72" s="18"/>
      <c r="E72" s="18"/>
      <c r="F72" s="18"/>
      <c r="G72" s="18"/>
      <c r="H72" s="18"/>
      <c r="I72" s="18"/>
      <c r="J72" s="18"/>
      <c r="K72" s="18"/>
      <c r="L72" s="18"/>
      <c r="M72" s="18"/>
      <c r="N72" s="18"/>
      <c r="O72" s="18"/>
    </row>
    <row r="73" spans="2:15" ht="12.75">
      <c r="B73" s="18"/>
      <c r="C73" s="18"/>
      <c r="D73" s="18"/>
      <c r="E73" s="18"/>
      <c r="F73" s="18"/>
      <c r="G73" s="18"/>
      <c r="H73" s="18"/>
      <c r="I73" s="18"/>
      <c r="J73" s="18"/>
      <c r="K73" s="18"/>
      <c r="L73" s="18"/>
      <c r="M73" s="18"/>
      <c r="N73" s="18"/>
      <c r="O73" s="18"/>
    </row>
    <row r="74" spans="2:15" ht="12.75">
      <c r="B74" s="18"/>
      <c r="C74" s="18"/>
      <c r="D74" s="18"/>
      <c r="E74" s="18"/>
      <c r="F74" s="18"/>
      <c r="G74" s="18"/>
      <c r="H74" s="18"/>
      <c r="I74" s="18"/>
      <c r="J74" s="18"/>
      <c r="K74" s="18"/>
      <c r="L74" s="18"/>
      <c r="M74" s="18"/>
      <c r="N74" s="18"/>
      <c r="O74" s="18"/>
    </row>
    <row r="75" spans="2:15" ht="12.75">
      <c r="B75" s="18"/>
      <c r="C75" s="18"/>
      <c r="D75" s="18"/>
      <c r="E75" s="18"/>
      <c r="F75" s="18"/>
      <c r="G75" s="18"/>
      <c r="H75" s="18"/>
      <c r="I75" s="18"/>
      <c r="J75" s="18"/>
      <c r="K75" s="18"/>
      <c r="L75" s="18"/>
      <c r="M75" s="18"/>
      <c r="N75" s="18"/>
      <c r="O75" s="18"/>
    </row>
    <row r="76" spans="2:15" ht="12.75">
      <c r="B76" s="18"/>
      <c r="C76" s="18"/>
      <c r="D76" s="18"/>
      <c r="E76" s="18"/>
      <c r="F76" s="18"/>
      <c r="G76" s="18"/>
      <c r="H76" s="18"/>
      <c r="I76" s="18"/>
      <c r="J76" s="18"/>
      <c r="K76" s="18"/>
      <c r="L76" s="18"/>
      <c r="M76" s="18"/>
      <c r="N76" s="18"/>
      <c r="O76" s="18"/>
    </row>
    <row r="77" spans="2:15" ht="12.75">
      <c r="B77" s="18"/>
      <c r="C77" s="18"/>
      <c r="D77" s="18"/>
      <c r="E77" s="18"/>
      <c r="F77" s="18"/>
      <c r="G77" s="18"/>
      <c r="H77" s="18"/>
      <c r="I77" s="18"/>
      <c r="J77" s="18"/>
      <c r="K77" s="18"/>
      <c r="L77" s="18"/>
      <c r="M77" s="18"/>
      <c r="N77" s="18"/>
      <c r="O77" s="18"/>
    </row>
    <row r="78" spans="2:15" ht="12.75">
      <c r="B78" s="18"/>
      <c r="C78" s="18"/>
      <c r="D78" s="18"/>
      <c r="E78" s="18"/>
      <c r="F78" s="18"/>
      <c r="G78" s="18"/>
      <c r="H78" s="18"/>
      <c r="I78" s="18"/>
      <c r="J78" s="18"/>
      <c r="K78" s="18"/>
      <c r="L78" s="18"/>
      <c r="M78" s="18"/>
      <c r="N78" s="18"/>
      <c r="O78" s="18"/>
    </row>
    <row r="79" spans="2:15" ht="12.75">
      <c r="B79" s="18"/>
      <c r="C79" s="18"/>
      <c r="D79" s="18"/>
      <c r="E79" s="18"/>
      <c r="F79" s="18"/>
      <c r="G79" s="18"/>
      <c r="H79" s="18"/>
      <c r="I79" s="18"/>
      <c r="J79" s="18"/>
      <c r="K79" s="18"/>
      <c r="L79" s="18"/>
      <c r="M79" s="18"/>
      <c r="N79" s="18"/>
      <c r="O79" s="18"/>
    </row>
    <row r="80" spans="2:15" ht="12.75">
      <c r="B80" s="18"/>
      <c r="C80" s="18"/>
      <c r="D80" s="18"/>
      <c r="E80" s="18"/>
      <c r="F80" s="18"/>
      <c r="G80" s="18"/>
      <c r="H80" s="18"/>
      <c r="I80" s="18"/>
      <c r="J80" s="18"/>
      <c r="K80" s="18"/>
      <c r="L80" s="18"/>
      <c r="M80" s="18"/>
      <c r="N80" s="18"/>
      <c r="O80" s="18"/>
    </row>
    <row r="81" spans="2:15" ht="12.75">
      <c r="B81" s="18"/>
      <c r="C81" s="18"/>
      <c r="D81" s="18"/>
      <c r="E81" s="18"/>
      <c r="F81" s="18"/>
      <c r="G81" s="18"/>
      <c r="H81" s="18"/>
      <c r="I81" s="18"/>
      <c r="J81" s="18"/>
      <c r="K81" s="18"/>
      <c r="L81" s="18"/>
      <c r="M81" s="18"/>
      <c r="N81" s="18"/>
      <c r="O81" s="18"/>
    </row>
    <row r="82" spans="2:15" ht="12.75">
      <c r="B82" s="18"/>
      <c r="C82" s="18"/>
      <c r="D82" s="18"/>
      <c r="E82" s="18"/>
      <c r="F82" s="18"/>
      <c r="G82" s="18"/>
      <c r="H82" s="18"/>
      <c r="I82" s="18"/>
      <c r="J82" s="18"/>
      <c r="K82" s="18"/>
      <c r="L82" s="18"/>
      <c r="M82" s="18"/>
      <c r="N82" s="18"/>
      <c r="O82" s="18"/>
    </row>
    <row r="83" spans="2:15" ht="12.75">
      <c r="B83" s="18"/>
      <c r="C83" s="18"/>
      <c r="D83" s="18"/>
      <c r="E83" s="18"/>
      <c r="F83" s="18"/>
      <c r="G83" s="18"/>
      <c r="H83" s="18"/>
      <c r="I83" s="18"/>
      <c r="J83" s="18"/>
      <c r="K83" s="18"/>
      <c r="L83" s="18"/>
      <c r="M83" s="18"/>
      <c r="N83" s="18"/>
      <c r="O83" s="18"/>
    </row>
    <row r="84" spans="2:15" ht="12.75">
      <c r="B84" s="18"/>
      <c r="C84" s="18"/>
      <c r="D84" s="18"/>
      <c r="E84" s="18"/>
      <c r="F84" s="18"/>
      <c r="G84" s="18"/>
      <c r="H84" s="18"/>
      <c r="I84" s="18"/>
      <c r="J84" s="18"/>
      <c r="K84" s="18"/>
      <c r="L84" s="18"/>
      <c r="M84" s="18"/>
      <c r="N84" s="18"/>
      <c r="O84" s="18"/>
    </row>
    <row r="85" spans="2:15" ht="12.75">
      <c r="B85" s="18"/>
      <c r="C85" s="18"/>
      <c r="D85" s="18"/>
      <c r="E85" s="18"/>
      <c r="F85" s="18"/>
      <c r="G85" s="18"/>
      <c r="H85" s="18"/>
      <c r="I85" s="18"/>
      <c r="J85" s="18"/>
      <c r="K85" s="18"/>
      <c r="L85" s="18"/>
      <c r="M85" s="18"/>
      <c r="N85" s="18"/>
      <c r="O85" s="18"/>
    </row>
    <row r="86" spans="2:15" ht="12.75">
      <c r="B86" s="18"/>
      <c r="C86" s="18"/>
      <c r="D86" s="18"/>
      <c r="E86" s="18"/>
      <c r="F86" s="18"/>
      <c r="G86" s="18"/>
      <c r="H86" s="18"/>
      <c r="I86" s="18"/>
      <c r="J86" s="18"/>
      <c r="K86" s="18"/>
      <c r="L86" s="18"/>
      <c r="M86" s="18"/>
      <c r="N86" s="18"/>
      <c r="O86" s="18"/>
    </row>
    <row r="87" spans="2:15" ht="12.75">
      <c r="B87" s="18"/>
      <c r="C87" s="18"/>
      <c r="D87" s="18"/>
      <c r="E87" s="18"/>
      <c r="F87" s="18"/>
      <c r="G87" s="18"/>
      <c r="H87" s="18"/>
      <c r="I87" s="18"/>
      <c r="J87" s="18"/>
      <c r="K87" s="18"/>
      <c r="L87" s="18"/>
      <c r="M87" s="18"/>
      <c r="N87" s="18"/>
      <c r="O87" s="18"/>
    </row>
    <row r="88" spans="2:15" ht="12.75">
      <c r="B88" s="18"/>
      <c r="C88" s="18"/>
      <c r="D88" s="18"/>
      <c r="E88" s="18"/>
      <c r="F88" s="18"/>
      <c r="G88" s="18"/>
      <c r="H88" s="18"/>
      <c r="I88" s="18"/>
      <c r="J88" s="18"/>
      <c r="K88" s="18"/>
      <c r="L88" s="18"/>
      <c r="M88" s="18"/>
      <c r="N88" s="18"/>
      <c r="O88" s="18"/>
    </row>
    <row r="89" spans="2:15" ht="12.75">
      <c r="B89" s="18"/>
      <c r="C89" s="18"/>
      <c r="D89" s="18"/>
      <c r="E89" s="18"/>
      <c r="F89" s="18"/>
      <c r="G89" s="18"/>
      <c r="H89" s="18"/>
      <c r="I89" s="18"/>
      <c r="J89" s="18"/>
      <c r="K89" s="18"/>
      <c r="L89" s="18"/>
      <c r="M89" s="18"/>
      <c r="N89" s="18"/>
      <c r="O89" s="18"/>
    </row>
    <row r="90" spans="2:15" ht="12.75">
      <c r="B90" s="18"/>
      <c r="C90" s="18"/>
      <c r="D90" s="18"/>
      <c r="E90" s="18"/>
      <c r="F90" s="18"/>
      <c r="G90" s="18"/>
      <c r="H90" s="18"/>
      <c r="I90" s="18"/>
      <c r="J90" s="18"/>
      <c r="K90" s="18"/>
      <c r="L90" s="18"/>
      <c r="M90" s="18"/>
      <c r="N90" s="18"/>
      <c r="O90" s="18"/>
    </row>
    <row r="91" spans="2:15" ht="12.75">
      <c r="B91" s="18"/>
      <c r="C91" s="18"/>
      <c r="D91" s="18"/>
      <c r="E91" s="18"/>
      <c r="F91" s="18"/>
      <c r="G91" s="18"/>
      <c r="H91" s="18"/>
      <c r="I91" s="18"/>
      <c r="J91" s="18"/>
      <c r="K91" s="18"/>
      <c r="L91" s="18"/>
      <c r="M91" s="18"/>
      <c r="N91" s="18"/>
      <c r="O91" s="18"/>
    </row>
    <row r="92" spans="2:15" ht="12.75">
      <c r="B92" s="18"/>
      <c r="C92" s="18"/>
      <c r="D92" s="18"/>
      <c r="E92" s="18"/>
      <c r="F92" s="18"/>
      <c r="G92" s="18"/>
      <c r="H92" s="18"/>
      <c r="I92" s="18"/>
      <c r="J92" s="18"/>
      <c r="K92" s="18"/>
      <c r="L92" s="18"/>
      <c r="M92" s="18"/>
      <c r="N92" s="18"/>
      <c r="O92" s="18"/>
    </row>
    <row r="93" spans="2:15" ht="12.75">
      <c r="B93" s="18"/>
      <c r="C93" s="18"/>
      <c r="D93" s="18"/>
      <c r="E93" s="18"/>
      <c r="F93" s="18"/>
      <c r="G93" s="18"/>
      <c r="H93" s="18"/>
      <c r="I93" s="18"/>
      <c r="J93" s="18"/>
      <c r="K93" s="18"/>
      <c r="L93" s="18"/>
      <c r="M93" s="18"/>
      <c r="N93" s="18"/>
      <c r="O93" s="18"/>
    </row>
    <row r="94" spans="2:15" ht="12.75">
      <c r="B94" s="18"/>
      <c r="C94" s="18"/>
      <c r="D94" s="18"/>
      <c r="E94" s="18"/>
      <c r="F94" s="18"/>
      <c r="G94" s="18"/>
      <c r="H94" s="18"/>
      <c r="I94" s="18"/>
      <c r="J94" s="18"/>
      <c r="K94" s="18"/>
      <c r="L94" s="18"/>
      <c r="M94" s="18"/>
      <c r="N94" s="18"/>
      <c r="O94" s="18"/>
    </row>
    <row r="95" spans="2:15" ht="12.75">
      <c r="B95" s="18"/>
      <c r="C95" s="18"/>
      <c r="D95" s="18"/>
      <c r="E95" s="18"/>
      <c r="F95" s="18"/>
      <c r="G95" s="18"/>
      <c r="H95" s="18"/>
      <c r="I95" s="18"/>
      <c r="J95" s="18"/>
      <c r="K95" s="18"/>
      <c r="L95" s="18"/>
      <c r="M95" s="18"/>
      <c r="N95" s="18"/>
      <c r="O95" s="18"/>
    </row>
    <row r="96" spans="2:15" ht="12.75">
      <c r="B96" s="18"/>
      <c r="C96" s="18"/>
      <c r="D96" s="18"/>
      <c r="E96" s="18"/>
      <c r="F96" s="18"/>
      <c r="G96" s="18"/>
      <c r="H96" s="18"/>
      <c r="I96" s="18"/>
      <c r="J96" s="18"/>
      <c r="K96" s="18"/>
      <c r="L96" s="18"/>
      <c r="M96" s="18"/>
      <c r="N96" s="18"/>
      <c r="O96" s="18"/>
    </row>
    <row r="97" spans="2:15" ht="12.75">
      <c r="B97" s="18"/>
      <c r="C97" s="18"/>
      <c r="D97" s="18"/>
      <c r="E97" s="18"/>
      <c r="F97" s="18"/>
      <c r="G97" s="18"/>
      <c r="H97" s="18"/>
      <c r="I97" s="18"/>
      <c r="J97" s="18"/>
      <c r="K97" s="18"/>
      <c r="L97" s="18"/>
      <c r="M97" s="18"/>
      <c r="N97" s="18"/>
      <c r="O97" s="18"/>
    </row>
    <row r="98" spans="2:15" ht="12.75">
      <c r="B98" s="18"/>
      <c r="C98" s="18"/>
      <c r="D98" s="18"/>
      <c r="E98" s="18"/>
      <c r="F98" s="18"/>
      <c r="G98" s="18"/>
      <c r="H98" s="18"/>
      <c r="I98" s="18"/>
      <c r="J98" s="18"/>
      <c r="K98" s="18"/>
      <c r="L98" s="18"/>
      <c r="M98" s="18"/>
      <c r="N98" s="18"/>
      <c r="O98" s="18"/>
    </row>
    <row r="99" spans="2:15" ht="12.75">
      <c r="B99" s="18"/>
      <c r="C99" s="18"/>
      <c r="D99" s="18"/>
      <c r="E99" s="18"/>
      <c r="F99" s="18"/>
      <c r="G99" s="18"/>
      <c r="H99" s="18"/>
      <c r="I99" s="18"/>
      <c r="J99" s="18"/>
      <c r="K99" s="18"/>
      <c r="L99" s="18"/>
      <c r="M99" s="18"/>
      <c r="N99" s="18"/>
      <c r="O99" s="18"/>
    </row>
    <row r="100" spans="2:15" ht="12.75">
      <c r="B100" s="18"/>
      <c r="C100" s="18"/>
      <c r="D100" s="18"/>
      <c r="E100" s="18"/>
      <c r="F100" s="18"/>
      <c r="G100" s="18"/>
      <c r="H100" s="18"/>
      <c r="I100" s="18"/>
      <c r="J100" s="18"/>
      <c r="K100" s="18"/>
      <c r="L100" s="18"/>
      <c r="M100" s="18"/>
      <c r="N100" s="18"/>
      <c r="O100" s="18"/>
    </row>
    <row r="101" spans="2:15" ht="12.75">
      <c r="B101" s="18"/>
      <c r="C101" s="18"/>
      <c r="D101" s="18"/>
      <c r="E101" s="18"/>
      <c r="F101" s="18"/>
      <c r="G101" s="18"/>
      <c r="H101" s="18"/>
      <c r="I101" s="18"/>
      <c r="J101" s="18"/>
      <c r="K101" s="18"/>
      <c r="L101" s="18"/>
      <c r="M101" s="18"/>
      <c r="N101" s="18"/>
      <c r="O101" s="18"/>
    </row>
    <row r="102" spans="2:15" ht="12.75">
      <c r="B102" s="18"/>
      <c r="C102" s="18"/>
      <c r="D102" s="18"/>
      <c r="E102" s="18"/>
      <c r="F102" s="18"/>
      <c r="G102" s="18"/>
      <c r="H102" s="18"/>
      <c r="I102" s="18"/>
      <c r="J102" s="18"/>
      <c r="K102" s="18"/>
      <c r="L102" s="18"/>
      <c r="M102" s="18"/>
      <c r="N102" s="18"/>
      <c r="O102" s="18"/>
    </row>
    <row r="103" spans="2:15" ht="12.75">
      <c r="B103" s="18"/>
      <c r="C103" s="18"/>
      <c r="D103" s="18"/>
      <c r="E103" s="18"/>
      <c r="F103" s="18"/>
      <c r="G103" s="18"/>
      <c r="H103" s="18"/>
      <c r="I103" s="18"/>
      <c r="J103" s="18"/>
      <c r="K103" s="18"/>
      <c r="L103" s="18"/>
      <c r="M103" s="18"/>
      <c r="N103" s="18"/>
      <c r="O103" s="18"/>
    </row>
    <row r="104" spans="2:15" ht="12.75">
      <c r="B104" s="18"/>
      <c r="C104" s="18"/>
      <c r="D104" s="18"/>
      <c r="E104" s="18"/>
      <c r="F104" s="18"/>
      <c r="G104" s="18"/>
      <c r="H104" s="18"/>
      <c r="I104" s="18"/>
      <c r="J104" s="18"/>
      <c r="K104" s="18"/>
      <c r="L104" s="18"/>
      <c r="M104" s="18"/>
      <c r="N104" s="18"/>
      <c r="O104" s="18"/>
    </row>
    <row r="105" spans="2:15" ht="12.75">
      <c r="B105" s="18"/>
      <c r="C105" s="18"/>
      <c r="D105" s="18"/>
      <c r="E105" s="18"/>
      <c r="F105" s="18"/>
      <c r="G105" s="18"/>
      <c r="H105" s="18"/>
      <c r="I105" s="18"/>
      <c r="J105" s="18"/>
      <c r="K105" s="18"/>
      <c r="L105" s="18"/>
      <c r="M105" s="18"/>
      <c r="N105" s="18"/>
      <c r="O105" s="18"/>
    </row>
    <row r="106" spans="2:15" ht="12.75">
      <c r="B106" s="18"/>
      <c r="C106" s="18"/>
      <c r="D106" s="18"/>
      <c r="E106" s="18"/>
      <c r="F106" s="18"/>
      <c r="G106" s="18"/>
      <c r="H106" s="18"/>
      <c r="I106" s="18"/>
      <c r="J106" s="18"/>
      <c r="K106" s="18"/>
      <c r="L106" s="18"/>
      <c r="M106" s="18"/>
      <c r="N106" s="18"/>
      <c r="O106" s="18"/>
    </row>
    <row r="107" spans="2:15" ht="12.75">
      <c r="B107" s="18"/>
      <c r="C107" s="18"/>
      <c r="D107" s="18"/>
      <c r="E107" s="18"/>
      <c r="F107" s="18"/>
      <c r="G107" s="18"/>
      <c r="H107" s="18"/>
      <c r="I107" s="18"/>
      <c r="J107" s="18"/>
      <c r="K107" s="18"/>
      <c r="L107" s="18"/>
      <c r="M107" s="18"/>
      <c r="N107" s="18"/>
      <c r="O107" s="18"/>
    </row>
    <row r="108" spans="2:15" ht="12.75">
      <c r="B108" s="18"/>
      <c r="C108" s="18"/>
      <c r="D108" s="18"/>
      <c r="E108" s="18"/>
      <c r="F108" s="18"/>
      <c r="G108" s="18"/>
      <c r="H108" s="18"/>
      <c r="I108" s="18"/>
      <c r="J108" s="18"/>
      <c r="K108" s="18"/>
      <c r="L108" s="18"/>
      <c r="M108" s="18"/>
      <c r="N108" s="18"/>
      <c r="O108" s="18"/>
    </row>
    <row r="109" spans="2:15" ht="12.75">
      <c r="B109" s="18"/>
      <c r="C109" s="18"/>
      <c r="D109" s="18"/>
      <c r="E109" s="18"/>
      <c r="F109" s="18"/>
      <c r="G109" s="18"/>
      <c r="H109" s="18"/>
      <c r="I109" s="18"/>
      <c r="J109" s="18"/>
      <c r="K109" s="18"/>
      <c r="L109" s="18"/>
      <c r="M109" s="18"/>
      <c r="N109" s="18"/>
      <c r="O109" s="18"/>
    </row>
    <row r="110" spans="2:15" ht="12.75">
      <c r="B110" s="18"/>
      <c r="C110" s="18"/>
      <c r="D110" s="18"/>
      <c r="E110" s="18"/>
      <c r="F110" s="18"/>
      <c r="G110" s="18"/>
      <c r="H110" s="18"/>
      <c r="I110" s="18"/>
      <c r="J110" s="18"/>
      <c r="K110" s="18"/>
      <c r="L110" s="18"/>
      <c r="M110" s="18"/>
      <c r="N110" s="18"/>
      <c r="O110" s="18"/>
    </row>
    <row r="111" spans="2:15" ht="12.75">
      <c r="B111" s="18"/>
      <c r="C111" s="18"/>
      <c r="D111" s="18"/>
      <c r="E111" s="18"/>
      <c r="F111" s="18"/>
      <c r="G111" s="18"/>
      <c r="H111" s="18"/>
      <c r="I111" s="18"/>
      <c r="J111" s="18"/>
      <c r="K111" s="18"/>
      <c r="L111" s="18"/>
      <c r="M111" s="18"/>
      <c r="N111" s="18"/>
      <c r="O111" s="18"/>
    </row>
    <row r="112" spans="2:15" ht="12.75">
      <c r="B112" s="18"/>
      <c r="C112" s="18"/>
      <c r="D112" s="18"/>
      <c r="E112" s="18"/>
      <c r="F112" s="18"/>
      <c r="G112" s="18"/>
      <c r="H112" s="18"/>
      <c r="I112" s="18"/>
      <c r="J112" s="18"/>
      <c r="K112" s="18"/>
      <c r="L112" s="18"/>
      <c r="M112" s="18"/>
      <c r="N112" s="18"/>
      <c r="O112" s="18"/>
    </row>
    <row r="113" spans="2:15" ht="12.75">
      <c r="B113" s="18"/>
      <c r="C113" s="18"/>
      <c r="D113" s="18"/>
      <c r="E113" s="18"/>
      <c r="F113" s="18"/>
      <c r="G113" s="18"/>
      <c r="H113" s="18"/>
      <c r="I113" s="18"/>
      <c r="J113" s="18"/>
      <c r="K113" s="18"/>
      <c r="L113" s="18"/>
      <c r="M113" s="18"/>
      <c r="N113" s="18"/>
      <c r="O113" s="18"/>
    </row>
    <row r="114" spans="2:15" ht="12.75">
      <c r="B114" s="18"/>
      <c r="C114" s="18"/>
      <c r="D114" s="18"/>
      <c r="E114" s="18"/>
      <c r="F114" s="18"/>
      <c r="G114" s="18"/>
      <c r="H114" s="18"/>
      <c r="I114" s="18"/>
      <c r="J114" s="18"/>
      <c r="K114" s="18"/>
      <c r="L114" s="18"/>
      <c r="M114" s="18"/>
      <c r="N114" s="18"/>
      <c r="O114" s="18"/>
    </row>
    <row r="115" spans="2:15" ht="12.75">
      <c r="B115" s="18"/>
      <c r="C115" s="18"/>
      <c r="D115" s="18"/>
      <c r="E115" s="18"/>
      <c r="F115" s="18"/>
      <c r="G115" s="18"/>
      <c r="H115" s="18"/>
      <c r="I115" s="18"/>
      <c r="J115" s="18"/>
      <c r="K115" s="18"/>
      <c r="L115" s="18"/>
      <c r="M115" s="18"/>
      <c r="N115" s="18"/>
      <c r="O115" s="18"/>
    </row>
    <row r="116" spans="2:15" ht="12.75">
      <c r="B116" s="18"/>
      <c r="C116" s="18"/>
      <c r="D116" s="18"/>
      <c r="E116" s="18"/>
      <c r="F116" s="18"/>
      <c r="G116" s="18"/>
      <c r="H116" s="18"/>
      <c r="I116" s="18"/>
      <c r="J116" s="18"/>
      <c r="K116" s="18"/>
      <c r="L116" s="18"/>
      <c r="M116" s="18"/>
      <c r="N116" s="18"/>
      <c r="O116" s="18"/>
    </row>
    <row r="117" spans="2:15" ht="12.75">
      <c r="B117" s="18"/>
      <c r="C117" s="18"/>
      <c r="D117" s="18"/>
      <c r="E117" s="18"/>
      <c r="F117" s="18"/>
      <c r="G117" s="18"/>
      <c r="H117" s="18"/>
      <c r="I117" s="18"/>
      <c r="J117" s="18"/>
      <c r="K117" s="18"/>
      <c r="L117" s="18"/>
      <c r="M117" s="18"/>
      <c r="N117" s="18"/>
      <c r="O117" s="18"/>
    </row>
    <row r="118" spans="2:15" ht="12.75">
      <c r="B118" s="18"/>
      <c r="C118" s="18"/>
      <c r="D118" s="18"/>
      <c r="E118" s="18"/>
      <c r="F118" s="18"/>
      <c r="G118" s="18"/>
      <c r="H118" s="18"/>
      <c r="I118" s="18"/>
      <c r="J118" s="18"/>
      <c r="K118" s="18"/>
      <c r="L118" s="18"/>
      <c r="M118" s="18"/>
      <c r="N118" s="18"/>
      <c r="O118" s="18"/>
    </row>
    <row r="119" spans="2:15" ht="12.75">
      <c r="B119" s="18"/>
      <c r="C119" s="18"/>
      <c r="D119" s="18"/>
      <c r="E119" s="18"/>
      <c r="F119" s="18"/>
      <c r="G119" s="18"/>
      <c r="H119" s="18"/>
      <c r="I119" s="18"/>
      <c r="J119" s="18"/>
      <c r="K119" s="18"/>
      <c r="L119" s="18"/>
      <c r="M119" s="18"/>
      <c r="N119" s="18"/>
      <c r="O119" s="18"/>
    </row>
    <row r="120" spans="2:15" ht="12.75">
      <c r="B120" s="18"/>
      <c r="C120" s="18"/>
      <c r="D120" s="18"/>
      <c r="E120" s="18"/>
      <c r="F120" s="18"/>
      <c r="G120" s="18"/>
      <c r="H120" s="18"/>
      <c r="I120" s="18"/>
      <c r="J120" s="18"/>
      <c r="K120" s="18"/>
      <c r="L120" s="18"/>
      <c r="M120" s="18"/>
      <c r="N120" s="18"/>
      <c r="O120" s="18"/>
    </row>
    <row r="121" spans="2:15" ht="12.75">
      <c r="B121" s="18"/>
      <c r="C121" s="18"/>
      <c r="D121" s="18"/>
      <c r="E121" s="18"/>
      <c r="F121" s="18"/>
      <c r="G121" s="18"/>
      <c r="H121" s="18"/>
      <c r="I121" s="18"/>
      <c r="J121" s="18"/>
      <c r="K121" s="18"/>
      <c r="L121" s="18"/>
      <c r="M121" s="18"/>
      <c r="N121" s="18"/>
      <c r="O121" s="18"/>
    </row>
    <row r="122" spans="2:15" ht="12.75">
      <c r="B122" s="18"/>
      <c r="C122" s="18"/>
      <c r="D122" s="18"/>
      <c r="E122" s="18"/>
      <c r="F122" s="18"/>
      <c r="G122" s="18"/>
      <c r="H122" s="18"/>
      <c r="I122" s="18"/>
      <c r="J122" s="18"/>
      <c r="K122" s="18"/>
      <c r="L122" s="18"/>
      <c r="M122" s="18"/>
      <c r="N122" s="18"/>
      <c r="O122" s="18"/>
    </row>
    <row r="123" spans="2:15" ht="12.75">
      <c r="B123" s="18"/>
      <c r="C123" s="18"/>
      <c r="D123" s="18"/>
      <c r="E123" s="18"/>
      <c r="F123" s="18"/>
      <c r="G123" s="18"/>
      <c r="H123" s="18"/>
      <c r="I123" s="18"/>
      <c r="J123" s="18"/>
      <c r="K123" s="18"/>
      <c r="L123" s="18"/>
      <c r="M123" s="18"/>
      <c r="N123" s="18"/>
      <c r="O123" s="18"/>
    </row>
    <row r="124" spans="2:15" ht="12.75">
      <c r="B124" s="18"/>
      <c r="C124" s="18"/>
      <c r="D124" s="18"/>
      <c r="E124" s="18"/>
      <c r="F124" s="18"/>
      <c r="G124" s="18"/>
      <c r="H124" s="18"/>
      <c r="I124" s="18"/>
      <c r="J124" s="18"/>
      <c r="K124" s="18"/>
      <c r="L124" s="18"/>
      <c r="M124" s="18"/>
      <c r="N124" s="18"/>
      <c r="O124" s="18"/>
    </row>
    <row r="125" spans="2:15" ht="12.75">
      <c r="B125" s="18"/>
      <c r="C125" s="18"/>
      <c r="D125" s="18"/>
      <c r="E125" s="18"/>
      <c r="F125" s="18"/>
      <c r="G125" s="18"/>
      <c r="H125" s="18"/>
      <c r="I125" s="18"/>
      <c r="J125" s="18"/>
      <c r="K125" s="18"/>
      <c r="L125" s="18"/>
      <c r="M125" s="18"/>
      <c r="N125" s="18"/>
      <c r="O125" s="18"/>
    </row>
    <row r="126" spans="2:15" ht="12.75">
      <c r="B126" s="18"/>
      <c r="C126" s="18"/>
      <c r="D126" s="18"/>
      <c r="E126" s="18"/>
      <c r="F126" s="18"/>
      <c r="G126" s="18"/>
      <c r="H126" s="18"/>
      <c r="I126" s="18"/>
      <c r="J126" s="18"/>
      <c r="K126" s="18"/>
      <c r="L126" s="18"/>
      <c r="M126" s="18"/>
      <c r="N126" s="18"/>
      <c r="O126" s="18"/>
    </row>
    <row r="127" spans="2:15" ht="12.75">
      <c r="B127" s="18"/>
      <c r="C127" s="18"/>
      <c r="D127" s="18"/>
      <c r="E127" s="18"/>
      <c r="F127" s="18"/>
      <c r="G127" s="18"/>
      <c r="H127" s="18"/>
      <c r="I127" s="18"/>
      <c r="J127" s="18"/>
      <c r="K127" s="18"/>
      <c r="L127" s="18"/>
      <c r="M127" s="18"/>
      <c r="N127" s="18"/>
      <c r="O127" s="18"/>
    </row>
    <row r="128" spans="2:15" ht="12.75">
      <c r="B128" s="18"/>
      <c r="C128" s="18"/>
      <c r="D128" s="18"/>
      <c r="E128" s="18"/>
      <c r="F128" s="18"/>
      <c r="G128" s="18"/>
      <c r="H128" s="18"/>
      <c r="I128" s="18"/>
      <c r="J128" s="18"/>
      <c r="K128" s="18"/>
      <c r="L128" s="18"/>
      <c r="M128" s="18"/>
      <c r="N128" s="18"/>
      <c r="O128" s="18"/>
    </row>
    <row r="129" spans="2:15" ht="12.75">
      <c r="B129" s="18"/>
      <c r="C129" s="18"/>
      <c r="D129" s="18"/>
      <c r="E129" s="18"/>
      <c r="F129" s="18"/>
      <c r="G129" s="18"/>
      <c r="H129" s="18"/>
      <c r="I129" s="18"/>
      <c r="J129" s="18"/>
      <c r="K129" s="18"/>
      <c r="L129" s="18"/>
      <c r="M129" s="18"/>
      <c r="N129" s="18"/>
      <c r="O129" s="18"/>
    </row>
    <row r="130" spans="2:15" ht="12.75">
      <c r="B130" s="18"/>
      <c r="C130" s="18"/>
      <c r="D130" s="18"/>
      <c r="E130" s="18"/>
      <c r="F130" s="18"/>
      <c r="G130" s="18"/>
      <c r="H130" s="18"/>
      <c r="I130" s="18"/>
      <c r="J130" s="18"/>
      <c r="K130" s="18"/>
      <c r="L130" s="18"/>
      <c r="M130" s="18"/>
      <c r="N130" s="18"/>
      <c r="O130" s="18"/>
    </row>
    <row r="131" spans="2:15" ht="12.75">
      <c r="B131" s="18"/>
      <c r="C131" s="18"/>
      <c r="D131" s="18"/>
      <c r="E131" s="18"/>
      <c r="F131" s="18"/>
      <c r="G131" s="18"/>
      <c r="H131" s="18"/>
      <c r="I131" s="18"/>
      <c r="J131" s="18"/>
      <c r="K131" s="18"/>
      <c r="L131" s="18"/>
      <c r="M131" s="18"/>
      <c r="N131" s="18"/>
      <c r="O131" s="18"/>
    </row>
    <row r="132" spans="2:15" ht="12.75">
      <c r="B132" s="18"/>
      <c r="C132" s="18"/>
      <c r="D132" s="18"/>
      <c r="E132" s="18"/>
      <c r="F132" s="18"/>
      <c r="G132" s="18"/>
      <c r="H132" s="18"/>
      <c r="I132" s="18"/>
      <c r="J132" s="18"/>
      <c r="K132" s="18"/>
      <c r="L132" s="18"/>
      <c r="M132" s="18"/>
      <c r="N132" s="18"/>
      <c r="O132" s="18"/>
    </row>
    <row r="133" spans="2:15" ht="12.75">
      <c r="B133" s="18"/>
      <c r="C133" s="18"/>
      <c r="D133" s="18"/>
      <c r="E133" s="18"/>
      <c r="F133" s="18"/>
      <c r="G133" s="18"/>
      <c r="H133" s="18"/>
      <c r="I133" s="18"/>
      <c r="J133" s="18"/>
      <c r="K133" s="18"/>
      <c r="L133" s="18"/>
      <c r="M133" s="18"/>
      <c r="N133" s="18"/>
      <c r="O133" s="18"/>
    </row>
    <row r="134" spans="2:15" ht="12.75">
      <c r="B134" s="18"/>
      <c r="C134" s="18"/>
      <c r="D134" s="18"/>
      <c r="E134" s="18"/>
      <c r="F134" s="18"/>
      <c r="G134" s="18"/>
      <c r="H134" s="18"/>
      <c r="I134" s="18"/>
      <c r="J134" s="18"/>
      <c r="K134" s="18"/>
      <c r="L134" s="18"/>
      <c r="M134" s="18"/>
      <c r="N134" s="18"/>
      <c r="O134" s="18"/>
    </row>
    <row r="135" spans="2:15" ht="12.75">
      <c r="B135" s="18"/>
      <c r="C135" s="18"/>
      <c r="D135" s="18"/>
      <c r="E135" s="18"/>
      <c r="F135" s="18"/>
      <c r="G135" s="18"/>
      <c r="H135" s="18"/>
      <c r="I135" s="18"/>
      <c r="J135" s="18"/>
      <c r="K135" s="18"/>
      <c r="L135" s="18"/>
      <c r="M135" s="18"/>
      <c r="N135" s="18"/>
      <c r="O135" s="18"/>
    </row>
    <row r="136" spans="2:15" ht="12.75">
      <c r="B136" s="18"/>
      <c r="C136" s="18"/>
      <c r="D136" s="18"/>
      <c r="E136" s="18"/>
      <c r="F136" s="18"/>
      <c r="G136" s="18"/>
      <c r="H136" s="18"/>
      <c r="I136" s="18"/>
      <c r="J136" s="18"/>
      <c r="K136" s="18"/>
      <c r="L136" s="18"/>
      <c r="M136" s="18"/>
      <c r="N136" s="18"/>
      <c r="O136" s="18"/>
    </row>
    <row r="137" spans="2:15" ht="12.75">
      <c r="B137" s="18"/>
      <c r="C137" s="18"/>
      <c r="D137" s="18"/>
      <c r="E137" s="18"/>
      <c r="F137" s="18"/>
      <c r="G137" s="18"/>
      <c r="H137" s="18"/>
      <c r="I137" s="18"/>
      <c r="J137" s="18"/>
      <c r="K137" s="18"/>
      <c r="L137" s="18"/>
      <c r="M137" s="18"/>
      <c r="N137" s="18"/>
      <c r="O137" s="18"/>
    </row>
    <row r="138" spans="2:15" ht="12.75">
      <c r="B138" s="18"/>
      <c r="C138" s="18"/>
      <c r="D138" s="18"/>
      <c r="E138" s="18"/>
      <c r="F138" s="18"/>
      <c r="G138" s="18"/>
      <c r="H138" s="18"/>
      <c r="I138" s="18"/>
      <c r="J138" s="18"/>
      <c r="K138" s="18"/>
      <c r="L138" s="18"/>
      <c r="M138" s="18"/>
      <c r="N138" s="18"/>
      <c r="O138" s="18"/>
    </row>
    <row r="139" spans="2:15" ht="12.75">
      <c r="B139" s="18"/>
      <c r="C139" s="18"/>
      <c r="D139" s="18"/>
      <c r="E139" s="18"/>
      <c r="F139" s="18"/>
      <c r="G139" s="18"/>
      <c r="H139" s="18"/>
      <c r="I139" s="18"/>
      <c r="J139" s="18"/>
      <c r="K139" s="18"/>
      <c r="L139" s="18"/>
      <c r="M139" s="18"/>
      <c r="N139" s="18"/>
      <c r="O139" s="18"/>
    </row>
    <row r="140" spans="2:15" ht="12.75">
      <c r="B140" s="18"/>
      <c r="C140" s="18"/>
      <c r="D140" s="18"/>
      <c r="E140" s="18"/>
      <c r="F140" s="18"/>
      <c r="G140" s="18"/>
      <c r="H140" s="18"/>
      <c r="I140" s="18"/>
      <c r="J140" s="18"/>
      <c r="K140" s="18"/>
      <c r="L140" s="18"/>
      <c r="M140" s="18"/>
      <c r="N140" s="18"/>
      <c r="O140" s="18"/>
    </row>
    <row r="141" spans="2:15" ht="12.75">
      <c r="B141" s="18"/>
      <c r="C141" s="18"/>
      <c r="D141" s="18"/>
      <c r="E141" s="18"/>
      <c r="F141" s="18"/>
      <c r="G141" s="18"/>
      <c r="H141" s="18"/>
      <c r="I141" s="18"/>
      <c r="J141" s="18"/>
      <c r="K141" s="18"/>
      <c r="L141" s="18"/>
      <c r="M141" s="18"/>
      <c r="N141" s="18"/>
      <c r="O141" s="18"/>
    </row>
    <row r="142" spans="2:15" ht="12.75">
      <c r="B142" s="18"/>
      <c r="C142" s="18"/>
      <c r="D142" s="18"/>
      <c r="E142" s="18"/>
      <c r="F142" s="18"/>
      <c r="G142" s="18"/>
      <c r="H142" s="18"/>
      <c r="I142" s="18"/>
      <c r="J142" s="18"/>
      <c r="K142" s="18"/>
      <c r="L142" s="18"/>
      <c r="M142" s="18"/>
      <c r="N142" s="18"/>
      <c r="O142" s="18"/>
    </row>
    <row r="143" spans="2:15" ht="12.75">
      <c r="B143" s="18"/>
      <c r="C143" s="18"/>
      <c r="D143" s="18"/>
      <c r="E143" s="18"/>
      <c r="F143" s="18"/>
      <c r="G143" s="18"/>
      <c r="H143" s="18"/>
      <c r="I143" s="18"/>
      <c r="J143" s="18"/>
      <c r="K143" s="18"/>
      <c r="L143" s="18"/>
      <c r="M143" s="18"/>
      <c r="N143" s="18"/>
      <c r="O143" s="18"/>
    </row>
    <row r="144" spans="2:15" ht="12.75">
      <c r="B144" s="18"/>
      <c r="C144" s="18"/>
      <c r="D144" s="18"/>
      <c r="E144" s="18"/>
      <c r="F144" s="18"/>
      <c r="G144" s="18"/>
      <c r="H144" s="18"/>
      <c r="I144" s="18"/>
      <c r="J144" s="18"/>
      <c r="K144" s="18"/>
      <c r="L144" s="18"/>
      <c r="M144" s="18"/>
      <c r="N144" s="18"/>
      <c r="O144" s="18"/>
    </row>
    <row r="145" spans="2:15" ht="12.75">
      <c r="B145" s="18"/>
      <c r="C145" s="18"/>
      <c r="D145" s="18"/>
      <c r="E145" s="18"/>
      <c r="F145" s="18"/>
      <c r="G145" s="18"/>
      <c r="H145" s="18"/>
      <c r="I145" s="18"/>
      <c r="J145" s="18"/>
      <c r="K145" s="18"/>
      <c r="L145" s="18"/>
      <c r="M145" s="18"/>
      <c r="N145" s="18"/>
      <c r="O145" s="18"/>
    </row>
    <row r="146" spans="2:15" ht="12.75">
      <c r="B146" s="18"/>
      <c r="C146" s="18"/>
      <c r="D146" s="18"/>
      <c r="E146" s="18"/>
      <c r="F146" s="18"/>
      <c r="G146" s="18"/>
      <c r="H146" s="18"/>
      <c r="I146" s="18"/>
      <c r="J146" s="18"/>
      <c r="K146" s="18"/>
      <c r="L146" s="18"/>
      <c r="M146" s="18"/>
      <c r="N146" s="18"/>
      <c r="O146" s="18"/>
    </row>
    <row r="147" spans="2:15" ht="12.75">
      <c r="B147" s="18"/>
      <c r="C147" s="18"/>
      <c r="D147" s="18"/>
      <c r="E147" s="18"/>
      <c r="F147" s="18"/>
      <c r="G147" s="18"/>
      <c r="H147" s="18"/>
      <c r="I147" s="18"/>
      <c r="J147" s="18"/>
      <c r="K147" s="18"/>
      <c r="L147" s="18"/>
      <c r="M147" s="18"/>
      <c r="N147" s="18"/>
      <c r="O147" s="18"/>
    </row>
    <row r="148" spans="2:15" ht="12.75">
      <c r="B148" s="18"/>
      <c r="C148" s="18"/>
      <c r="D148" s="18"/>
      <c r="E148" s="18"/>
      <c r="F148" s="18"/>
      <c r="G148" s="18"/>
      <c r="H148" s="18"/>
      <c r="I148" s="18"/>
      <c r="J148" s="18"/>
      <c r="K148" s="18"/>
      <c r="L148" s="18"/>
      <c r="M148" s="18"/>
      <c r="N148" s="18"/>
      <c r="O148" s="18"/>
    </row>
    <row r="149" spans="2:15" ht="12.75">
      <c r="B149" s="18"/>
      <c r="C149" s="18"/>
      <c r="D149" s="18"/>
      <c r="E149" s="18"/>
      <c r="F149" s="18"/>
      <c r="G149" s="18"/>
      <c r="H149" s="18"/>
      <c r="I149" s="18"/>
      <c r="J149" s="18"/>
      <c r="K149" s="18"/>
      <c r="L149" s="18"/>
      <c r="M149" s="18"/>
      <c r="N149" s="18"/>
      <c r="O149" s="18"/>
    </row>
    <row r="150" spans="2:15" ht="12.75">
      <c r="B150" s="18"/>
      <c r="C150" s="18"/>
      <c r="D150" s="18"/>
      <c r="E150" s="18"/>
      <c r="F150" s="18"/>
      <c r="G150" s="18"/>
      <c r="H150" s="18"/>
      <c r="I150" s="18"/>
      <c r="J150" s="18"/>
      <c r="K150" s="18"/>
      <c r="L150" s="18"/>
      <c r="M150" s="18"/>
      <c r="N150" s="18"/>
      <c r="O150" s="18"/>
    </row>
    <row r="151" spans="2:15" ht="12.75">
      <c r="B151" s="18"/>
      <c r="C151" s="18"/>
      <c r="D151" s="18"/>
      <c r="E151" s="18"/>
      <c r="F151" s="18"/>
      <c r="G151" s="18"/>
      <c r="H151" s="18"/>
      <c r="I151" s="18"/>
      <c r="J151" s="18"/>
      <c r="K151" s="18"/>
      <c r="L151" s="18"/>
      <c r="M151" s="18"/>
      <c r="N151" s="18"/>
      <c r="O151" s="18"/>
    </row>
    <row r="152" spans="2:15" ht="12.75">
      <c r="B152" s="18"/>
      <c r="C152" s="18"/>
      <c r="D152" s="18"/>
      <c r="E152" s="18"/>
      <c r="F152" s="18"/>
      <c r="G152" s="18"/>
      <c r="H152" s="18"/>
      <c r="I152" s="18"/>
      <c r="J152" s="18"/>
      <c r="K152" s="18"/>
      <c r="L152" s="18"/>
      <c r="M152" s="18"/>
      <c r="N152" s="18"/>
      <c r="O152" s="18"/>
    </row>
    <row r="153" spans="2:15" ht="12.75">
      <c r="B153" s="18"/>
      <c r="C153" s="18"/>
      <c r="D153" s="18"/>
      <c r="E153" s="18"/>
      <c r="F153" s="18"/>
      <c r="G153" s="18"/>
      <c r="H153" s="18"/>
      <c r="I153" s="18"/>
      <c r="J153" s="18"/>
      <c r="K153" s="18"/>
      <c r="L153" s="18"/>
      <c r="M153" s="18"/>
      <c r="N153" s="18"/>
      <c r="O153" s="18"/>
    </row>
    <row r="154" spans="2:15" ht="12.75">
      <c r="B154" s="18"/>
      <c r="C154" s="18"/>
      <c r="D154" s="18"/>
      <c r="E154" s="18"/>
      <c r="F154" s="18"/>
      <c r="G154" s="18"/>
      <c r="H154" s="18"/>
      <c r="I154" s="18"/>
      <c r="J154" s="18"/>
      <c r="K154" s="18"/>
      <c r="L154" s="18"/>
      <c r="M154" s="18"/>
      <c r="N154" s="18"/>
      <c r="O154" s="18"/>
    </row>
    <row r="155" spans="2:15" ht="12.75">
      <c r="B155" s="18"/>
      <c r="C155" s="18"/>
      <c r="D155" s="18"/>
      <c r="E155" s="18"/>
      <c r="F155" s="18"/>
      <c r="G155" s="18"/>
      <c r="H155" s="18"/>
      <c r="I155" s="18"/>
      <c r="J155" s="18"/>
      <c r="K155" s="18"/>
      <c r="L155" s="18"/>
      <c r="M155" s="18"/>
      <c r="N155" s="18"/>
      <c r="O155" s="18"/>
    </row>
    <row r="156" spans="2:15" ht="12.75">
      <c r="B156" s="18"/>
      <c r="C156" s="18"/>
      <c r="D156" s="18"/>
      <c r="E156" s="18"/>
      <c r="F156" s="18"/>
      <c r="G156" s="18"/>
      <c r="H156" s="18"/>
      <c r="I156" s="18"/>
      <c r="J156" s="18"/>
      <c r="K156" s="18"/>
      <c r="L156" s="18"/>
      <c r="M156" s="18"/>
      <c r="N156" s="18"/>
      <c r="O156" s="18"/>
    </row>
    <row r="157" spans="2:15" ht="12.75">
      <c r="B157" s="18"/>
      <c r="C157" s="18"/>
      <c r="D157" s="18"/>
      <c r="E157" s="18"/>
      <c r="F157" s="18"/>
      <c r="G157" s="18"/>
      <c r="H157" s="18"/>
      <c r="I157" s="18"/>
      <c r="J157" s="18"/>
      <c r="K157" s="18"/>
      <c r="L157" s="18"/>
      <c r="M157" s="18"/>
      <c r="N157" s="18"/>
      <c r="O157" s="18"/>
    </row>
    <row r="158" spans="2:15" ht="12.75">
      <c r="B158" s="18"/>
      <c r="C158" s="18"/>
      <c r="D158" s="18"/>
      <c r="E158" s="18"/>
      <c r="F158" s="18"/>
      <c r="G158" s="18"/>
      <c r="H158" s="18"/>
      <c r="I158" s="18"/>
      <c r="J158" s="18"/>
      <c r="K158" s="18"/>
      <c r="L158" s="18"/>
      <c r="M158" s="18"/>
      <c r="N158" s="18"/>
      <c r="O158" s="18"/>
    </row>
    <row r="159" spans="2:15" ht="12.75">
      <c r="B159" s="18"/>
      <c r="C159" s="18"/>
      <c r="D159" s="18"/>
      <c r="E159" s="18"/>
      <c r="F159" s="18"/>
      <c r="G159" s="18"/>
      <c r="H159" s="18"/>
      <c r="I159" s="18"/>
      <c r="J159" s="18"/>
      <c r="K159" s="18"/>
      <c r="L159" s="18"/>
      <c r="M159" s="18"/>
      <c r="N159" s="18"/>
      <c r="O159" s="18"/>
    </row>
    <row r="160" spans="2:15" ht="12.75">
      <c r="B160" s="18"/>
      <c r="C160" s="18"/>
      <c r="D160" s="18"/>
      <c r="E160" s="18"/>
      <c r="F160" s="18"/>
      <c r="G160" s="18"/>
      <c r="H160" s="18"/>
      <c r="I160" s="18"/>
      <c r="J160" s="18"/>
      <c r="K160" s="18"/>
      <c r="L160" s="18"/>
      <c r="M160" s="18"/>
      <c r="N160" s="18"/>
      <c r="O160" s="18"/>
    </row>
    <row r="161" spans="2:15" ht="12.75">
      <c r="B161" s="18"/>
      <c r="C161" s="18"/>
      <c r="D161" s="18"/>
      <c r="E161" s="18"/>
      <c r="F161" s="18"/>
      <c r="G161" s="18"/>
      <c r="H161" s="18"/>
      <c r="I161" s="18"/>
      <c r="J161" s="18"/>
      <c r="K161" s="18"/>
      <c r="L161" s="18"/>
      <c r="M161" s="18"/>
      <c r="N161" s="18"/>
      <c r="O161" s="18"/>
    </row>
    <row r="162" spans="2:15" ht="12.75">
      <c r="B162" s="18"/>
      <c r="C162" s="18"/>
      <c r="D162" s="18"/>
      <c r="E162" s="18"/>
      <c r="F162" s="18"/>
      <c r="G162" s="18"/>
      <c r="H162" s="18"/>
      <c r="I162" s="18"/>
      <c r="J162" s="18"/>
      <c r="K162" s="18"/>
      <c r="L162" s="18"/>
      <c r="M162" s="18"/>
      <c r="N162" s="18"/>
      <c r="O162" s="18"/>
    </row>
    <row r="163" spans="2:15" ht="12.75">
      <c r="B163" s="18"/>
      <c r="C163" s="18"/>
      <c r="D163" s="18"/>
      <c r="E163" s="18"/>
      <c r="F163" s="18"/>
      <c r="G163" s="18"/>
      <c r="H163" s="18"/>
      <c r="I163" s="18"/>
      <c r="J163" s="18"/>
      <c r="K163" s="18"/>
      <c r="L163" s="18"/>
      <c r="M163" s="18"/>
      <c r="N163" s="18"/>
      <c r="O163" s="18"/>
    </row>
    <row r="164" spans="2:15" ht="12.75">
      <c r="B164" s="18"/>
      <c r="C164" s="18"/>
      <c r="D164" s="18"/>
      <c r="E164" s="18"/>
      <c r="F164" s="18"/>
      <c r="G164" s="18"/>
      <c r="H164" s="18"/>
      <c r="I164" s="18"/>
      <c r="J164" s="18"/>
      <c r="K164" s="18"/>
      <c r="L164" s="18"/>
      <c r="M164" s="18"/>
      <c r="N164" s="18"/>
      <c r="O164" s="18"/>
    </row>
    <row r="165" spans="2:15" ht="12.75">
      <c r="B165" s="18"/>
      <c r="C165" s="18"/>
      <c r="D165" s="18"/>
      <c r="E165" s="18"/>
      <c r="F165" s="18"/>
      <c r="G165" s="18"/>
      <c r="H165" s="18"/>
      <c r="I165" s="18"/>
      <c r="J165" s="18"/>
      <c r="K165" s="18"/>
      <c r="L165" s="18"/>
      <c r="M165" s="18"/>
      <c r="N165" s="18"/>
      <c r="O165" s="18"/>
    </row>
    <row r="166" spans="2:15" ht="12.75">
      <c r="B166" s="18"/>
      <c r="C166" s="18"/>
      <c r="D166" s="18"/>
      <c r="E166" s="18"/>
      <c r="F166" s="18"/>
      <c r="G166" s="18"/>
      <c r="H166" s="18"/>
      <c r="I166" s="18"/>
      <c r="J166" s="18"/>
      <c r="K166" s="18"/>
      <c r="L166" s="18"/>
      <c r="M166" s="18"/>
      <c r="N166" s="18"/>
      <c r="O166" s="18"/>
    </row>
    <row r="167" spans="2:15" ht="12.75">
      <c r="B167" s="18"/>
      <c r="C167" s="18"/>
      <c r="D167" s="18"/>
      <c r="E167" s="18"/>
      <c r="F167" s="18"/>
      <c r="G167" s="18"/>
      <c r="H167" s="18"/>
      <c r="I167" s="18"/>
      <c r="J167" s="18"/>
      <c r="K167" s="18"/>
      <c r="L167" s="18"/>
      <c r="M167" s="18"/>
      <c r="N167" s="18"/>
      <c r="O167" s="18"/>
    </row>
    <row r="168" spans="2:15" ht="12.75">
      <c r="B168" s="18"/>
      <c r="C168" s="18"/>
      <c r="D168" s="18"/>
      <c r="E168" s="18"/>
      <c r="F168" s="18"/>
      <c r="G168" s="18"/>
      <c r="H168" s="18"/>
      <c r="I168" s="18"/>
      <c r="J168" s="18"/>
      <c r="K168" s="18"/>
      <c r="L168" s="18"/>
      <c r="M168" s="18"/>
      <c r="N168" s="18"/>
      <c r="O168" s="18"/>
    </row>
    <row r="169" spans="2:15" ht="12.75">
      <c r="B169" s="18"/>
      <c r="C169" s="18"/>
      <c r="D169" s="18"/>
      <c r="E169" s="18"/>
      <c r="F169" s="18"/>
      <c r="G169" s="18"/>
      <c r="H169" s="18"/>
      <c r="I169" s="18"/>
      <c r="J169" s="18"/>
      <c r="K169" s="18"/>
      <c r="L169" s="18"/>
      <c r="M169" s="18"/>
      <c r="N169" s="18"/>
      <c r="O169" s="18"/>
    </row>
    <row r="170" spans="2:15" ht="12.75">
      <c r="B170" s="18"/>
      <c r="C170" s="18"/>
      <c r="D170" s="18"/>
      <c r="E170" s="18"/>
      <c r="F170" s="18"/>
      <c r="G170" s="18"/>
      <c r="H170" s="18"/>
      <c r="I170" s="18"/>
      <c r="J170" s="18"/>
      <c r="K170" s="18"/>
      <c r="L170" s="18"/>
      <c r="M170" s="18"/>
      <c r="N170" s="18"/>
      <c r="O170" s="18"/>
    </row>
    <row r="171" spans="2:15" ht="12.75">
      <c r="B171" s="18"/>
      <c r="C171" s="18"/>
      <c r="D171" s="18"/>
      <c r="E171" s="18"/>
      <c r="F171" s="18"/>
      <c r="G171" s="18"/>
      <c r="H171" s="18"/>
      <c r="I171" s="18"/>
      <c r="J171" s="18"/>
      <c r="K171" s="18"/>
      <c r="L171" s="18"/>
      <c r="M171" s="18"/>
      <c r="N171" s="18"/>
      <c r="O171" s="18"/>
    </row>
    <row r="172" spans="2:15" ht="12.75">
      <c r="B172" s="18"/>
      <c r="C172" s="18"/>
      <c r="D172" s="18"/>
      <c r="E172" s="18"/>
      <c r="F172" s="18"/>
      <c r="G172" s="18"/>
      <c r="H172" s="18"/>
      <c r="I172" s="18"/>
      <c r="J172" s="18"/>
      <c r="K172" s="18"/>
      <c r="L172" s="18"/>
      <c r="M172" s="18"/>
      <c r="N172" s="18"/>
      <c r="O172" s="18"/>
    </row>
    <row r="173" spans="2:15" ht="12.75">
      <c r="B173" s="18"/>
      <c r="C173" s="18"/>
      <c r="D173" s="18"/>
      <c r="E173" s="18"/>
      <c r="F173" s="18"/>
      <c r="G173" s="18"/>
      <c r="H173" s="18"/>
      <c r="I173" s="18"/>
      <c r="J173" s="18"/>
      <c r="K173" s="18"/>
      <c r="L173" s="18"/>
      <c r="M173" s="18"/>
      <c r="N173" s="18"/>
      <c r="O173" s="18"/>
    </row>
    <row r="174" spans="2:15" ht="12.75">
      <c r="B174" s="18"/>
      <c r="C174" s="18"/>
      <c r="D174" s="18"/>
      <c r="E174" s="18"/>
      <c r="F174" s="18"/>
      <c r="G174" s="18"/>
      <c r="H174" s="18"/>
      <c r="I174" s="18"/>
      <c r="J174" s="18"/>
      <c r="K174" s="18"/>
      <c r="L174" s="18"/>
      <c r="M174" s="18"/>
      <c r="N174" s="18"/>
      <c r="O174" s="18"/>
    </row>
    <row r="175" spans="2:15" ht="12.75">
      <c r="B175" s="18"/>
      <c r="C175" s="18"/>
      <c r="D175" s="18"/>
      <c r="E175" s="18"/>
      <c r="F175" s="18"/>
      <c r="G175" s="18"/>
      <c r="H175" s="18"/>
      <c r="I175" s="18"/>
      <c r="J175" s="18"/>
      <c r="K175" s="18"/>
      <c r="L175" s="18"/>
      <c r="M175" s="18"/>
      <c r="N175" s="18"/>
      <c r="O175" s="18"/>
    </row>
    <row r="176" spans="2:15" ht="12.75">
      <c r="B176" s="18"/>
      <c r="C176" s="18"/>
      <c r="D176" s="18"/>
      <c r="E176" s="18"/>
      <c r="F176" s="18"/>
      <c r="G176" s="18"/>
      <c r="H176" s="18"/>
      <c r="I176" s="18"/>
      <c r="J176" s="18"/>
      <c r="K176" s="18"/>
      <c r="L176" s="18"/>
      <c r="M176" s="18"/>
      <c r="N176" s="18"/>
      <c r="O176" s="18"/>
    </row>
    <row r="177" spans="2:15" ht="12.75">
      <c r="B177" s="18"/>
      <c r="C177" s="18"/>
      <c r="D177" s="18"/>
      <c r="E177" s="18"/>
      <c r="F177" s="18"/>
      <c r="G177" s="18"/>
      <c r="H177" s="18"/>
      <c r="I177" s="18"/>
      <c r="J177" s="18"/>
      <c r="K177" s="18"/>
      <c r="L177" s="18"/>
      <c r="M177" s="18"/>
      <c r="N177" s="18"/>
      <c r="O177" s="18"/>
    </row>
    <row r="178" spans="2:15" ht="12.75">
      <c r="B178" s="18"/>
      <c r="C178" s="18"/>
      <c r="D178" s="18"/>
      <c r="E178" s="18"/>
      <c r="F178" s="18"/>
      <c r="G178" s="18"/>
      <c r="H178" s="18"/>
      <c r="I178" s="18"/>
      <c r="J178" s="18"/>
      <c r="K178" s="18"/>
      <c r="L178" s="18"/>
      <c r="M178" s="18"/>
      <c r="N178" s="18"/>
      <c r="O178" s="18"/>
    </row>
    <row r="179" spans="2:15" ht="12.75">
      <c r="B179" s="18"/>
      <c r="C179" s="18"/>
      <c r="D179" s="18"/>
      <c r="E179" s="18"/>
      <c r="F179" s="18"/>
      <c r="G179" s="18"/>
      <c r="H179" s="18"/>
      <c r="I179" s="18"/>
      <c r="J179" s="18"/>
      <c r="K179" s="18"/>
      <c r="L179" s="18"/>
      <c r="M179" s="18"/>
      <c r="N179" s="18"/>
      <c r="O179" s="18"/>
    </row>
    <row r="180" spans="2:15" ht="12.75">
      <c r="B180" s="18"/>
      <c r="C180" s="18"/>
      <c r="D180" s="18"/>
      <c r="E180" s="18"/>
      <c r="F180" s="18"/>
      <c r="G180" s="18"/>
      <c r="H180" s="18"/>
      <c r="I180" s="18"/>
      <c r="J180" s="18"/>
      <c r="K180" s="18"/>
      <c r="L180" s="18"/>
      <c r="M180" s="18"/>
      <c r="N180" s="18"/>
      <c r="O180" s="18"/>
    </row>
    <row r="181" spans="2:15" ht="12.75">
      <c r="B181" s="18"/>
      <c r="C181" s="18"/>
      <c r="D181" s="18"/>
      <c r="E181" s="18"/>
      <c r="F181" s="18"/>
      <c r="G181" s="18"/>
      <c r="H181" s="18"/>
      <c r="I181" s="18"/>
      <c r="J181" s="18"/>
      <c r="K181" s="18"/>
      <c r="L181" s="18"/>
      <c r="M181" s="18"/>
      <c r="N181" s="18"/>
      <c r="O181" s="18"/>
    </row>
    <row r="182" spans="2:15" ht="12.75">
      <c r="B182" s="18"/>
      <c r="C182" s="18"/>
      <c r="D182" s="18"/>
      <c r="E182" s="18"/>
      <c r="F182" s="18"/>
      <c r="G182" s="18"/>
      <c r="H182" s="18"/>
      <c r="I182" s="18"/>
      <c r="J182" s="18"/>
      <c r="K182" s="18"/>
      <c r="L182" s="18"/>
      <c r="M182" s="18"/>
      <c r="N182" s="18"/>
      <c r="O182" s="18"/>
    </row>
    <row r="183" spans="2:15" ht="12.75">
      <c r="B183" s="18"/>
      <c r="C183" s="18"/>
      <c r="D183" s="18"/>
      <c r="E183" s="18"/>
      <c r="F183" s="18"/>
      <c r="G183" s="18"/>
      <c r="H183" s="18"/>
      <c r="I183" s="18"/>
      <c r="J183" s="18"/>
      <c r="K183" s="18"/>
      <c r="L183" s="18"/>
      <c r="M183" s="18"/>
      <c r="N183" s="18"/>
      <c r="O183" s="18"/>
    </row>
    <row r="184" spans="2:15" ht="12.75">
      <c r="B184" s="18"/>
      <c r="C184" s="18"/>
      <c r="D184" s="18"/>
      <c r="E184" s="18"/>
      <c r="F184" s="18"/>
      <c r="G184" s="18"/>
      <c r="H184" s="18"/>
      <c r="I184" s="18"/>
      <c r="J184" s="18"/>
      <c r="K184" s="18"/>
      <c r="L184" s="18"/>
      <c r="M184" s="18"/>
      <c r="N184" s="18"/>
      <c r="O184" s="18"/>
    </row>
    <row r="185" spans="2:15" ht="12.75">
      <c r="B185" s="18"/>
      <c r="C185" s="18"/>
      <c r="D185" s="18"/>
      <c r="E185" s="18"/>
      <c r="F185" s="18"/>
      <c r="G185" s="18"/>
      <c r="H185" s="18"/>
      <c r="I185" s="18"/>
      <c r="J185" s="18"/>
      <c r="K185" s="18"/>
      <c r="L185" s="18"/>
      <c r="M185" s="18"/>
      <c r="N185" s="18"/>
      <c r="O185" s="18"/>
    </row>
    <row r="186" spans="2:15" ht="12.75">
      <c r="B186" s="18"/>
      <c r="C186" s="18"/>
      <c r="D186" s="18"/>
      <c r="E186" s="18"/>
      <c r="F186" s="18"/>
      <c r="G186" s="18"/>
      <c r="H186" s="18"/>
      <c r="I186" s="18"/>
      <c r="J186" s="18"/>
      <c r="K186" s="18"/>
      <c r="L186" s="18"/>
      <c r="M186" s="18"/>
      <c r="N186" s="18"/>
      <c r="O186" s="18"/>
    </row>
    <row r="187" spans="2:15" ht="12.75">
      <c r="B187" s="18"/>
      <c r="C187" s="18"/>
      <c r="D187" s="18"/>
      <c r="E187" s="18"/>
      <c r="F187" s="18"/>
      <c r="G187" s="18"/>
      <c r="H187" s="18"/>
      <c r="I187" s="18"/>
      <c r="J187" s="18"/>
      <c r="K187" s="18"/>
      <c r="L187" s="18"/>
      <c r="M187" s="18"/>
      <c r="N187" s="18"/>
      <c r="O187" s="18"/>
    </row>
    <row r="188" spans="2:15" ht="12.75">
      <c r="B188" s="18"/>
      <c r="C188" s="18"/>
      <c r="D188" s="18"/>
      <c r="E188" s="18"/>
      <c r="F188" s="18"/>
      <c r="G188" s="18"/>
      <c r="H188" s="18"/>
      <c r="I188" s="18"/>
      <c r="J188" s="18"/>
      <c r="K188" s="18"/>
      <c r="L188" s="18"/>
      <c r="M188" s="18"/>
      <c r="N188" s="18"/>
      <c r="O188" s="18"/>
    </row>
    <row r="189" spans="2:15" ht="12.75">
      <c r="B189" s="18"/>
      <c r="C189" s="18"/>
      <c r="D189" s="18"/>
      <c r="E189" s="18"/>
      <c r="F189" s="18"/>
      <c r="G189" s="18"/>
      <c r="H189" s="18"/>
      <c r="I189" s="18"/>
      <c r="J189" s="18"/>
      <c r="K189" s="18"/>
      <c r="L189" s="18"/>
      <c r="M189" s="18"/>
      <c r="N189" s="18"/>
      <c r="O189" s="18"/>
    </row>
    <row r="190" spans="2:15" ht="12.75">
      <c r="B190" s="18"/>
      <c r="C190" s="18"/>
      <c r="D190" s="18"/>
      <c r="E190" s="18"/>
      <c r="F190" s="18"/>
      <c r="G190" s="18"/>
      <c r="H190" s="18"/>
      <c r="I190" s="18"/>
      <c r="J190" s="18"/>
      <c r="K190" s="18"/>
      <c r="L190" s="18"/>
      <c r="M190" s="18"/>
      <c r="N190" s="18"/>
      <c r="O190" s="18"/>
    </row>
    <row r="191" spans="2:15" ht="12.75">
      <c r="B191" s="18"/>
      <c r="C191" s="18"/>
      <c r="D191" s="18"/>
      <c r="E191" s="18"/>
      <c r="F191" s="18"/>
      <c r="G191" s="18"/>
      <c r="H191" s="18"/>
      <c r="I191" s="18"/>
      <c r="J191" s="18"/>
      <c r="K191" s="18"/>
      <c r="L191" s="18"/>
      <c r="M191" s="18"/>
      <c r="N191" s="18"/>
      <c r="O191" s="18"/>
    </row>
    <row r="192" spans="2:15" ht="12.75">
      <c r="B192" s="18"/>
      <c r="C192" s="18"/>
      <c r="D192" s="18"/>
      <c r="E192" s="18"/>
      <c r="F192" s="18"/>
      <c r="G192" s="18"/>
      <c r="H192" s="18"/>
      <c r="I192" s="18"/>
      <c r="J192" s="18"/>
      <c r="K192" s="18"/>
      <c r="L192" s="18"/>
      <c r="M192" s="18"/>
      <c r="N192" s="18"/>
      <c r="O192" s="18"/>
    </row>
    <row r="193" spans="2:15" ht="12.75">
      <c r="B193" s="18"/>
      <c r="C193" s="18"/>
      <c r="D193" s="18"/>
      <c r="E193" s="18"/>
      <c r="F193" s="18"/>
      <c r="G193" s="18"/>
      <c r="H193" s="18"/>
      <c r="I193" s="18"/>
      <c r="J193" s="18"/>
      <c r="K193" s="18"/>
      <c r="L193" s="18"/>
      <c r="M193" s="18"/>
      <c r="N193" s="18"/>
      <c r="O193" s="18"/>
    </row>
    <row r="194" spans="2:15" ht="12.75">
      <c r="B194" s="18"/>
      <c r="C194" s="18"/>
      <c r="D194" s="18"/>
      <c r="E194" s="18"/>
      <c r="F194" s="18"/>
      <c r="G194" s="18"/>
      <c r="H194" s="18"/>
      <c r="I194" s="18"/>
      <c r="J194" s="18"/>
      <c r="K194" s="18"/>
      <c r="L194" s="18"/>
      <c r="M194" s="18"/>
      <c r="N194" s="18"/>
      <c r="O194" s="18"/>
    </row>
    <row r="195" spans="2:15" ht="12.75">
      <c r="B195" s="18"/>
      <c r="C195" s="18"/>
      <c r="D195" s="18"/>
      <c r="E195" s="18"/>
      <c r="F195" s="18"/>
      <c r="G195" s="18"/>
      <c r="H195" s="18"/>
      <c r="I195" s="18"/>
      <c r="J195" s="18"/>
      <c r="K195" s="18"/>
      <c r="L195" s="18"/>
      <c r="M195" s="18"/>
      <c r="N195" s="18"/>
      <c r="O195" s="18"/>
    </row>
    <row r="196" spans="2:15" ht="12.75">
      <c r="B196" s="18"/>
      <c r="C196" s="18"/>
      <c r="D196" s="18"/>
      <c r="E196" s="18"/>
      <c r="F196" s="18"/>
      <c r="G196" s="18"/>
      <c r="H196" s="18"/>
      <c r="I196" s="18"/>
      <c r="J196" s="18"/>
      <c r="K196" s="18"/>
      <c r="L196" s="18"/>
      <c r="M196" s="18"/>
      <c r="N196" s="18"/>
      <c r="O196" s="18"/>
    </row>
    <row r="197" spans="2:15" ht="12.75">
      <c r="B197" s="18"/>
      <c r="C197" s="18"/>
      <c r="D197" s="18"/>
      <c r="E197" s="18"/>
      <c r="F197" s="18"/>
      <c r="G197" s="18"/>
      <c r="H197" s="18"/>
      <c r="I197" s="18"/>
      <c r="J197" s="18"/>
      <c r="K197" s="18"/>
      <c r="L197" s="18"/>
      <c r="M197" s="18"/>
      <c r="N197" s="18"/>
      <c r="O197" s="18"/>
    </row>
    <row r="198" spans="2:15" ht="12.75">
      <c r="B198" s="18"/>
      <c r="C198" s="18"/>
      <c r="D198" s="18"/>
      <c r="E198" s="18"/>
      <c r="F198" s="18"/>
      <c r="G198" s="18"/>
      <c r="H198" s="18"/>
      <c r="I198" s="18"/>
      <c r="J198" s="18"/>
      <c r="K198" s="18"/>
      <c r="L198" s="18"/>
      <c r="M198" s="18"/>
      <c r="N198" s="18"/>
      <c r="O198" s="18"/>
    </row>
    <row r="199" spans="2:15" ht="12.75">
      <c r="B199" s="18"/>
      <c r="C199" s="18"/>
      <c r="D199" s="18"/>
      <c r="E199" s="18"/>
      <c r="F199" s="18"/>
      <c r="G199" s="18"/>
      <c r="H199" s="18"/>
      <c r="I199" s="18"/>
      <c r="J199" s="18"/>
      <c r="K199" s="18"/>
      <c r="L199" s="18"/>
      <c r="M199" s="18"/>
      <c r="N199" s="18"/>
      <c r="O199" s="18"/>
    </row>
    <row r="200" spans="2:15" ht="12.75">
      <c r="B200" s="18"/>
      <c r="C200" s="18"/>
      <c r="D200" s="18"/>
      <c r="E200" s="18"/>
      <c r="F200" s="18"/>
      <c r="G200" s="18"/>
      <c r="H200" s="18"/>
      <c r="I200" s="18"/>
      <c r="J200" s="18"/>
      <c r="K200" s="18"/>
      <c r="L200" s="18"/>
      <c r="M200" s="18"/>
      <c r="N200" s="18"/>
      <c r="O200" s="18"/>
    </row>
    <row r="201" spans="2:15" ht="12.75">
      <c r="B201" s="18"/>
      <c r="C201" s="18"/>
      <c r="D201" s="18"/>
      <c r="E201" s="18"/>
      <c r="F201" s="18"/>
      <c r="G201" s="18"/>
      <c r="H201" s="18"/>
      <c r="I201" s="18"/>
      <c r="J201" s="18"/>
      <c r="K201" s="18"/>
      <c r="L201" s="18"/>
      <c r="M201" s="18"/>
      <c r="N201" s="18"/>
      <c r="O201" s="18"/>
    </row>
    <row r="202" spans="2:15" ht="12.75">
      <c r="B202" s="18"/>
      <c r="C202" s="18"/>
      <c r="D202" s="18"/>
      <c r="E202" s="18"/>
      <c r="F202" s="18"/>
      <c r="G202" s="18"/>
      <c r="H202" s="18"/>
      <c r="I202" s="18"/>
      <c r="J202" s="18"/>
      <c r="K202" s="18"/>
      <c r="L202" s="18"/>
      <c r="M202" s="18"/>
      <c r="N202" s="18"/>
      <c r="O202" s="18"/>
    </row>
    <row r="203" spans="2:15" ht="12.75">
      <c r="B203" s="18"/>
      <c r="C203" s="18"/>
      <c r="D203" s="18"/>
      <c r="E203" s="18"/>
      <c r="F203" s="18"/>
      <c r="G203" s="18"/>
      <c r="H203" s="18"/>
      <c r="I203" s="18"/>
      <c r="J203" s="18"/>
      <c r="K203" s="18"/>
      <c r="L203" s="18"/>
      <c r="M203" s="18"/>
      <c r="N203" s="18"/>
      <c r="O203" s="18"/>
    </row>
    <row r="204" spans="2:15" ht="12.75">
      <c r="B204" s="18"/>
      <c r="C204" s="18"/>
      <c r="D204" s="18"/>
      <c r="E204" s="18"/>
      <c r="F204" s="18"/>
      <c r="G204" s="18"/>
      <c r="H204" s="18"/>
      <c r="I204" s="18"/>
      <c r="J204" s="18"/>
      <c r="K204" s="18"/>
      <c r="L204" s="18"/>
      <c r="M204" s="18"/>
      <c r="N204" s="18"/>
      <c r="O204" s="18"/>
    </row>
    <row r="205" spans="2:15" ht="12.75">
      <c r="B205" s="18"/>
      <c r="C205" s="18"/>
      <c r="D205" s="18"/>
      <c r="E205" s="18"/>
      <c r="F205" s="18"/>
      <c r="G205" s="18"/>
      <c r="H205" s="18"/>
      <c r="I205" s="18"/>
      <c r="J205" s="18"/>
      <c r="K205" s="18"/>
      <c r="L205" s="18"/>
      <c r="M205" s="18"/>
      <c r="N205" s="18"/>
      <c r="O205" s="18"/>
    </row>
    <row r="206" spans="2:15" ht="12.75">
      <c r="B206" s="18"/>
      <c r="C206" s="18"/>
      <c r="D206" s="18"/>
      <c r="E206" s="18"/>
      <c r="F206" s="18"/>
      <c r="G206" s="18"/>
      <c r="H206" s="18"/>
      <c r="I206" s="18"/>
      <c r="J206" s="18"/>
      <c r="K206" s="18"/>
      <c r="L206" s="18"/>
      <c r="M206" s="18"/>
      <c r="N206" s="18"/>
      <c r="O206" s="18"/>
    </row>
    <row r="207" spans="2:15" ht="12.75">
      <c r="B207" s="18"/>
      <c r="C207" s="18"/>
      <c r="D207" s="18"/>
      <c r="E207" s="18"/>
      <c r="F207" s="18"/>
      <c r="G207" s="18"/>
      <c r="H207" s="18"/>
      <c r="I207" s="18"/>
      <c r="J207" s="18"/>
      <c r="K207" s="18"/>
      <c r="L207" s="18"/>
      <c r="M207" s="18"/>
      <c r="N207" s="18"/>
      <c r="O207" s="18"/>
    </row>
    <row r="208" spans="2:15" ht="12.75">
      <c r="B208" s="18"/>
      <c r="C208" s="18"/>
      <c r="D208" s="18"/>
      <c r="E208" s="18"/>
      <c r="F208" s="18"/>
      <c r="G208" s="18"/>
      <c r="H208" s="18"/>
      <c r="I208" s="18"/>
      <c r="J208" s="18"/>
      <c r="K208" s="18"/>
      <c r="L208" s="18"/>
      <c r="M208" s="18"/>
      <c r="N208" s="18"/>
      <c r="O208" s="18"/>
    </row>
    <row r="209" spans="2:15" ht="12.75">
      <c r="B209" s="18"/>
      <c r="C209" s="18"/>
      <c r="D209" s="18"/>
      <c r="E209" s="18"/>
      <c r="F209" s="18"/>
      <c r="G209" s="18"/>
      <c r="H209" s="18"/>
      <c r="I209" s="18"/>
      <c r="J209" s="18"/>
      <c r="K209" s="18"/>
      <c r="L209" s="18"/>
      <c r="M209" s="18"/>
      <c r="N209" s="18"/>
      <c r="O209" s="18"/>
    </row>
  </sheetData>
  <printOptions gridLines="1" horizontalCentered="1"/>
  <pageMargins left="0.2" right="0" top="0.36" bottom="0.25" header="0.24" footer="0"/>
  <pageSetup fitToHeight="1" fitToWidth="1" horizontalDpi="300" verticalDpi="300" orientation="landscape" scale="62" r:id="rId1"/>
  <headerFooter alignWithMargins="0">
    <oddHeader>&amp;C&amp;A&amp;R&amp;9&amp;D</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209"/>
  <sheetViews>
    <sheetView zoomScale="75" zoomScaleNormal="75" workbookViewId="0" topLeftCell="A1">
      <pane xSplit="1" ySplit="8" topLeftCell="B9" activePane="bottomRight" state="frozen"/>
      <selection pane="topLeft" activeCell="A3" sqref="A3"/>
      <selection pane="topRight" activeCell="A3" sqref="A3"/>
      <selection pane="bottomLeft" activeCell="A3" sqref="A3"/>
      <selection pane="bottomRight" activeCell="B9" sqref="B9"/>
    </sheetView>
  </sheetViews>
  <sheetFormatPr defaultColWidth="9.140625" defaultRowHeight="12.75"/>
  <cols>
    <col min="1" max="1" width="20.421875" style="0" customWidth="1"/>
    <col min="2" max="2" width="20.140625" style="0" customWidth="1"/>
    <col min="3" max="4" width="13.28125" style="0" customWidth="1"/>
    <col min="5" max="5" width="17.28125" style="0" customWidth="1"/>
    <col min="6" max="6" width="13.57421875" style="0" customWidth="1"/>
    <col min="7" max="7" width="14.8515625" style="0" customWidth="1"/>
    <col min="8" max="8" width="16.28125" style="0" customWidth="1"/>
    <col min="9" max="9" width="15.7109375" style="0" customWidth="1"/>
    <col min="10" max="10" width="14.8515625" style="0" customWidth="1"/>
    <col min="11" max="11" width="15.28125" style="0" customWidth="1"/>
    <col min="12" max="12" width="12.28125" style="0" customWidth="1"/>
  </cols>
  <sheetData>
    <row r="1" spans="1:5" ht="15.75">
      <c r="A1" s="1"/>
      <c r="E1" s="174"/>
    </row>
    <row r="2" spans="1:11" ht="15.75">
      <c r="A2" s="28" t="s">
        <v>353</v>
      </c>
      <c r="B2" s="28"/>
      <c r="C2" s="28"/>
      <c r="D2" s="28"/>
      <c r="E2" s="28"/>
      <c r="F2" s="28"/>
      <c r="G2" s="28"/>
      <c r="H2" s="28"/>
      <c r="I2" s="28"/>
      <c r="J2" s="28"/>
      <c r="K2" s="28"/>
    </row>
    <row r="3" spans="1:11" ht="15.75">
      <c r="A3" s="28" t="s">
        <v>333</v>
      </c>
      <c r="B3" s="28"/>
      <c r="C3" s="28"/>
      <c r="D3" s="28"/>
      <c r="E3" s="28"/>
      <c r="F3" s="28"/>
      <c r="G3" s="28"/>
      <c r="H3" s="28"/>
      <c r="I3" s="28"/>
      <c r="J3" s="28"/>
      <c r="K3" s="28"/>
    </row>
    <row r="4" spans="1:11" ht="15.75">
      <c r="A4" s="4" t="s">
        <v>1</v>
      </c>
      <c r="B4" s="28"/>
      <c r="C4" s="28"/>
      <c r="D4" s="28"/>
      <c r="E4" s="28"/>
      <c r="F4" s="28"/>
      <c r="G4" s="28"/>
      <c r="H4" s="28"/>
      <c r="I4" s="28"/>
      <c r="J4" s="28"/>
      <c r="K4" s="28"/>
    </row>
    <row r="5" spans="1:11" ht="12.75">
      <c r="A5" t="s">
        <v>110</v>
      </c>
      <c r="J5" s="29"/>
      <c r="K5" s="29"/>
    </row>
    <row r="6" spans="1:11" ht="15.75">
      <c r="A6" s="5" t="s">
        <v>91</v>
      </c>
      <c r="B6" s="6">
        <v>5</v>
      </c>
      <c r="C6" s="6">
        <v>6</v>
      </c>
      <c r="D6" s="6">
        <v>7</v>
      </c>
      <c r="E6" s="6">
        <v>8</v>
      </c>
      <c r="F6" s="6" t="s">
        <v>4</v>
      </c>
      <c r="G6" s="6">
        <v>9</v>
      </c>
      <c r="H6" s="6">
        <v>10</v>
      </c>
      <c r="I6" s="6">
        <v>11</v>
      </c>
      <c r="J6" s="29"/>
      <c r="K6" s="29"/>
    </row>
    <row r="7" spans="2:11" ht="12.75">
      <c r="B7" s="29" t="s">
        <v>9</v>
      </c>
      <c r="C7" s="29" t="s">
        <v>10</v>
      </c>
      <c r="D7" s="29" t="s">
        <v>11</v>
      </c>
      <c r="E7" s="29" t="s">
        <v>12</v>
      </c>
      <c r="F7" s="29" t="s">
        <v>13</v>
      </c>
      <c r="G7" s="29" t="s">
        <v>14</v>
      </c>
      <c r="H7" s="29" t="s">
        <v>15</v>
      </c>
      <c r="I7" s="29" t="s">
        <v>16</v>
      </c>
      <c r="J7" s="29"/>
      <c r="K7" s="29"/>
    </row>
    <row r="8" spans="2:11" ht="12.75">
      <c r="B8" s="29" t="s">
        <v>24</v>
      </c>
      <c r="C8" s="29" t="s">
        <v>25</v>
      </c>
      <c r="D8" s="29" t="s">
        <v>26</v>
      </c>
      <c r="E8" s="29"/>
      <c r="F8" s="29"/>
      <c r="G8" s="29" t="s">
        <v>27</v>
      </c>
      <c r="H8" s="29" t="s">
        <v>28</v>
      </c>
      <c r="I8" s="29" t="s">
        <v>28</v>
      </c>
      <c r="J8" s="29"/>
      <c r="K8" s="29"/>
    </row>
    <row r="9" spans="2:11" ht="12.75">
      <c r="B9" s="29"/>
      <c r="C9" s="29"/>
      <c r="D9" s="29"/>
      <c r="E9" s="29"/>
      <c r="F9" s="29"/>
      <c r="G9" s="29"/>
      <c r="H9" s="29"/>
      <c r="I9" s="29"/>
      <c r="J9" s="29"/>
      <c r="K9" s="29"/>
    </row>
    <row r="10" spans="1:11" ht="12.75">
      <c r="A10" s="1" t="s">
        <v>32</v>
      </c>
      <c r="B10" s="18">
        <v>0</v>
      </c>
      <c r="C10" s="18">
        <v>0</v>
      </c>
      <c r="D10" s="18">
        <v>0</v>
      </c>
      <c r="E10" s="18">
        <v>0</v>
      </c>
      <c r="F10" s="18">
        <v>0</v>
      </c>
      <c r="G10" s="18">
        <v>0</v>
      </c>
      <c r="H10" s="18">
        <v>0</v>
      </c>
      <c r="I10" s="18">
        <f>SUM(B10:H10)</f>
        <v>0</v>
      </c>
      <c r="J10" s="18"/>
      <c r="K10" s="18"/>
    </row>
    <row r="11" spans="1:11" ht="12.75">
      <c r="A11" s="1" t="s">
        <v>33</v>
      </c>
      <c r="B11" s="18">
        <v>0</v>
      </c>
      <c r="C11" s="18">
        <v>0</v>
      </c>
      <c r="D11" s="18">
        <v>0</v>
      </c>
      <c r="E11" s="18">
        <v>0</v>
      </c>
      <c r="F11" s="18">
        <v>0</v>
      </c>
      <c r="G11" s="18">
        <v>0</v>
      </c>
      <c r="H11" s="18">
        <v>0</v>
      </c>
      <c r="I11" s="18">
        <f aca="true" t="shared" si="0" ref="I11:I41">SUM(B11:H11)</f>
        <v>0</v>
      </c>
      <c r="J11" s="18"/>
      <c r="K11" s="18"/>
    </row>
    <row r="12" spans="1:11" ht="12.75">
      <c r="A12" s="1" t="s">
        <v>34</v>
      </c>
      <c r="B12" s="18">
        <v>0</v>
      </c>
      <c r="C12" s="18">
        <v>0</v>
      </c>
      <c r="D12" s="18">
        <v>5016468</v>
      </c>
      <c r="E12" s="18">
        <v>0</v>
      </c>
      <c r="F12" s="18">
        <v>0</v>
      </c>
      <c r="G12" s="18">
        <v>0</v>
      </c>
      <c r="H12" s="18">
        <v>0</v>
      </c>
      <c r="I12" s="18">
        <f t="shared" si="0"/>
        <v>5016468</v>
      </c>
      <c r="J12" s="18"/>
      <c r="K12" s="18"/>
    </row>
    <row r="13" spans="1:11" ht="12.75">
      <c r="A13" s="1" t="s">
        <v>35</v>
      </c>
      <c r="B13" s="18">
        <v>0</v>
      </c>
      <c r="C13" s="18">
        <v>0</v>
      </c>
      <c r="D13" s="18">
        <v>0</v>
      </c>
      <c r="E13" s="18">
        <v>0</v>
      </c>
      <c r="F13" s="18">
        <v>0</v>
      </c>
      <c r="G13" s="18">
        <v>0</v>
      </c>
      <c r="H13" s="18">
        <v>0</v>
      </c>
      <c r="I13" s="18">
        <f t="shared" si="0"/>
        <v>0</v>
      </c>
      <c r="J13" s="18"/>
      <c r="K13" s="18"/>
    </row>
    <row r="14" spans="1:11" ht="12.75">
      <c r="A14" s="1" t="s">
        <v>94</v>
      </c>
      <c r="B14" s="18">
        <v>0</v>
      </c>
      <c r="C14" s="18">
        <v>0</v>
      </c>
      <c r="D14" s="18">
        <v>79465735</v>
      </c>
      <c r="E14" s="18">
        <v>0</v>
      </c>
      <c r="F14" s="18">
        <v>0</v>
      </c>
      <c r="G14" s="18">
        <v>0</v>
      </c>
      <c r="H14" s="18">
        <v>568948</v>
      </c>
      <c r="I14" s="18">
        <f t="shared" si="0"/>
        <v>80034683</v>
      </c>
      <c r="J14" s="18"/>
      <c r="K14" s="18"/>
    </row>
    <row r="15" spans="1:11" ht="12.75">
      <c r="A15" s="1" t="s">
        <v>95</v>
      </c>
      <c r="B15" s="18">
        <v>0</v>
      </c>
      <c r="C15" s="18">
        <v>0</v>
      </c>
      <c r="D15" s="18">
        <v>0</v>
      </c>
      <c r="E15" s="18">
        <v>0</v>
      </c>
      <c r="F15" s="18">
        <v>0</v>
      </c>
      <c r="G15" s="18">
        <v>0</v>
      </c>
      <c r="H15" s="18">
        <v>0</v>
      </c>
      <c r="I15" s="18">
        <f t="shared" si="0"/>
        <v>0</v>
      </c>
      <c r="J15" s="18"/>
      <c r="K15" s="18"/>
    </row>
    <row r="16" spans="1:11" ht="12.75">
      <c r="A16" s="1" t="s">
        <v>38</v>
      </c>
      <c r="B16" s="18">
        <v>0</v>
      </c>
      <c r="C16" s="18">
        <v>0</v>
      </c>
      <c r="D16" s="18">
        <v>0</v>
      </c>
      <c r="E16" s="18">
        <v>0</v>
      </c>
      <c r="F16" s="18">
        <v>0</v>
      </c>
      <c r="G16" s="18">
        <v>0</v>
      </c>
      <c r="H16" s="18">
        <v>3506667</v>
      </c>
      <c r="I16" s="18">
        <f t="shared" si="0"/>
        <v>3506667</v>
      </c>
      <c r="J16" s="18"/>
      <c r="K16" s="18"/>
    </row>
    <row r="17" spans="1:11" ht="12.75">
      <c r="A17" s="1" t="s">
        <v>39</v>
      </c>
      <c r="B17" s="18">
        <v>0</v>
      </c>
      <c r="C17" s="18">
        <v>0</v>
      </c>
      <c r="D17" s="18">
        <v>0</v>
      </c>
      <c r="E17" s="18">
        <v>0</v>
      </c>
      <c r="F17" s="18">
        <v>0</v>
      </c>
      <c r="G17" s="18">
        <v>0</v>
      </c>
      <c r="H17" s="18">
        <v>0</v>
      </c>
      <c r="I17" s="18">
        <f t="shared" si="0"/>
        <v>0</v>
      </c>
      <c r="J17" s="18"/>
      <c r="K17" s="18"/>
    </row>
    <row r="18" spans="1:11" ht="12.75">
      <c r="A18" s="1" t="s">
        <v>40</v>
      </c>
      <c r="B18" s="18">
        <v>26457</v>
      </c>
      <c r="C18" s="18">
        <v>0</v>
      </c>
      <c r="D18" s="18">
        <v>0</v>
      </c>
      <c r="E18" s="18">
        <v>0</v>
      </c>
      <c r="F18" s="18">
        <v>0</v>
      </c>
      <c r="G18" s="18">
        <v>0</v>
      </c>
      <c r="H18" s="18">
        <v>0</v>
      </c>
      <c r="I18" s="18">
        <f t="shared" si="0"/>
        <v>26457</v>
      </c>
      <c r="J18" s="18"/>
      <c r="K18" s="18"/>
    </row>
    <row r="19" spans="1:11" ht="12.75">
      <c r="A19" s="1" t="s">
        <v>96</v>
      </c>
      <c r="B19" s="18">
        <v>0</v>
      </c>
      <c r="C19" s="18">
        <v>0</v>
      </c>
      <c r="D19" s="18">
        <v>0</v>
      </c>
      <c r="E19" s="18">
        <v>0</v>
      </c>
      <c r="F19" s="18">
        <v>0</v>
      </c>
      <c r="G19" s="18">
        <v>0</v>
      </c>
      <c r="H19" s="18">
        <v>0</v>
      </c>
      <c r="I19" s="18">
        <f t="shared" si="0"/>
        <v>0</v>
      </c>
      <c r="J19" s="18"/>
      <c r="K19" s="18"/>
    </row>
    <row r="20" spans="1:11" ht="12.75">
      <c r="A20" s="1" t="s">
        <v>42</v>
      </c>
      <c r="B20" s="18">
        <v>0</v>
      </c>
      <c r="C20" s="18">
        <v>0</v>
      </c>
      <c r="D20" s="18">
        <v>0</v>
      </c>
      <c r="E20" s="18">
        <v>0</v>
      </c>
      <c r="F20" s="18">
        <v>0</v>
      </c>
      <c r="G20" s="18">
        <v>0</v>
      </c>
      <c r="H20" s="18">
        <v>0</v>
      </c>
      <c r="I20" s="18">
        <f t="shared" si="0"/>
        <v>0</v>
      </c>
      <c r="J20" s="18"/>
      <c r="K20" s="18"/>
    </row>
    <row r="21" spans="1:11" ht="12.75">
      <c r="A21" s="1" t="s">
        <v>43</v>
      </c>
      <c r="B21" s="18">
        <v>24388149</v>
      </c>
      <c r="C21" s="18">
        <v>0</v>
      </c>
      <c r="D21" s="18">
        <v>0</v>
      </c>
      <c r="E21" s="18">
        <v>0</v>
      </c>
      <c r="F21" s="18">
        <v>0</v>
      </c>
      <c r="G21" s="18">
        <v>0</v>
      </c>
      <c r="H21" s="18">
        <v>0</v>
      </c>
      <c r="I21" s="18">
        <f t="shared" si="0"/>
        <v>24388149</v>
      </c>
      <c r="J21" s="18"/>
      <c r="K21" s="18"/>
    </row>
    <row r="22" spans="1:11" ht="12.75">
      <c r="A22" s="1" t="s">
        <v>97</v>
      </c>
      <c r="B22" s="18">
        <v>0</v>
      </c>
      <c r="C22" s="18">
        <v>0</v>
      </c>
      <c r="D22" s="18">
        <v>0</v>
      </c>
      <c r="E22" s="18">
        <v>0</v>
      </c>
      <c r="F22" s="18">
        <v>0</v>
      </c>
      <c r="G22" s="18">
        <v>0</v>
      </c>
      <c r="H22" s="18">
        <v>0</v>
      </c>
      <c r="I22" s="18">
        <f t="shared" si="0"/>
        <v>0</v>
      </c>
      <c r="J22" s="18"/>
      <c r="K22" s="18"/>
    </row>
    <row r="23" spans="1:11" ht="12.75">
      <c r="A23" s="1" t="s">
        <v>45</v>
      </c>
      <c r="B23" s="18">
        <v>15579776</v>
      </c>
      <c r="C23" s="18">
        <v>0</v>
      </c>
      <c r="D23" s="18">
        <v>0</v>
      </c>
      <c r="E23" s="18">
        <v>2003957</v>
      </c>
      <c r="F23" s="18">
        <v>147992</v>
      </c>
      <c r="G23" s="18">
        <v>0</v>
      </c>
      <c r="H23" s="18">
        <v>0</v>
      </c>
      <c r="I23" s="18">
        <f t="shared" si="0"/>
        <v>17731725</v>
      </c>
      <c r="J23" s="18"/>
      <c r="K23" s="18"/>
    </row>
    <row r="24" spans="1:11" ht="12.75">
      <c r="A24" s="1" t="s">
        <v>98</v>
      </c>
      <c r="B24" s="18">
        <v>0</v>
      </c>
      <c r="C24" s="18">
        <v>0</v>
      </c>
      <c r="D24" s="18">
        <v>0</v>
      </c>
      <c r="E24" s="18">
        <v>0</v>
      </c>
      <c r="F24" s="18">
        <v>0</v>
      </c>
      <c r="G24" s="18">
        <v>0</v>
      </c>
      <c r="H24" s="18">
        <v>5526296</v>
      </c>
      <c r="I24" s="18">
        <f t="shared" si="0"/>
        <v>5526296</v>
      </c>
      <c r="J24" s="18"/>
      <c r="K24" s="18"/>
    </row>
    <row r="25" spans="1:11" ht="12.75">
      <c r="A25" s="1" t="s">
        <v>47</v>
      </c>
      <c r="B25" s="18">
        <v>0</v>
      </c>
      <c r="C25" s="18">
        <v>43972</v>
      </c>
      <c r="D25" s="18">
        <v>4475670</v>
      </c>
      <c r="E25" s="18">
        <v>0</v>
      </c>
      <c r="F25" s="18">
        <v>0</v>
      </c>
      <c r="G25" s="18">
        <v>0</v>
      </c>
      <c r="H25" s="18">
        <v>0</v>
      </c>
      <c r="I25" s="18">
        <f t="shared" si="0"/>
        <v>4519642</v>
      </c>
      <c r="J25" s="18"/>
      <c r="K25" s="18"/>
    </row>
    <row r="26" spans="1:11" ht="12.75">
      <c r="A26" s="1" t="s">
        <v>48</v>
      </c>
      <c r="B26" s="18">
        <v>0</v>
      </c>
      <c r="C26" s="18">
        <v>0</v>
      </c>
      <c r="D26" s="18">
        <v>0</v>
      </c>
      <c r="E26" s="18">
        <v>0</v>
      </c>
      <c r="F26" s="18">
        <v>0</v>
      </c>
      <c r="G26" s="18">
        <v>0</v>
      </c>
      <c r="H26" s="18">
        <v>0</v>
      </c>
      <c r="I26" s="18">
        <f t="shared" si="0"/>
        <v>0</v>
      </c>
      <c r="J26" s="18"/>
      <c r="K26" s="18"/>
    </row>
    <row r="27" spans="1:11" ht="12.75">
      <c r="A27" s="1" t="s">
        <v>49</v>
      </c>
      <c r="B27" s="18"/>
      <c r="C27" s="18"/>
      <c r="D27" s="18"/>
      <c r="E27" s="18"/>
      <c r="F27" s="18"/>
      <c r="G27" s="18"/>
      <c r="H27" s="18"/>
      <c r="I27" s="18">
        <f t="shared" si="0"/>
        <v>0</v>
      </c>
      <c r="J27" s="18"/>
      <c r="K27" s="18"/>
    </row>
    <row r="28" spans="1:11" ht="12.75">
      <c r="A28" s="1" t="s">
        <v>50</v>
      </c>
      <c r="B28" s="18">
        <v>0</v>
      </c>
      <c r="C28" s="18">
        <v>0</v>
      </c>
      <c r="D28" s="18">
        <v>0</v>
      </c>
      <c r="E28" s="18">
        <v>0</v>
      </c>
      <c r="F28" s="18">
        <v>0</v>
      </c>
      <c r="G28" s="18">
        <v>0</v>
      </c>
      <c r="H28" s="18">
        <v>0</v>
      </c>
      <c r="I28" s="18">
        <f t="shared" si="0"/>
        <v>0</v>
      </c>
      <c r="J28" s="18"/>
      <c r="K28" s="18"/>
    </row>
    <row r="29" spans="1:11" ht="12.75">
      <c r="A29" s="1" t="s">
        <v>51</v>
      </c>
      <c r="B29" s="18">
        <v>5068373</v>
      </c>
      <c r="C29" s="18">
        <v>0</v>
      </c>
      <c r="D29" s="18">
        <v>0</v>
      </c>
      <c r="E29" s="18">
        <v>0</v>
      </c>
      <c r="F29" s="18">
        <v>0</v>
      </c>
      <c r="G29" s="18">
        <v>0</v>
      </c>
      <c r="H29" s="18">
        <v>2202441</v>
      </c>
      <c r="I29" s="18">
        <f t="shared" si="0"/>
        <v>7270814</v>
      </c>
      <c r="J29" s="18"/>
      <c r="K29" s="18"/>
    </row>
    <row r="30" spans="1:11" ht="12.75">
      <c r="A30" s="1" t="s">
        <v>52</v>
      </c>
      <c r="B30" s="18">
        <v>1897379</v>
      </c>
      <c r="C30" s="18">
        <v>0</v>
      </c>
      <c r="D30" s="18">
        <v>0</v>
      </c>
      <c r="E30" s="18">
        <v>0</v>
      </c>
      <c r="F30" s="18">
        <v>0</v>
      </c>
      <c r="G30" s="18">
        <v>0</v>
      </c>
      <c r="H30" s="18">
        <v>0</v>
      </c>
      <c r="I30" s="18">
        <f t="shared" si="0"/>
        <v>1897379</v>
      </c>
      <c r="J30" s="18"/>
      <c r="K30" s="18"/>
    </row>
    <row r="31" spans="1:11" ht="12.75">
      <c r="A31" s="1" t="s">
        <v>53</v>
      </c>
      <c r="B31" s="18">
        <v>0</v>
      </c>
      <c r="C31" s="18">
        <v>0</v>
      </c>
      <c r="D31" s="18">
        <v>0</v>
      </c>
      <c r="E31" s="18">
        <v>0</v>
      </c>
      <c r="F31" s="18">
        <v>0</v>
      </c>
      <c r="G31" s="18">
        <v>0</v>
      </c>
      <c r="H31" s="18">
        <v>2079212</v>
      </c>
      <c r="I31" s="18">
        <f t="shared" si="0"/>
        <v>2079212</v>
      </c>
      <c r="J31" s="18"/>
      <c r="K31" s="18"/>
    </row>
    <row r="32" spans="1:11" ht="12.75">
      <c r="A32" s="1" t="s">
        <v>54</v>
      </c>
      <c r="B32" s="18">
        <v>0</v>
      </c>
      <c r="C32" s="18">
        <v>0</v>
      </c>
      <c r="D32" s="18">
        <v>0</v>
      </c>
      <c r="E32" s="18">
        <v>0</v>
      </c>
      <c r="F32" s="18">
        <v>0</v>
      </c>
      <c r="G32" s="18">
        <v>0</v>
      </c>
      <c r="H32" s="18">
        <v>0</v>
      </c>
      <c r="I32" s="18">
        <f t="shared" si="0"/>
        <v>0</v>
      </c>
      <c r="J32" s="18"/>
      <c r="K32" s="18"/>
    </row>
    <row r="33" spans="1:11" ht="12.75">
      <c r="A33" s="1" t="s">
        <v>55</v>
      </c>
      <c r="B33" s="18">
        <v>0</v>
      </c>
      <c r="C33" s="18">
        <v>0</v>
      </c>
      <c r="D33" s="18">
        <v>0</v>
      </c>
      <c r="E33" s="18">
        <v>0</v>
      </c>
      <c r="F33" s="18">
        <v>0</v>
      </c>
      <c r="G33" s="18">
        <v>0</v>
      </c>
      <c r="H33" s="18">
        <v>0</v>
      </c>
      <c r="I33" s="18">
        <f t="shared" si="0"/>
        <v>0</v>
      </c>
      <c r="J33" s="18"/>
      <c r="K33" s="18"/>
    </row>
    <row r="34" spans="1:11" ht="12.75">
      <c r="A34" s="1" t="s">
        <v>56</v>
      </c>
      <c r="B34" s="18">
        <v>0</v>
      </c>
      <c r="C34" s="18">
        <v>0</v>
      </c>
      <c r="D34" s="18">
        <v>0</v>
      </c>
      <c r="E34" s="18">
        <v>0</v>
      </c>
      <c r="F34" s="18">
        <v>0</v>
      </c>
      <c r="G34" s="18">
        <v>0</v>
      </c>
      <c r="H34" s="18">
        <v>0</v>
      </c>
      <c r="I34" s="18">
        <f t="shared" si="0"/>
        <v>0</v>
      </c>
      <c r="J34" s="18"/>
      <c r="K34" s="18"/>
    </row>
    <row r="35" spans="1:11" ht="12.75">
      <c r="A35" s="1" t="s">
        <v>57</v>
      </c>
      <c r="B35" s="18">
        <v>0</v>
      </c>
      <c r="C35" s="18">
        <v>0</v>
      </c>
      <c r="D35" s="18">
        <v>0</v>
      </c>
      <c r="E35" s="18">
        <v>0</v>
      </c>
      <c r="F35" s="18">
        <v>0</v>
      </c>
      <c r="G35" s="18">
        <v>0</v>
      </c>
      <c r="H35" s="18">
        <v>0</v>
      </c>
      <c r="I35" s="18">
        <f t="shared" si="0"/>
        <v>0</v>
      </c>
      <c r="J35" s="18"/>
      <c r="K35" s="18"/>
    </row>
    <row r="36" spans="1:11" ht="12.75">
      <c r="A36" s="1" t="s">
        <v>58</v>
      </c>
      <c r="B36" s="18">
        <v>0</v>
      </c>
      <c r="C36" s="18">
        <v>0</v>
      </c>
      <c r="D36" s="18">
        <v>0</v>
      </c>
      <c r="E36" s="18">
        <v>0</v>
      </c>
      <c r="F36" s="18">
        <v>0</v>
      </c>
      <c r="G36" s="18">
        <v>0</v>
      </c>
      <c r="H36" s="18">
        <v>0</v>
      </c>
      <c r="I36" s="18">
        <f t="shared" si="0"/>
        <v>0</v>
      </c>
      <c r="J36" s="18"/>
      <c r="K36" s="18"/>
    </row>
    <row r="37" spans="1:11" ht="12.75">
      <c r="A37" s="1" t="s">
        <v>59</v>
      </c>
      <c r="B37" s="18">
        <v>0</v>
      </c>
      <c r="C37" s="18">
        <v>0</v>
      </c>
      <c r="D37" s="18">
        <v>0</v>
      </c>
      <c r="E37" s="18">
        <v>0</v>
      </c>
      <c r="F37" s="18">
        <v>0</v>
      </c>
      <c r="G37" s="18">
        <v>0</v>
      </c>
      <c r="H37" s="18">
        <v>0</v>
      </c>
      <c r="I37" s="18">
        <f t="shared" si="0"/>
        <v>0</v>
      </c>
      <c r="J37" s="18"/>
      <c r="K37" s="18"/>
    </row>
    <row r="38" spans="1:11" ht="12.75">
      <c r="A38" s="1" t="s">
        <v>60</v>
      </c>
      <c r="B38" s="18">
        <v>0</v>
      </c>
      <c r="C38" s="18">
        <v>0</v>
      </c>
      <c r="D38" s="18">
        <v>0</v>
      </c>
      <c r="E38" s="18">
        <v>0</v>
      </c>
      <c r="F38" s="18">
        <v>0</v>
      </c>
      <c r="G38" s="18">
        <v>0</v>
      </c>
      <c r="H38" s="18">
        <v>0</v>
      </c>
      <c r="I38" s="18">
        <f t="shared" si="0"/>
        <v>0</v>
      </c>
      <c r="J38" s="18"/>
      <c r="K38" s="18"/>
    </row>
    <row r="39" spans="1:11" ht="12.75">
      <c r="A39" s="1" t="s">
        <v>61</v>
      </c>
      <c r="B39" s="18">
        <v>0</v>
      </c>
      <c r="C39" s="18">
        <v>0</v>
      </c>
      <c r="D39" s="18">
        <v>0</v>
      </c>
      <c r="E39" s="18">
        <v>0</v>
      </c>
      <c r="F39" s="18">
        <v>0</v>
      </c>
      <c r="G39" s="18">
        <v>0</v>
      </c>
      <c r="H39" s="18">
        <v>0</v>
      </c>
      <c r="I39" s="18">
        <f t="shared" si="0"/>
        <v>0</v>
      </c>
      <c r="J39" s="18"/>
      <c r="K39" s="18"/>
    </row>
    <row r="40" spans="1:11" ht="12.75">
      <c r="A40" s="1" t="s">
        <v>62</v>
      </c>
      <c r="B40" s="18">
        <v>636662</v>
      </c>
      <c r="C40" s="18">
        <v>0</v>
      </c>
      <c r="D40" s="18">
        <v>0</v>
      </c>
      <c r="E40" s="18">
        <v>0</v>
      </c>
      <c r="F40" s="18">
        <v>0</v>
      </c>
      <c r="G40" s="18">
        <v>0</v>
      </c>
      <c r="H40" s="18">
        <v>0</v>
      </c>
      <c r="I40" s="18">
        <f t="shared" si="0"/>
        <v>636662</v>
      </c>
      <c r="J40" s="18"/>
      <c r="K40" s="18"/>
    </row>
    <row r="41" spans="1:11" ht="12.75">
      <c r="A41" s="1" t="s">
        <v>63</v>
      </c>
      <c r="B41" s="18">
        <v>0</v>
      </c>
      <c r="C41" s="18">
        <v>0</v>
      </c>
      <c r="D41" s="18">
        <v>0</v>
      </c>
      <c r="E41" s="18">
        <v>0</v>
      </c>
      <c r="F41" s="18">
        <v>0</v>
      </c>
      <c r="G41" s="18">
        <v>0</v>
      </c>
      <c r="H41" s="18">
        <v>0</v>
      </c>
      <c r="I41" s="18">
        <f t="shared" si="0"/>
        <v>0</v>
      </c>
      <c r="J41" s="18"/>
      <c r="K41" s="18"/>
    </row>
    <row r="42" spans="1:11" ht="12.75">
      <c r="A42" s="1" t="s">
        <v>64</v>
      </c>
      <c r="B42" s="18">
        <v>0</v>
      </c>
      <c r="C42" s="18">
        <v>0</v>
      </c>
      <c r="D42" s="18">
        <v>0</v>
      </c>
      <c r="E42" s="18">
        <v>0</v>
      </c>
      <c r="F42" s="18">
        <v>0</v>
      </c>
      <c r="G42" s="18">
        <v>0</v>
      </c>
      <c r="H42" s="18">
        <v>0</v>
      </c>
      <c r="I42" s="18">
        <f aca="true" t="shared" si="1" ref="I42:I60">SUM(B42:H42)</f>
        <v>0</v>
      </c>
      <c r="J42" s="18"/>
      <c r="K42" s="18"/>
    </row>
    <row r="43" spans="1:11" ht="12.75">
      <c r="A43" s="1" t="s">
        <v>65</v>
      </c>
      <c r="B43" s="18">
        <v>0</v>
      </c>
      <c r="C43" s="18">
        <v>0</v>
      </c>
      <c r="D43" s="18">
        <v>0</v>
      </c>
      <c r="E43" s="18">
        <v>0</v>
      </c>
      <c r="F43" s="18">
        <v>0</v>
      </c>
      <c r="G43" s="18">
        <v>0</v>
      </c>
      <c r="H43" s="18">
        <v>0</v>
      </c>
      <c r="I43" s="18">
        <f t="shared" si="1"/>
        <v>0</v>
      </c>
      <c r="J43" s="18"/>
      <c r="K43" s="18"/>
    </row>
    <row r="44" spans="1:11" ht="12.75">
      <c r="A44" s="1" t="s">
        <v>99</v>
      </c>
      <c r="B44" s="18">
        <v>0</v>
      </c>
      <c r="C44" s="18">
        <v>0</v>
      </c>
      <c r="D44" s="18">
        <v>0</v>
      </c>
      <c r="E44" s="18">
        <v>0</v>
      </c>
      <c r="F44" s="18">
        <v>0</v>
      </c>
      <c r="G44" s="18">
        <v>0</v>
      </c>
      <c r="H44" s="18">
        <v>0</v>
      </c>
      <c r="I44" s="18">
        <f t="shared" si="1"/>
        <v>0</v>
      </c>
      <c r="J44" s="18"/>
      <c r="K44" s="18"/>
    </row>
    <row r="45" spans="1:11" ht="12.75">
      <c r="A45" s="1" t="s">
        <v>67</v>
      </c>
      <c r="B45" s="18">
        <v>0</v>
      </c>
      <c r="C45" s="18">
        <v>0</v>
      </c>
      <c r="D45" s="18">
        <v>0</v>
      </c>
      <c r="E45" s="18">
        <v>0</v>
      </c>
      <c r="F45" s="18">
        <v>0</v>
      </c>
      <c r="G45" s="18">
        <v>0</v>
      </c>
      <c r="H45" s="18">
        <v>0</v>
      </c>
      <c r="I45" s="18">
        <f t="shared" si="1"/>
        <v>0</v>
      </c>
      <c r="J45" s="18"/>
      <c r="K45" s="18"/>
    </row>
    <row r="46" spans="1:11" ht="12.75">
      <c r="A46" s="1" t="s">
        <v>68</v>
      </c>
      <c r="B46" s="18">
        <v>0</v>
      </c>
      <c r="C46" s="18">
        <v>0</v>
      </c>
      <c r="D46" s="18">
        <v>0</v>
      </c>
      <c r="E46" s="18">
        <v>0</v>
      </c>
      <c r="F46" s="18">
        <v>0</v>
      </c>
      <c r="G46" s="18">
        <v>0</v>
      </c>
      <c r="H46" s="18">
        <v>0</v>
      </c>
      <c r="I46" s="18">
        <f t="shared" si="1"/>
        <v>0</v>
      </c>
      <c r="J46" s="18"/>
      <c r="K46" s="18"/>
    </row>
    <row r="47" spans="1:11" ht="12.75">
      <c r="A47" s="1" t="s">
        <v>100</v>
      </c>
      <c r="B47" s="18">
        <v>0</v>
      </c>
      <c r="C47" s="18">
        <v>0</v>
      </c>
      <c r="D47" s="18">
        <v>0</v>
      </c>
      <c r="E47" s="18">
        <v>0</v>
      </c>
      <c r="F47" s="18">
        <v>0</v>
      </c>
      <c r="G47" s="18">
        <v>0</v>
      </c>
      <c r="H47" s="18">
        <v>0</v>
      </c>
      <c r="I47" s="18">
        <f t="shared" si="1"/>
        <v>0</v>
      </c>
      <c r="J47" s="18"/>
      <c r="K47" s="18"/>
    </row>
    <row r="48" spans="1:11" ht="12.75">
      <c r="A48" s="1" t="s">
        <v>70</v>
      </c>
      <c r="B48" s="18">
        <v>0</v>
      </c>
      <c r="C48" s="18">
        <v>0</v>
      </c>
      <c r="D48" s="18">
        <v>0</v>
      </c>
      <c r="E48" s="18">
        <v>0</v>
      </c>
      <c r="F48" s="18">
        <v>0</v>
      </c>
      <c r="G48" s="18">
        <v>0</v>
      </c>
      <c r="H48" s="18">
        <v>0</v>
      </c>
      <c r="I48" s="18">
        <f t="shared" si="1"/>
        <v>0</v>
      </c>
      <c r="J48" s="18"/>
      <c r="K48" s="18"/>
    </row>
    <row r="49" spans="1:11" ht="12.75">
      <c r="A49" s="1" t="s">
        <v>71</v>
      </c>
      <c r="B49" s="18">
        <v>0</v>
      </c>
      <c r="C49" s="18">
        <v>0</v>
      </c>
      <c r="D49" s="18">
        <v>0</v>
      </c>
      <c r="E49" s="18">
        <v>0</v>
      </c>
      <c r="F49" s="18">
        <v>0</v>
      </c>
      <c r="G49" s="18">
        <v>0</v>
      </c>
      <c r="H49" s="18">
        <v>3140307</v>
      </c>
      <c r="I49" s="18">
        <f t="shared" si="1"/>
        <v>3140307</v>
      </c>
      <c r="J49" s="18"/>
      <c r="K49" s="18"/>
    </row>
    <row r="50" spans="1:11" ht="12.75">
      <c r="A50" s="1" t="s">
        <v>72</v>
      </c>
      <c r="B50" s="18">
        <v>0</v>
      </c>
      <c r="C50" s="18">
        <v>0</v>
      </c>
      <c r="D50" s="18">
        <v>0</v>
      </c>
      <c r="E50" s="18">
        <v>0</v>
      </c>
      <c r="F50" s="18">
        <v>0</v>
      </c>
      <c r="G50" s="18">
        <v>0</v>
      </c>
      <c r="H50" s="18">
        <v>0</v>
      </c>
      <c r="I50" s="18">
        <f t="shared" si="1"/>
        <v>0</v>
      </c>
      <c r="J50" s="18"/>
      <c r="K50" s="18"/>
    </row>
    <row r="51" spans="1:11" ht="12.75">
      <c r="A51" s="1" t="s">
        <v>73</v>
      </c>
      <c r="B51" s="18">
        <v>0</v>
      </c>
      <c r="C51" s="18">
        <v>0</v>
      </c>
      <c r="D51" s="18">
        <v>0</v>
      </c>
      <c r="E51" s="18">
        <v>0</v>
      </c>
      <c r="F51" s="18">
        <v>0</v>
      </c>
      <c r="G51" s="18">
        <v>0</v>
      </c>
      <c r="H51" s="18">
        <v>0</v>
      </c>
      <c r="I51" s="18">
        <f t="shared" si="1"/>
        <v>0</v>
      </c>
      <c r="J51" s="18"/>
      <c r="K51" s="18"/>
    </row>
    <row r="52" spans="1:11" ht="12.75">
      <c r="A52" s="1" t="s">
        <v>101</v>
      </c>
      <c r="B52" s="18">
        <v>112584</v>
      </c>
      <c r="C52" s="18">
        <v>0</v>
      </c>
      <c r="D52" s="18">
        <v>0</v>
      </c>
      <c r="E52" s="18">
        <v>0</v>
      </c>
      <c r="F52" s="18">
        <v>0</v>
      </c>
      <c r="G52" s="18">
        <v>0</v>
      </c>
      <c r="H52" s="18">
        <v>0</v>
      </c>
      <c r="I52" s="18">
        <f t="shared" si="1"/>
        <v>112584</v>
      </c>
      <c r="J52" s="18"/>
      <c r="K52" s="18"/>
    </row>
    <row r="53" spans="1:11" ht="12.75">
      <c r="A53" s="1" t="s">
        <v>75</v>
      </c>
      <c r="B53" s="18">
        <v>0</v>
      </c>
      <c r="C53" s="18">
        <v>0</v>
      </c>
      <c r="D53" s="18">
        <v>0</v>
      </c>
      <c r="E53" s="18">
        <v>0</v>
      </c>
      <c r="F53" s="18">
        <v>0</v>
      </c>
      <c r="G53" s="18">
        <v>0</v>
      </c>
      <c r="H53" s="18">
        <v>0</v>
      </c>
      <c r="I53" s="18">
        <f t="shared" si="1"/>
        <v>0</v>
      </c>
      <c r="J53" s="18"/>
      <c r="K53" s="18"/>
    </row>
    <row r="54" spans="1:11" ht="12.75">
      <c r="A54" s="1" t="s">
        <v>76</v>
      </c>
      <c r="B54" s="18">
        <v>0</v>
      </c>
      <c r="C54" s="18">
        <v>0</v>
      </c>
      <c r="D54" s="18">
        <v>0</v>
      </c>
      <c r="E54" s="18">
        <v>0</v>
      </c>
      <c r="F54" s="18">
        <v>0</v>
      </c>
      <c r="G54" s="18">
        <v>0</v>
      </c>
      <c r="H54" s="18">
        <v>0</v>
      </c>
      <c r="I54" s="18">
        <f t="shared" si="1"/>
        <v>0</v>
      </c>
      <c r="J54" s="18"/>
      <c r="K54" s="18"/>
    </row>
    <row r="55" spans="1:11" ht="12.75">
      <c r="A55" s="1" t="s">
        <v>77</v>
      </c>
      <c r="B55" s="18">
        <v>0</v>
      </c>
      <c r="C55" s="18">
        <v>0</v>
      </c>
      <c r="D55" s="18">
        <v>0</v>
      </c>
      <c r="E55" s="18">
        <v>0</v>
      </c>
      <c r="F55" s="18">
        <v>0</v>
      </c>
      <c r="G55" s="18">
        <v>0</v>
      </c>
      <c r="H55" s="18">
        <v>0</v>
      </c>
      <c r="I55" s="18">
        <f t="shared" si="1"/>
        <v>0</v>
      </c>
      <c r="J55" s="18"/>
      <c r="K55" s="18"/>
    </row>
    <row r="56" spans="1:11" ht="12.75">
      <c r="A56" s="1" t="s">
        <v>78</v>
      </c>
      <c r="B56" s="18">
        <v>0</v>
      </c>
      <c r="C56" s="18">
        <v>0</v>
      </c>
      <c r="D56" s="18">
        <v>0</v>
      </c>
      <c r="E56" s="18">
        <v>0</v>
      </c>
      <c r="F56" s="18">
        <v>0</v>
      </c>
      <c r="G56" s="18">
        <v>0</v>
      </c>
      <c r="H56" s="18">
        <v>0</v>
      </c>
      <c r="I56" s="18">
        <f t="shared" si="1"/>
        <v>0</v>
      </c>
      <c r="J56" s="18"/>
      <c r="K56" s="18"/>
    </row>
    <row r="57" spans="1:11" ht="12.75">
      <c r="A57" s="1" t="s">
        <v>102</v>
      </c>
      <c r="B57" s="18">
        <v>1327045</v>
      </c>
      <c r="C57" s="18">
        <v>0</v>
      </c>
      <c r="D57" s="18">
        <v>0</v>
      </c>
      <c r="E57" s="18">
        <v>203355</v>
      </c>
      <c r="F57" s="18">
        <v>58631</v>
      </c>
      <c r="G57" s="18">
        <v>0</v>
      </c>
      <c r="H57" s="30">
        <v>444543</v>
      </c>
      <c r="I57" s="18">
        <f t="shared" si="1"/>
        <v>2033574</v>
      </c>
      <c r="J57" s="18"/>
      <c r="K57" s="18"/>
    </row>
    <row r="58" spans="1:12" ht="12.75">
      <c r="A58" s="1" t="s">
        <v>80</v>
      </c>
      <c r="B58" s="18">
        <v>0</v>
      </c>
      <c r="C58" s="18">
        <v>0</v>
      </c>
      <c r="D58" s="18">
        <v>0</v>
      </c>
      <c r="E58" s="18">
        <v>0</v>
      </c>
      <c r="F58" s="18">
        <v>0</v>
      </c>
      <c r="G58" s="18">
        <v>0</v>
      </c>
      <c r="H58" s="18">
        <v>0</v>
      </c>
      <c r="I58" s="18">
        <f t="shared" si="1"/>
        <v>0</v>
      </c>
      <c r="J58" s="18"/>
      <c r="K58" s="18"/>
      <c r="L58" s="33"/>
    </row>
    <row r="59" spans="1:11" ht="12.75">
      <c r="A59" s="1" t="s">
        <v>103</v>
      </c>
      <c r="B59" s="18">
        <v>0</v>
      </c>
      <c r="C59" s="18">
        <v>269084</v>
      </c>
      <c r="D59" s="18">
        <v>0</v>
      </c>
      <c r="E59" s="18">
        <v>295452</v>
      </c>
      <c r="F59" s="18">
        <v>0</v>
      </c>
      <c r="G59" s="18">
        <v>0</v>
      </c>
      <c r="H59" s="18">
        <v>275057</v>
      </c>
      <c r="I59" s="18">
        <f t="shared" si="1"/>
        <v>839593</v>
      </c>
      <c r="J59" s="18"/>
      <c r="K59" s="18"/>
    </row>
    <row r="60" spans="1:11" ht="13.5" thickBot="1">
      <c r="A60" s="31" t="s">
        <v>104</v>
      </c>
      <c r="B60" s="18">
        <v>0</v>
      </c>
      <c r="C60" s="18">
        <v>0</v>
      </c>
      <c r="D60" s="18">
        <v>777626</v>
      </c>
      <c r="E60" s="18">
        <v>0</v>
      </c>
      <c r="F60" s="18">
        <v>0</v>
      </c>
      <c r="G60" s="18">
        <v>0</v>
      </c>
      <c r="H60" s="18">
        <v>0</v>
      </c>
      <c r="I60" s="18">
        <f t="shared" si="1"/>
        <v>777626</v>
      </c>
      <c r="J60" s="18"/>
      <c r="K60" s="18"/>
    </row>
    <row r="61" spans="1:11" ht="12.75">
      <c r="A61" s="1"/>
      <c r="C61" s="18"/>
      <c r="D61" s="18"/>
      <c r="E61" s="18"/>
      <c r="F61" s="18"/>
      <c r="G61" s="18"/>
      <c r="H61" s="18"/>
      <c r="I61" s="18"/>
      <c r="J61" s="18"/>
      <c r="K61" s="18"/>
    </row>
    <row r="62" spans="1:11" ht="13.5" thickBot="1">
      <c r="A62" s="32" t="s">
        <v>105</v>
      </c>
      <c r="B62" s="18">
        <f>SUM(B10:B60)</f>
        <v>49036425</v>
      </c>
      <c r="C62" s="18">
        <f aca="true" t="shared" si="2" ref="C62:I62">SUM(C10:C60)</f>
        <v>313056</v>
      </c>
      <c r="D62" s="18">
        <f t="shared" si="2"/>
        <v>89735499</v>
      </c>
      <c r="E62" s="18">
        <f t="shared" si="2"/>
        <v>2502764</v>
      </c>
      <c r="F62" s="18">
        <f t="shared" si="2"/>
        <v>206623</v>
      </c>
      <c r="G62" s="18">
        <f t="shared" si="2"/>
        <v>0</v>
      </c>
      <c r="H62" s="18">
        <f t="shared" si="2"/>
        <v>17743471</v>
      </c>
      <c r="I62" s="18">
        <f t="shared" si="2"/>
        <v>159537838</v>
      </c>
      <c r="J62" s="18"/>
      <c r="K62" s="18"/>
    </row>
    <row r="63" spans="1:11" ht="13.5" thickTop="1">
      <c r="A63" s="43"/>
      <c r="B63" s="18"/>
      <c r="C63" s="18"/>
      <c r="D63" s="18"/>
      <c r="E63" s="18"/>
      <c r="F63" s="18"/>
      <c r="G63" s="18"/>
      <c r="H63" s="18"/>
      <c r="I63" s="18"/>
      <c r="J63" s="18"/>
      <c r="K63" s="18"/>
    </row>
    <row r="64" spans="1:11" ht="12.75">
      <c r="A64" s="43" t="s">
        <v>106</v>
      </c>
      <c r="B64" s="36">
        <f>B62/I62</f>
        <v>0.30736548529634705</v>
      </c>
      <c r="C64" s="36">
        <f>C62/I62</f>
        <v>0.001962268035749613</v>
      </c>
      <c r="D64" s="36">
        <f>D62/I62</f>
        <v>0.5624715749250657</v>
      </c>
      <c r="E64" s="36">
        <f>E62/I62</f>
        <v>0.015687588796333068</v>
      </c>
      <c r="F64" s="36">
        <f>F62/I62</f>
        <v>0.0012951347629519712</v>
      </c>
      <c r="G64" s="36">
        <f>G62/I62</f>
        <v>0</v>
      </c>
      <c r="H64" s="36">
        <f>H62/I62</f>
        <v>0.11121794818355255</v>
      </c>
      <c r="I64" s="18"/>
      <c r="J64" s="18"/>
      <c r="K64" s="18"/>
    </row>
    <row r="65" spans="2:11" ht="12.75">
      <c r="B65" s="18"/>
      <c r="C65" s="18"/>
      <c r="D65" s="18"/>
      <c r="E65" s="18"/>
      <c r="F65" s="18"/>
      <c r="G65" s="18"/>
      <c r="H65" s="18"/>
      <c r="I65" s="18"/>
      <c r="J65" s="18"/>
      <c r="K65" s="18"/>
    </row>
    <row r="66" spans="1:11" ht="12.75">
      <c r="A66" t="s">
        <v>85</v>
      </c>
      <c r="B66" s="18"/>
      <c r="C66" s="18"/>
      <c r="D66" s="18"/>
      <c r="E66" s="18"/>
      <c r="F66" s="18"/>
      <c r="G66" s="18"/>
      <c r="H66" s="18"/>
      <c r="I66" s="18"/>
      <c r="J66" s="18"/>
      <c r="K66" s="18"/>
    </row>
    <row r="67" spans="2:11" ht="12.75">
      <c r="B67" s="18"/>
      <c r="C67" s="18"/>
      <c r="D67" s="18"/>
      <c r="E67" s="18"/>
      <c r="F67" s="18"/>
      <c r="G67" s="18"/>
      <c r="H67" s="18"/>
      <c r="I67" s="18"/>
      <c r="J67" s="18"/>
      <c r="K67" s="18"/>
    </row>
    <row r="68" spans="1:11" ht="12.75">
      <c r="A68" t="s">
        <v>111</v>
      </c>
      <c r="B68" s="18"/>
      <c r="C68" s="18"/>
      <c r="D68" s="18"/>
      <c r="E68" s="18"/>
      <c r="F68" s="18"/>
      <c r="G68" s="18"/>
      <c r="H68" s="18"/>
      <c r="I68" s="18"/>
      <c r="J68" s="18"/>
      <c r="K68" s="18"/>
    </row>
    <row r="69" spans="1:11" ht="12.75">
      <c r="A69" t="s">
        <v>246</v>
      </c>
      <c r="B69" s="18"/>
      <c r="C69" s="18"/>
      <c r="D69" s="18"/>
      <c r="E69" s="18"/>
      <c r="F69" s="18"/>
      <c r="G69" s="18"/>
      <c r="H69" s="18"/>
      <c r="I69" s="18"/>
      <c r="J69" s="18"/>
      <c r="K69" s="18"/>
    </row>
    <row r="70" spans="1:11" ht="12.75">
      <c r="A70" t="s">
        <v>112</v>
      </c>
      <c r="B70" s="18"/>
      <c r="C70" s="18"/>
      <c r="D70" s="18"/>
      <c r="E70" s="18"/>
      <c r="F70" s="18"/>
      <c r="G70" s="18"/>
      <c r="H70" s="18"/>
      <c r="I70" s="18"/>
      <c r="J70" s="18"/>
      <c r="K70" s="18"/>
    </row>
    <row r="71" spans="1:11" ht="12.75">
      <c r="A71" t="s">
        <v>113</v>
      </c>
      <c r="B71" s="18"/>
      <c r="C71" s="18"/>
      <c r="D71" s="18"/>
      <c r="E71" s="18"/>
      <c r="F71" s="18"/>
      <c r="G71" s="18"/>
      <c r="H71" s="18"/>
      <c r="I71" s="18"/>
      <c r="J71" s="18"/>
      <c r="K71" s="18"/>
    </row>
    <row r="72" spans="2:11" ht="12.75">
      <c r="B72" s="18"/>
      <c r="C72" s="18"/>
      <c r="D72" s="18"/>
      <c r="E72" s="18"/>
      <c r="F72" s="18"/>
      <c r="G72" s="18"/>
      <c r="H72" s="18"/>
      <c r="I72" s="18"/>
      <c r="J72" s="18"/>
      <c r="K72" s="18"/>
    </row>
    <row r="73" spans="1:11" ht="12.75">
      <c r="A73" s="1" t="s">
        <v>108</v>
      </c>
      <c r="B73" s="18"/>
      <c r="C73" s="18"/>
      <c r="D73" s="18"/>
      <c r="E73" s="18"/>
      <c r="F73" s="18"/>
      <c r="G73" s="18"/>
      <c r="H73" s="18"/>
      <c r="I73" s="18"/>
      <c r="J73" s="18"/>
      <c r="K73" s="18"/>
    </row>
    <row r="74" spans="1:11" ht="12.75">
      <c r="A74" t="s">
        <v>114</v>
      </c>
      <c r="B74" s="18"/>
      <c r="C74" s="18"/>
      <c r="D74" s="18"/>
      <c r="E74" s="18"/>
      <c r="F74" s="18"/>
      <c r="G74" s="18"/>
      <c r="H74" s="18"/>
      <c r="I74" s="18"/>
      <c r="J74" s="18"/>
      <c r="K74" s="18"/>
    </row>
    <row r="75" spans="2:11" ht="12.75">
      <c r="B75" s="18"/>
      <c r="C75" s="18"/>
      <c r="D75" s="18"/>
      <c r="E75" s="18"/>
      <c r="F75" s="18"/>
      <c r="G75" s="18"/>
      <c r="H75" s="18"/>
      <c r="I75" s="18"/>
      <c r="J75" s="18"/>
      <c r="K75" s="18"/>
    </row>
    <row r="76" spans="2:11" ht="12.75">
      <c r="B76" s="18"/>
      <c r="C76" s="18"/>
      <c r="D76" s="18"/>
      <c r="E76" s="18"/>
      <c r="F76" s="18"/>
      <c r="G76" s="18"/>
      <c r="H76" s="18"/>
      <c r="I76" s="18"/>
      <c r="J76" s="18"/>
      <c r="K76" s="18"/>
    </row>
    <row r="77" spans="2:11" ht="12.75">
      <c r="B77" s="18"/>
      <c r="C77" s="18"/>
      <c r="D77" s="18"/>
      <c r="E77" s="18"/>
      <c r="F77" s="18"/>
      <c r="G77" s="18"/>
      <c r="H77" s="18"/>
      <c r="I77" s="18"/>
      <c r="J77" s="18"/>
      <c r="K77" s="18"/>
    </row>
    <row r="78" spans="2:11" ht="12.75">
      <c r="B78" s="18"/>
      <c r="C78" s="18"/>
      <c r="D78" s="18"/>
      <c r="E78" s="18"/>
      <c r="F78" s="18"/>
      <c r="G78" s="18"/>
      <c r="H78" s="18"/>
      <c r="I78" s="18"/>
      <c r="J78" s="18"/>
      <c r="K78" s="18"/>
    </row>
    <row r="79" spans="2:11" ht="12.75">
      <c r="B79" s="18"/>
      <c r="C79" s="18"/>
      <c r="D79" s="18"/>
      <c r="E79" s="18"/>
      <c r="F79" s="18"/>
      <c r="G79" s="18"/>
      <c r="H79" s="18"/>
      <c r="I79" s="18"/>
      <c r="J79" s="18"/>
      <c r="K79" s="18"/>
    </row>
    <row r="80" spans="2:11" ht="12.75">
      <c r="B80" s="18"/>
      <c r="C80" s="18"/>
      <c r="D80" s="18"/>
      <c r="E80" s="18"/>
      <c r="F80" s="18"/>
      <c r="G80" s="18"/>
      <c r="H80" s="18"/>
      <c r="I80" s="18"/>
      <c r="J80" s="18"/>
      <c r="K80" s="18"/>
    </row>
    <row r="81" spans="2:11" ht="12.75">
      <c r="B81" s="18"/>
      <c r="C81" s="18"/>
      <c r="D81" s="18"/>
      <c r="E81" s="18"/>
      <c r="F81" s="18"/>
      <c r="G81" s="18"/>
      <c r="H81" s="18"/>
      <c r="I81" s="18"/>
      <c r="J81" s="18"/>
      <c r="K81" s="18"/>
    </row>
    <row r="82" spans="2:11" ht="12.75">
      <c r="B82" s="18"/>
      <c r="C82" s="18"/>
      <c r="D82" s="18"/>
      <c r="E82" s="18"/>
      <c r="F82" s="18"/>
      <c r="G82" s="18"/>
      <c r="H82" s="18"/>
      <c r="I82" s="18"/>
      <c r="J82" s="18"/>
      <c r="K82" s="18"/>
    </row>
    <row r="83" spans="2:11" ht="12.75">
      <c r="B83" s="18"/>
      <c r="C83" s="18"/>
      <c r="D83" s="18"/>
      <c r="E83" s="18"/>
      <c r="F83" s="18"/>
      <c r="G83" s="18"/>
      <c r="H83" s="18"/>
      <c r="I83" s="18"/>
      <c r="J83" s="18"/>
      <c r="K83" s="18"/>
    </row>
    <row r="84" spans="2:11" ht="12.75">
      <c r="B84" s="18"/>
      <c r="C84" s="18"/>
      <c r="D84" s="18"/>
      <c r="E84" s="18"/>
      <c r="F84" s="18"/>
      <c r="G84" s="18"/>
      <c r="H84" s="18"/>
      <c r="I84" s="18"/>
      <c r="J84" s="18"/>
      <c r="K84" s="18"/>
    </row>
    <row r="85" spans="2:11" ht="12.75">
      <c r="B85" s="18"/>
      <c r="C85" s="18"/>
      <c r="D85" s="18"/>
      <c r="E85" s="18"/>
      <c r="F85" s="18"/>
      <c r="G85" s="18"/>
      <c r="H85" s="18"/>
      <c r="I85" s="18"/>
      <c r="J85" s="18"/>
      <c r="K85" s="18"/>
    </row>
    <row r="86" spans="2:11" ht="12.75">
      <c r="B86" s="18"/>
      <c r="C86" s="18"/>
      <c r="D86" s="18"/>
      <c r="E86" s="18"/>
      <c r="F86" s="18"/>
      <c r="G86" s="18"/>
      <c r="H86" s="18"/>
      <c r="I86" s="18"/>
      <c r="J86" s="18"/>
      <c r="K86" s="18"/>
    </row>
    <row r="87" spans="2:11" ht="12.75">
      <c r="B87" s="18"/>
      <c r="C87" s="18"/>
      <c r="D87" s="18"/>
      <c r="E87" s="18"/>
      <c r="F87" s="18"/>
      <c r="G87" s="18"/>
      <c r="H87" s="18"/>
      <c r="I87" s="18"/>
      <c r="J87" s="18"/>
      <c r="K87" s="18"/>
    </row>
    <row r="88" spans="2:11" ht="12.75">
      <c r="B88" s="18"/>
      <c r="C88" s="18"/>
      <c r="D88" s="18"/>
      <c r="E88" s="18"/>
      <c r="F88" s="18"/>
      <c r="G88" s="18"/>
      <c r="H88" s="18"/>
      <c r="I88" s="18"/>
      <c r="J88" s="18"/>
      <c r="K88" s="18"/>
    </row>
    <row r="89" spans="2:11" ht="12.75">
      <c r="B89" s="18"/>
      <c r="C89" s="18"/>
      <c r="D89" s="18"/>
      <c r="E89" s="18"/>
      <c r="F89" s="18"/>
      <c r="G89" s="18"/>
      <c r="H89" s="18"/>
      <c r="I89" s="18"/>
      <c r="J89" s="18"/>
      <c r="K89" s="18"/>
    </row>
    <row r="90" spans="2:11" ht="12.75">
      <c r="B90" s="18"/>
      <c r="C90" s="18"/>
      <c r="D90" s="18"/>
      <c r="E90" s="18"/>
      <c r="F90" s="18"/>
      <c r="G90" s="18"/>
      <c r="H90" s="18"/>
      <c r="I90" s="18"/>
      <c r="J90" s="18"/>
      <c r="K90" s="18"/>
    </row>
    <row r="91" spans="2:11" ht="12.75">
      <c r="B91" s="18"/>
      <c r="C91" s="18"/>
      <c r="D91" s="18"/>
      <c r="E91" s="18"/>
      <c r="F91" s="18"/>
      <c r="G91" s="18"/>
      <c r="H91" s="18"/>
      <c r="I91" s="18"/>
      <c r="J91" s="18"/>
      <c r="K91" s="18"/>
    </row>
    <row r="92" spans="2:11" ht="12.75">
      <c r="B92" s="18"/>
      <c r="C92" s="18"/>
      <c r="D92" s="18"/>
      <c r="E92" s="18"/>
      <c r="F92" s="18"/>
      <c r="G92" s="18"/>
      <c r="H92" s="18"/>
      <c r="I92" s="18"/>
      <c r="J92" s="18"/>
      <c r="K92" s="18"/>
    </row>
    <row r="93" spans="2:11" ht="12.75">
      <c r="B93" s="18"/>
      <c r="C93" s="18"/>
      <c r="D93" s="18"/>
      <c r="E93" s="18"/>
      <c r="F93" s="18"/>
      <c r="G93" s="18"/>
      <c r="H93" s="18"/>
      <c r="I93" s="18"/>
      <c r="J93" s="18"/>
      <c r="K93" s="18"/>
    </row>
    <row r="94" spans="2:11" ht="12.75">
      <c r="B94" s="18"/>
      <c r="C94" s="18"/>
      <c r="D94" s="18"/>
      <c r="E94" s="18"/>
      <c r="F94" s="18"/>
      <c r="G94" s="18"/>
      <c r="H94" s="18"/>
      <c r="I94" s="18"/>
      <c r="J94" s="18"/>
      <c r="K94" s="18"/>
    </row>
    <row r="95" spans="2:11" ht="12.75">
      <c r="B95" s="18"/>
      <c r="C95" s="18"/>
      <c r="D95" s="18"/>
      <c r="E95" s="18"/>
      <c r="F95" s="18"/>
      <c r="G95" s="18"/>
      <c r="H95" s="18"/>
      <c r="I95" s="18"/>
      <c r="J95" s="18"/>
      <c r="K95" s="18"/>
    </row>
    <row r="96" spans="2:11" ht="12.75">
      <c r="B96" s="18"/>
      <c r="C96" s="18"/>
      <c r="D96" s="18"/>
      <c r="E96" s="18"/>
      <c r="F96" s="18"/>
      <c r="G96" s="18"/>
      <c r="H96" s="18"/>
      <c r="I96" s="18"/>
      <c r="J96" s="18"/>
      <c r="K96" s="18"/>
    </row>
    <row r="97" spans="2:11" ht="12.75">
      <c r="B97" s="18"/>
      <c r="C97" s="18"/>
      <c r="D97" s="18"/>
      <c r="E97" s="18"/>
      <c r="F97" s="18"/>
      <c r="G97" s="18"/>
      <c r="H97" s="18"/>
      <c r="I97" s="18"/>
      <c r="J97" s="18"/>
      <c r="K97" s="18"/>
    </row>
    <row r="98" spans="2:11" ht="12.75">
      <c r="B98" s="18"/>
      <c r="C98" s="18"/>
      <c r="D98" s="18"/>
      <c r="E98" s="18"/>
      <c r="F98" s="18"/>
      <c r="G98" s="18"/>
      <c r="H98" s="18"/>
      <c r="I98" s="18"/>
      <c r="J98" s="18"/>
      <c r="K98" s="18"/>
    </row>
    <row r="99" spans="2:11" ht="12.75">
      <c r="B99" s="18"/>
      <c r="C99" s="18"/>
      <c r="D99" s="18"/>
      <c r="E99" s="18"/>
      <c r="F99" s="18"/>
      <c r="G99" s="18"/>
      <c r="H99" s="18"/>
      <c r="I99" s="18"/>
      <c r="J99" s="18"/>
      <c r="K99" s="18"/>
    </row>
    <row r="100" spans="2:11" ht="12.75">
      <c r="B100" s="18"/>
      <c r="C100" s="18"/>
      <c r="D100" s="18"/>
      <c r="E100" s="18"/>
      <c r="F100" s="18"/>
      <c r="G100" s="18"/>
      <c r="H100" s="18"/>
      <c r="I100" s="18"/>
      <c r="J100" s="18"/>
      <c r="K100" s="18"/>
    </row>
    <row r="101" spans="2:11" ht="12.75">
      <c r="B101" s="18"/>
      <c r="C101" s="18"/>
      <c r="D101" s="18"/>
      <c r="E101" s="18"/>
      <c r="F101" s="18"/>
      <c r="G101" s="18"/>
      <c r="H101" s="18"/>
      <c r="I101" s="18"/>
      <c r="J101" s="18"/>
      <c r="K101" s="18"/>
    </row>
    <row r="102" spans="2:11" ht="12.75">
      <c r="B102" s="18"/>
      <c r="C102" s="18"/>
      <c r="D102" s="18"/>
      <c r="E102" s="18"/>
      <c r="F102" s="18"/>
      <c r="G102" s="18"/>
      <c r="H102" s="18"/>
      <c r="I102" s="18"/>
      <c r="J102" s="18"/>
      <c r="K102" s="18"/>
    </row>
    <row r="103" spans="2:11" ht="12.75">
      <c r="B103" s="18"/>
      <c r="C103" s="18"/>
      <c r="D103" s="18"/>
      <c r="E103" s="18"/>
      <c r="F103" s="18"/>
      <c r="G103" s="18"/>
      <c r="H103" s="18"/>
      <c r="I103" s="18"/>
      <c r="J103" s="18"/>
      <c r="K103" s="18"/>
    </row>
    <row r="104" spans="2:11" ht="12.75">
      <c r="B104" s="18"/>
      <c r="C104" s="18"/>
      <c r="D104" s="18"/>
      <c r="E104" s="18"/>
      <c r="F104" s="18"/>
      <c r="G104" s="18"/>
      <c r="H104" s="18"/>
      <c r="I104" s="18"/>
      <c r="J104" s="18"/>
      <c r="K104" s="18"/>
    </row>
    <row r="105" spans="2:11" ht="12.75">
      <c r="B105" s="18"/>
      <c r="C105" s="18"/>
      <c r="D105" s="18"/>
      <c r="E105" s="18"/>
      <c r="F105" s="18"/>
      <c r="G105" s="18"/>
      <c r="H105" s="18"/>
      <c r="I105" s="18"/>
      <c r="J105" s="18"/>
      <c r="K105" s="18"/>
    </row>
    <row r="106" spans="2:11" ht="12.75">
      <c r="B106" s="18"/>
      <c r="C106" s="18"/>
      <c r="D106" s="18"/>
      <c r="E106" s="18"/>
      <c r="F106" s="18"/>
      <c r="G106" s="18"/>
      <c r="H106" s="18"/>
      <c r="I106" s="18"/>
      <c r="J106" s="18"/>
      <c r="K106" s="18"/>
    </row>
    <row r="107" spans="2:11" ht="12.75">
      <c r="B107" s="18"/>
      <c r="C107" s="18"/>
      <c r="D107" s="18"/>
      <c r="E107" s="18"/>
      <c r="F107" s="18"/>
      <c r="G107" s="18"/>
      <c r="H107" s="18"/>
      <c r="I107" s="18"/>
      <c r="J107" s="18"/>
      <c r="K107" s="18"/>
    </row>
    <row r="108" spans="2:11" ht="12.75">
      <c r="B108" s="18"/>
      <c r="C108" s="18"/>
      <c r="D108" s="18"/>
      <c r="E108" s="18"/>
      <c r="F108" s="18"/>
      <c r="G108" s="18"/>
      <c r="H108" s="18"/>
      <c r="I108" s="18"/>
      <c r="J108" s="18"/>
      <c r="K108" s="18"/>
    </row>
    <row r="109" spans="2:11" ht="12.75">
      <c r="B109" s="18"/>
      <c r="C109" s="18"/>
      <c r="D109" s="18"/>
      <c r="E109" s="18"/>
      <c r="F109" s="18"/>
      <c r="G109" s="18"/>
      <c r="H109" s="18"/>
      <c r="I109" s="18"/>
      <c r="J109" s="18"/>
      <c r="K109" s="18"/>
    </row>
    <row r="110" spans="2:11" ht="12.75">
      <c r="B110" s="18"/>
      <c r="C110" s="18"/>
      <c r="D110" s="18"/>
      <c r="E110" s="18"/>
      <c r="F110" s="18"/>
      <c r="G110" s="18"/>
      <c r="H110" s="18"/>
      <c r="I110" s="18"/>
      <c r="J110" s="18"/>
      <c r="K110" s="18"/>
    </row>
    <row r="111" spans="2:11" ht="12.75">
      <c r="B111" s="18"/>
      <c r="C111" s="18"/>
      <c r="D111" s="18"/>
      <c r="E111" s="18"/>
      <c r="F111" s="18"/>
      <c r="G111" s="18"/>
      <c r="H111" s="18"/>
      <c r="I111" s="18"/>
      <c r="J111" s="18"/>
      <c r="K111" s="18"/>
    </row>
    <row r="112" spans="2:11" ht="12.75">
      <c r="B112" s="18"/>
      <c r="C112" s="18"/>
      <c r="D112" s="18"/>
      <c r="E112" s="18"/>
      <c r="F112" s="18"/>
      <c r="G112" s="18"/>
      <c r="H112" s="18"/>
      <c r="I112" s="18"/>
      <c r="J112" s="18"/>
      <c r="K112" s="18"/>
    </row>
    <row r="113" spans="2:11" ht="12.75">
      <c r="B113" s="18"/>
      <c r="C113" s="18"/>
      <c r="D113" s="18"/>
      <c r="E113" s="18"/>
      <c r="F113" s="18"/>
      <c r="G113" s="18"/>
      <c r="H113" s="18"/>
      <c r="I113" s="18"/>
      <c r="J113" s="18"/>
      <c r="K113" s="18"/>
    </row>
    <row r="114" spans="2:11" ht="12.75">
      <c r="B114" s="18"/>
      <c r="C114" s="18"/>
      <c r="D114" s="18"/>
      <c r="E114" s="18"/>
      <c r="F114" s="18"/>
      <c r="G114" s="18"/>
      <c r="H114" s="18"/>
      <c r="I114" s="18"/>
      <c r="J114" s="18"/>
      <c r="K114" s="18"/>
    </row>
    <row r="115" spans="2:11" ht="12.75">
      <c r="B115" s="18"/>
      <c r="C115" s="18"/>
      <c r="D115" s="18"/>
      <c r="E115" s="18"/>
      <c r="F115" s="18"/>
      <c r="G115" s="18"/>
      <c r="H115" s="18"/>
      <c r="I115" s="18"/>
      <c r="J115" s="18"/>
      <c r="K115" s="18"/>
    </row>
    <row r="116" spans="2:11" ht="12.75">
      <c r="B116" s="18"/>
      <c r="C116" s="18"/>
      <c r="D116" s="18"/>
      <c r="E116" s="18"/>
      <c r="F116" s="18"/>
      <c r="G116" s="18"/>
      <c r="H116" s="18"/>
      <c r="I116" s="18"/>
      <c r="J116" s="18"/>
      <c r="K116" s="18"/>
    </row>
    <row r="117" spans="2:11" ht="12.75">
      <c r="B117" s="18"/>
      <c r="C117" s="18"/>
      <c r="D117" s="18"/>
      <c r="E117" s="18"/>
      <c r="F117" s="18"/>
      <c r="G117" s="18"/>
      <c r="H117" s="18"/>
      <c r="I117" s="18"/>
      <c r="J117" s="18"/>
      <c r="K117" s="18"/>
    </row>
    <row r="118" spans="2:11" ht="12.75">
      <c r="B118" s="18"/>
      <c r="C118" s="18"/>
      <c r="D118" s="18"/>
      <c r="E118" s="18"/>
      <c r="F118" s="18"/>
      <c r="G118" s="18"/>
      <c r="H118" s="18"/>
      <c r="I118" s="18"/>
      <c r="J118" s="18"/>
      <c r="K118" s="18"/>
    </row>
    <row r="119" spans="2:11" ht="12.75">
      <c r="B119" s="18"/>
      <c r="C119" s="18"/>
      <c r="D119" s="18"/>
      <c r="E119" s="18"/>
      <c r="F119" s="18"/>
      <c r="G119" s="18"/>
      <c r="H119" s="18"/>
      <c r="I119" s="18"/>
      <c r="J119" s="18"/>
      <c r="K119" s="18"/>
    </row>
    <row r="120" spans="2:11" ht="12.75">
      <c r="B120" s="18"/>
      <c r="C120" s="18"/>
      <c r="D120" s="18"/>
      <c r="E120" s="18"/>
      <c r="F120" s="18"/>
      <c r="G120" s="18"/>
      <c r="H120" s="18"/>
      <c r="I120" s="18"/>
      <c r="J120" s="18"/>
      <c r="K120" s="18"/>
    </row>
    <row r="121" spans="2:11" ht="12.75">
      <c r="B121" s="18"/>
      <c r="C121" s="18"/>
      <c r="D121" s="18"/>
      <c r="E121" s="18"/>
      <c r="F121" s="18"/>
      <c r="G121" s="18"/>
      <c r="H121" s="18"/>
      <c r="I121" s="18"/>
      <c r="J121" s="18"/>
      <c r="K121" s="18"/>
    </row>
    <row r="122" spans="2:11" ht="12.75">
      <c r="B122" s="18"/>
      <c r="C122" s="18"/>
      <c r="D122" s="18"/>
      <c r="E122" s="18"/>
      <c r="F122" s="18"/>
      <c r="G122" s="18"/>
      <c r="H122" s="18"/>
      <c r="I122" s="18"/>
      <c r="J122" s="18"/>
      <c r="K122" s="18"/>
    </row>
    <row r="123" spans="2:11" ht="12.75">
      <c r="B123" s="18"/>
      <c r="C123" s="18"/>
      <c r="D123" s="18"/>
      <c r="E123" s="18"/>
      <c r="F123" s="18"/>
      <c r="G123" s="18"/>
      <c r="H123" s="18"/>
      <c r="I123" s="18"/>
      <c r="J123" s="18"/>
      <c r="K123" s="18"/>
    </row>
    <row r="124" spans="2:11" ht="12.75">
      <c r="B124" s="18"/>
      <c r="C124" s="18"/>
      <c r="D124" s="18"/>
      <c r="E124" s="18"/>
      <c r="F124" s="18"/>
      <c r="G124" s="18"/>
      <c r="H124" s="18"/>
      <c r="I124" s="18"/>
      <c r="J124" s="18"/>
      <c r="K124" s="18"/>
    </row>
    <row r="125" spans="2:11" ht="12.75">
      <c r="B125" s="18"/>
      <c r="C125" s="18"/>
      <c r="D125" s="18"/>
      <c r="E125" s="18"/>
      <c r="F125" s="18"/>
      <c r="G125" s="18"/>
      <c r="H125" s="18"/>
      <c r="I125" s="18"/>
      <c r="J125" s="18"/>
      <c r="K125" s="18"/>
    </row>
    <row r="126" spans="2:11" ht="12.75">
      <c r="B126" s="18"/>
      <c r="C126" s="18"/>
      <c r="D126" s="18"/>
      <c r="E126" s="18"/>
      <c r="F126" s="18"/>
      <c r="G126" s="18"/>
      <c r="H126" s="18"/>
      <c r="I126" s="18"/>
      <c r="J126" s="18"/>
      <c r="K126" s="18"/>
    </row>
    <row r="127" spans="2:11" ht="12.75">
      <c r="B127" s="18"/>
      <c r="C127" s="18"/>
      <c r="D127" s="18"/>
      <c r="E127" s="18"/>
      <c r="F127" s="18"/>
      <c r="G127" s="18"/>
      <c r="H127" s="18"/>
      <c r="I127" s="18"/>
      <c r="J127" s="18"/>
      <c r="K127" s="18"/>
    </row>
    <row r="128" spans="2:11" ht="12.75">
      <c r="B128" s="18"/>
      <c r="C128" s="18"/>
      <c r="D128" s="18"/>
      <c r="E128" s="18"/>
      <c r="F128" s="18"/>
      <c r="G128" s="18"/>
      <c r="H128" s="18"/>
      <c r="I128" s="18"/>
      <c r="J128" s="18"/>
      <c r="K128" s="18"/>
    </row>
    <row r="129" spans="2:11" ht="12.75">
      <c r="B129" s="18"/>
      <c r="C129" s="18"/>
      <c r="D129" s="18"/>
      <c r="E129" s="18"/>
      <c r="F129" s="18"/>
      <c r="G129" s="18"/>
      <c r="H129" s="18"/>
      <c r="I129" s="18"/>
      <c r="J129" s="18"/>
      <c r="K129" s="18"/>
    </row>
    <row r="130" spans="2:11" ht="12.75">
      <c r="B130" s="18"/>
      <c r="C130" s="18"/>
      <c r="D130" s="18"/>
      <c r="E130" s="18"/>
      <c r="F130" s="18"/>
      <c r="G130" s="18"/>
      <c r="H130" s="18"/>
      <c r="I130" s="18"/>
      <c r="J130" s="18"/>
      <c r="K130" s="18"/>
    </row>
    <row r="131" spans="2:11" ht="12.75">
      <c r="B131" s="18"/>
      <c r="C131" s="18"/>
      <c r="D131" s="18"/>
      <c r="E131" s="18"/>
      <c r="F131" s="18"/>
      <c r="G131" s="18"/>
      <c r="H131" s="18"/>
      <c r="I131" s="18"/>
      <c r="J131" s="18"/>
      <c r="K131" s="18"/>
    </row>
    <row r="132" spans="2:11" ht="12.75">
      <c r="B132" s="18"/>
      <c r="C132" s="18"/>
      <c r="D132" s="18"/>
      <c r="E132" s="18"/>
      <c r="F132" s="18"/>
      <c r="G132" s="18"/>
      <c r="H132" s="18"/>
      <c r="I132" s="18"/>
      <c r="J132" s="18"/>
      <c r="K132" s="18"/>
    </row>
    <row r="133" spans="2:11" ht="12.75">
      <c r="B133" s="18"/>
      <c r="C133" s="18"/>
      <c r="D133" s="18"/>
      <c r="E133" s="18"/>
      <c r="F133" s="18"/>
      <c r="G133" s="18"/>
      <c r="H133" s="18"/>
      <c r="I133" s="18"/>
      <c r="J133" s="18"/>
      <c r="K133" s="18"/>
    </row>
    <row r="134" spans="2:11" ht="12.75">
      <c r="B134" s="18"/>
      <c r="C134" s="18"/>
      <c r="D134" s="18"/>
      <c r="E134" s="18"/>
      <c r="F134" s="18"/>
      <c r="G134" s="18"/>
      <c r="H134" s="18"/>
      <c r="I134" s="18"/>
      <c r="J134" s="18"/>
      <c r="K134" s="18"/>
    </row>
    <row r="135" spans="2:11" ht="12.75">
      <c r="B135" s="18"/>
      <c r="C135" s="18"/>
      <c r="D135" s="18"/>
      <c r="E135" s="18"/>
      <c r="F135" s="18"/>
      <c r="G135" s="18"/>
      <c r="H135" s="18"/>
      <c r="I135" s="18"/>
      <c r="J135" s="18"/>
      <c r="K135" s="18"/>
    </row>
    <row r="136" spans="2:11" ht="12.75">
      <c r="B136" s="18"/>
      <c r="C136" s="18"/>
      <c r="D136" s="18"/>
      <c r="E136" s="18"/>
      <c r="F136" s="18"/>
      <c r="G136" s="18"/>
      <c r="H136" s="18"/>
      <c r="I136" s="18"/>
      <c r="J136" s="18"/>
      <c r="K136" s="18"/>
    </row>
    <row r="137" spans="2:11" ht="12.75">
      <c r="B137" s="18"/>
      <c r="C137" s="18"/>
      <c r="D137" s="18"/>
      <c r="E137" s="18"/>
      <c r="F137" s="18"/>
      <c r="G137" s="18"/>
      <c r="H137" s="18"/>
      <c r="I137" s="18"/>
      <c r="J137" s="18"/>
      <c r="K137" s="18"/>
    </row>
    <row r="138" spans="2:11" ht="12.75">
      <c r="B138" s="18"/>
      <c r="C138" s="18"/>
      <c r="D138" s="18"/>
      <c r="E138" s="18"/>
      <c r="F138" s="18"/>
      <c r="G138" s="18"/>
      <c r="H138" s="18"/>
      <c r="I138" s="18"/>
      <c r="J138" s="18"/>
      <c r="K138" s="18"/>
    </row>
    <row r="139" spans="2:11" ht="12.75">
      <c r="B139" s="18"/>
      <c r="C139" s="18"/>
      <c r="D139" s="18"/>
      <c r="E139" s="18"/>
      <c r="F139" s="18"/>
      <c r="G139" s="18"/>
      <c r="H139" s="18"/>
      <c r="I139" s="18"/>
      <c r="J139" s="18"/>
      <c r="K139" s="18"/>
    </row>
    <row r="140" spans="2:11" ht="12.75">
      <c r="B140" s="18"/>
      <c r="C140" s="18"/>
      <c r="D140" s="18"/>
      <c r="E140" s="18"/>
      <c r="F140" s="18"/>
      <c r="G140" s="18"/>
      <c r="H140" s="18"/>
      <c r="I140" s="18"/>
      <c r="J140" s="18"/>
      <c r="K140" s="18"/>
    </row>
    <row r="141" spans="2:11" ht="12.75">
      <c r="B141" s="18"/>
      <c r="C141" s="18"/>
      <c r="D141" s="18"/>
      <c r="E141" s="18"/>
      <c r="F141" s="18"/>
      <c r="G141" s="18"/>
      <c r="H141" s="18"/>
      <c r="I141" s="18"/>
      <c r="J141" s="18"/>
      <c r="K141" s="18"/>
    </row>
    <row r="142" spans="2:11" ht="12.75">
      <c r="B142" s="18"/>
      <c r="C142" s="18"/>
      <c r="D142" s="18"/>
      <c r="E142" s="18"/>
      <c r="F142" s="18"/>
      <c r="G142" s="18"/>
      <c r="H142" s="18"/>
      <c r="I142" s="18"/>
      <c r="J142" s="18"/>
      <c r="K142" s="18"/>
    </row>
    <row r="143" spans="2:11" ht="12.75">
      <c r="B143" s="18"/>
      <c r="C143" s="18"/>
      <c r="D143" s="18"/>
      <c r="E143" s="18"/>
      <c r="F143" s="18"/>
      <c r="G143" s="18"/>
      <c r="H143" s="18"/>
      <c r="I143" s="18"/>
      <c r="J143" s="18"/>
      <c r="K143" s="18"/>
    </row>
    <row r="144" spans="2:11" ht="12.75">
      <c r="B144" s="18"/>
      <c r="C144" s="18"/>
      <c r="D144" s="18"/>
      <c r="E144" s="18"/>
      <c r="F144" s="18"/>
      <c r="G144" s="18"/>
      <c r="H144" s="18"/>
      <c r="I144" s="18"/>
      <c r="J144" s="18"/>
      <c r="K144" s="18"/>
    </row>
    <row r="145" spans="2:11" ht="12.75">
      <c r="B145" s="18"/>
      <c r="C145" s="18"/>
      <c r="D145" s="18"/>
      <c r="E145" s="18"/>
      <c r="F145" s="18"/>
      <c r="G145" s="18"/>
      <c r="H145" s="18"/>
      <c r="I145" s="18"/>
      <c r="J145" s="18"/>
      <c r="K145" s="18"/>
    </row>
    <row r="146" spans="2:11" ht="12.75">
      <c r="B146" s="18"/>
      <c r="C146" s="18"/>
      <c r="D146" s="18"/>
      <c r="E146" s="18"/>
      <c r="F146" s="18"/>
      <c r="G146" s="18"/>
      <c r="H146" s="18"/>
      <c r="I146" s="18"/>
      <c r="J146" s="18"/>
      <c r="K146" s="18"/>
    </row>
    <row r="147" spans="2:11" ht="12.75">
      <c r="B147" s="18"/>
      <c r="C147" s="18"/>
      <c r="D147" s="18"/>
      <c r="E147" s="18"/>
      <c r="F147" s="18"/>
      <c r="G147" s="18"/>
      <c r="H147" s="18"/>
      <c r="I147" s="18"/>
      <c r="J147" s="18"/>
      <c r="K147" s="18"/>
    </row>
    <row r="148" spans="2:11" ht="12.75">
      <c r="B148" s="18"/>
      <c r="C148" s="18"/>
      <c r="D148" s="18"/>
      <c r="E148" s="18"/>
      <c r="F148" s="18"/>
      <c r="G148" s="18"/>
      <c r="H148" s="18"/>
      <c r="I148" s="18"/>
      <c r="J148" s="18"/>
      <c r="K148" s="18"/>
    </row>
    <row r="149" spans="2:11" ht="12.75">
      <c r="B149" s="18"/>
      <c r="C149" s="18"/>
      <c r="D149" s="18"/>
      <c r="E149" s="18"/>
      <c r="F149" s="18"/>
      <c r="G149" s="18"/>
      <c r="H149" s="18"/>
      <c r="I149" s="18"/>
      <c r="J149" s="18"/>
      <c r="K149" s="18"/>
    </row>
    <row r="150" spans="2:11" ht="12.75">
      <c r="B150" s="18"/>
      <c r="C150" s="18"/>
      <c r="D150" s="18"/>
      <c r="E150" s="18"/>
      <c r="F150" s="18"/>
      <c r="G150" s="18"/>
      <c r="H150" s="18"/>
      <c r="I150" s="18"/>
      <c r="J150" s="18"/>
      <c r="K150" s="18"/>
    </row>
    <row r="151" spans="2:11" ht="12.75">
      <c r="B151" s="18"/>
      <c r="C151" s="18"/>
      <c r="D151" s="18"/>
      <c r="E151" s="18"/>
      <c r="F151" s="18"/>
      <c r="G151" s="18"/>
      <c r="H151" s="18"/>
      <c r="I151" s="18"/>
      <c r="J151" s="18"/>
      <c r="K151" s="18"/>
    </row>
    <row r="152" spans="2:11" ht="12.75">
      <c r="B152" s="18"/>
      <c r="C152" s="18"/>
      <c r="D152" s="18"/>
      <c r="E152" s="18"/>
      <c r="F152" s="18"/>
      <c r="G152" s="18"/>
      <c r="H152" s="18"/>
      <c r="I152" s="18"/>
      <c r="J152" s="18"/>
      <c r="K152" s="18"/>
    </row>
    <row r="153" spans="2:11" ht="12.75">
      <c r="B153" s="18"/>
      <c r="C153" s="18"/>
      <c r="D153" s="18"/>
      <c r="E153" s="18"/>
      <c r="F153" s="18"/>
      <c r="G153" s="18"/>
      <c r="H153" s="18"/>
      <c r="I153" s="18"/>
      <c r="J153" s="18"/>
      <c r="K153" s="18"/>
    </row>
    <row r="154" spans="2:11" ht="12.75">
      <c r="B154" s="18"/>
      <c r="C154" s="18"/>
      <c r="D154" s="18"/>
      <c r="E154" s="18"/>
      <c r="F154" s="18"/>
      <c r="G154" s="18"/>
      <c r="H154" s="18"/>
      <c r="I154" s="18"/>
      <c r="J154" s="18"/>
      <c r="K154" s="18"/>
    </row>
    <row r="155" spans="2:11" ht="12.75">
      <c r="B155" s="18"/>
      <c r="C155" s="18"/>
      <c r="D155" s="18"/>
      <c r="E155" s="18"/>
      <c r="F155" s="18"/>
      <c r="G155" s="18"/>
      <c r="H155" s="18"/>
      <c r="I155" s="18"/>
      <c r="J155" s="18"/>
      <c r="K155" s="18"/>
    </row>
    <row r="156" spans="2:11" ht="12.75">
      <c r="B156" s="18"/>
      <c r="C156" s="18"/>
      <c r="D156" s="18"/>
      <c r="E156" s="18"/>
      <c r="F156" s="18"/>
      <c r="G156" s="18"/>
      <c r="H156" s="18"/>
      <c r="I156" s="18"/>
      <c r="J156" s="18"/>
      <c r="K156" s="18"/>
    </row>
    <row r="157" spans="2:11" ht="12.75">
      <c r="B157" s="18"/>
      <c r="C157" s="18"/>
      <c r="D157" s="18"/>
      <c r="E157" s="18"/>
      <c r="F157" s="18"/>
      <c r="G157" s="18"/>
      <c r="H157" s="18"/>
      <c r="I157" s="18"/>
      <c r="J157" s="18"/>
      <c r="K157" s="18"/>
    </row>
    <row r="158" spans="2:11" ht="12.75">
      <c r="B158" s="18"/>
      <c r="C158" s="18"/>
      <c r="D158" s="18"/>
      <c r="E158" s="18"/>
      <c r="F158" s="18"/>
      <c r="G158" s="18"/>
      <c r="H158" s="18"/>
      <c r="I158" s="18"/>
      <c r="J158" s="18"/>
      <c r="K158" s="18"/>
    </row>
    <row r="159" spans="2:11" ht="12.75">
      <c r="B159" s="18"/>
      <c r="C159" s="18"/>
      <c r="D159" s="18"/>
      <c r="E159" s="18"/>
      <c r="F159" s="18"/>
      <c r="G159" s="18"/>
      <c r="H159" s="18"/>
      <c r="I159" s="18"/>
      <c r="J159" s="18"/>
      <c r="K159" s="18"/>
    </row>
    <row r="160" spans="2:11" ht="12.75">
      <c r="B160" s="18"/>
      <c r="C160" s="18"/>
      <c r="D160" s="18"/>
      <c r="E160" s="18"/>
      <c r="F160" s="18"/>
      <c r="G160" s="18"/>
      <c r="H160" s="18"/>
      <c r="I160" s="18"/>
      <c r="J160" s="18"/>
      <c r="K160" s="18"/>
    </row>
    <row r="161" spans="2:11" ht="12.75">
      <c r="B161" s="18"/>
      <c r="C161" s="18"/>
      <c r="D161" s="18"/>
      <c r="E161" s="18"/>
      <c r="F161" s="18"/>
      <c r="G161" s="18"/>
      <c r="H161" s="18"/>
      <c r="I161" s="18"/>
      <c r="J161" s="18"/>
      <c r="K161" s="18"/>
    </row>
    <row r="162" spans="2:11" ht="12.75">
      <c r="B162" s="18"/>
      <c r="C162" s="18"/>
      <c r="D162" s="18"/>
      <c r="E162" s="18"/>
      <c r="F162" s="18"/>
      <c r="G162" s="18"/>
      <c r="H162" s="18"/>
      <c r="I162" s="18"/>
      <c r="J162" s="18"/>
      <c r="K162" s="18"/>
    </row>
    <row r="163" spans="2:11" ht="12.75">
      <c r="B163" s="18"/>
      <c r="C163" s="18"/>
      <c r="D163" s="18"/>
      <c r="E163" s="18"/>
      <c r="F163" s="18"/>
      <c r="G163" s="18"/>
      <c r="H163" s="18"/>
      <c r="I163" s="18"/>
      <c r="J163" s="18"/>
      <c r="K163" s="18"/>
    </row>
    <row r="164" spans="2:11" ht="12.75">
      <c r="B164" s="18"/>
      <c r="C164" s="18"/>
      <c r="D164" s="18"/>
      <c r="E164" s="18"/>
      <c r="F164" s="18"/>
      <c r="G164" s="18"/>
      <c r="H164" s="18"/>
      <c r="I164" s="18"/>
      <c r="J164" s="18"/>
      <c r="K164" s="18"/>
    </row>
    <row r="165" spans="2:11" ht="12.75">
      <c r="B165" s="18"/>
      <c r="C165" s="18"/>
      <c r="D165" s="18"/>
      <c r="E165" s="18"/>
      <c r="F165" s="18"/>
      <c r="G165" s="18"/>
      <c r="H165" s="18"/>
      <c r="I165" s="18"/>
      <c r="J165" s="18"/>
      <c r="K165" s="18"/>
    </row>
    <row r="166" spans="2:11" ht="12.75">
      <c r="B166" s="18"/>
      <c r="C166" s="18"/>
      <c r="D166" s="18"/>
      <c r="E166" s="18"/>
      <c r="F166" s="18"/>
      <c r="G166" s="18"/>
      <c r="H166" s="18"/>
      <c r="I166" s="18"/>
      <c r="J166" s="18"/>
      <c r="K166" s="18"/>
    </row>
    <row r="167" spans="2:11" ht="12.75">
      <c r="B167" s="18"/>
      <c r="C167" s="18"/>
      <c r="D167" s="18"/>
      <c r="E167" s="18"/>
      <c r="F167" s="18"/>
      <c r="G167" s="18"/>
      <c r="H167" s="18"/>
      <c r="I167" s="18"/>
      <c r="J167" s="18"/>
      <c r="K167" s="18"/>
    </row>
    <row r="168" spans="2:11" ht="12.75">
      <c r="B168" s="18"/>
      <c r="C168" s="18"/>
      <c r="D168" s="18"/>
      <c r="E168" s="18"/>
      <c r="F168" s="18"/>
      <c r="G168" s="18"/>
      <c r="H168" s="18"/>
      <c r="I168" s="18"/>
      <c r="J168" s="18"/>
      <c r="K168" s="18"/>
    </row>
    <row r="169" spans="2:11" ht="12.75">
      <c r="B169" s="18"/>
      <c r="C169" s="18"/>
      <c r="D169" s="18"/>
      <c r="E169" s="18"/>
      <c r="F169" s="18"/>
      <c r="G169" s="18"/>
      <c r="H169" s="18"/>
      <c r="I169" s="18"/>
      <c r="J169" s="18"/>
      <c r="K169" s="18"/>
    </row>
    <row r="170" spans="2:11" ht="12.75">
      <c r="B170" s="18"/>
      <c r="C170" s="18"/>
      <c r="D170" s="18"/>
      <c r="E170" s="18"/>
      <c r="F170" s="18"/>
      <c r="G170" s="18"/>
      <c r="H170" s="18"/>
      <c r="I170" s="18"/>
      <c r="J170" s="18"/>
      <c r="K170" s="18"/>
    </row>
    <row r="171" spans="2:11" ht="12.75">
      <c r="B171" s="18"/>
      <c r="C171" s="18"/>
      <c r="D171" s="18"/>
      <c r="E171" s="18"/>
      <c r="F171" s="18"/>
      <c r="G171" s="18"/>
      <c r="H171" s="18"/>
      <c r="I171" s="18"/>
      <c r="J171" s="18"/>
      <c r="K171" s="18"/>
    </row>
    <row r="172" spans="2:11" ht="12.75">
      <c r="B172" s="18"/>
      <c r="C172" s="18"/>
      <c r="D172" s="18"/>
      <c r="E172" s="18"/>
      <c r="F172" s="18"/>
      <c r="G172" s="18"/>
      <c r="H172" s="18"/>
      <c r="I172" s="18"/>
      <c r="J172" s="18"/>
      <c r="K172" s="18"/>
    </row>
    <row r="173" spans="2:11" ht="12.75">
      <c r="B173" s="18"/>
      <c r="C173" s="18"/>
      <c r="D173" s="18"/>
      <c r="E173" s="18"/>
      <c r="F173" s="18"/>
      <c r="G173" s="18"/>
      <c r="H173" s="18"/>
      <c r="I173" s="18"/>
      <c r="J173" s="18"/>
      <c r="K173" s="18"/>
    </row>
    <row r="174" spans="2:11" ht="12.75">
      <c r="B174" s="18"/>
      <c r="C174" s="18"/>
      <c r="D174" s="18"/>
      <c r="E174" s="18"/>
      <c r="F174" s="18"/>
      <c r="G174" s="18"/>
      <c r="H174" s="18"/>
      <c r="I174" s="18"/>
      <c r="J174" s="18"/>
      <c r="K174" s="18"/>
    </row>
    <row r="175" spans="2:11" ht="12.75">
      <c r="B175" s="18"/>
      <c r="C175" s="18"/>
      <c r="D175" s="18"/>
      <c r="E175" s="18"/>
      <c r="F175" s="18"/>
      <c r="G175" s="18"/>
      <c r="H175" s="18"/>
      <c r="I175" s="18"/>
      <c r="J175" s="18"/>
      <c r="K175" s="18"/>
    </row>
    <row r="176" spans="2:11" ht="12.75">
      <c r="B176" s="18"/>
      <c r="C176" s="18"/>
      <c r="D176" s="18"/>
      <c r="E176" s="18"/>
      <c r="F176" s="18"/>
      <c r="G176" s="18"/>
      <c r="H176" s="18"/>
      <c r="I176" s="18"/>
      <c r="J176" s="18"/>
      <c r="K176" s="18"/>
    </row>
    <row r="177" spans="2:11" ht="12.75">
      <c r="B177" s="18"/>
      <c r="C177" s="18"/>
      <c r="D177" s="18"/>
      <c r="E177" s="18"/>
      <c r="F177" s="18"/>
      <c r="G177" s="18"/>
      <c r="H177" s="18"/>
      <c r="I177" s="18"/>
      <c r="J177" s="18"/>
      <c r="K177" s="18"/>
    </row>
    <row r="178" spans="2:11" ht="12.75">
      <c r="B178" s="18"/>
      <c r="C178" s="18"/>
      <c r="D178" s="18"/>
      <c r="E178" s="18"/>
      <c r="F178" s="18"/>
      <c r="G178" s="18"/>
      <c r="H178" s="18"/>
      <c r="I178" s="18"/>
      <c r="J178" s="18"/>
      <c r="K178" s="18"/>
    </row>
    <row r="179" spans="2:11" ht="12.75">
      <c r="B179" s="18"/>
      <c r="C179" s="18"/>
      <c r="D179" s="18"/>
      <c r="E179" s="18"/>
      <c r="F179" s="18"/>
      <c r="G179" s="18"/>
      <c r="H179" s="18"/>
      <c r="I179" s="18"/>
      <c r="J179" s="18"/>
      <c r="K179" s="18"/>
    </row>
    <row r="180" spans="2:11" ht="12.75">
      <c r="B180" s="18"/>
      <c r="C180" s="18"/>
      <c r="D180" s="18"/>
      <c r="E180" s="18"/>
      <c r="F180" s="18"/>
      <c r="G180" s="18"/>
      <c r="H180" s="18"/>
      <c r="I180" s="18"/>
      <c r="J180" s="18"/>
      <c r="K180" s="18"/>
    </row>
    <row r="181" spans="2:11" ht="12.75">
      <c r="B181" s="18"/>
      <c r="C181" s="18"/>
      <c r="D181" s="18"/>
      <c r="E181" s="18"/>
      <c r="F181" s="18"/>
      <c r="G181" s="18"/>
      <c r="H181" s="18"/>
      <c r="I181" s="18"/>
      <c r="J181" s="18"/>
      <c r="K181" s="18"/>
    </row>
    <row r="182" spans="2:11" ht="12.75">
      <c r="B182" s="18"/>
      <c r="C182" s="18"/>
      <c r="D182" s="18"/>
      <c r="E182" s="18"/>
      <c r="F182" s="18"/>
      <c r="G182" s="18"/>
      <c r="H182" s="18"/>
      <c r="I182" s="18"/>
      <c r="J182" s="18"/>
      <c r="K182" s="18"/>
    </row>
    <row r="183" spans="2:11" ht="12.75">
      <c r="B183" s="18"/>
      <c r="C183" s="18"/>
      <c r="D183" s="18"/>
      <c r="E183" s="18"/>
      <c r="F183" s="18"/>
      <c r="G183" s="18"/>
      <c r="H183" s="18"/>
      <c r="I183" s="18"/>
      <c r="J183" s="18"/>
      <c r="K183" s="18"/>
    </row>
    <row r="184" spans="2:11" ht="12.75">
      <c r="B184" s="18"/>
      <c r="C184" s="18"/>
      <c r="D184" s="18"/>
      <c r="E184" s="18"/>
      <c r="F184" s="18"/>
      <c r="G184" s="18"/>
      <c r="H184" s="18"/>
      <c r="I184" s="18"/>
      <c r="J184" s="18"/>
      <c r="K184" s="18"/>
    </row>
    <row r="185" spans="2:11" ht="12.75">
      <c r="B185" s="18"/>
      <c r="C185" s="18"/>
      <c r="D185" s="18"/>
      <c r="E185" s="18"/>
      <c r="F185" s="18"/>
      <c r="G185" s="18"/>
      <c r="H185" s="18"/>
      <c r="I185" s="18"/>
      <c r="J185" s="18"/>
      <c r="K185" s="18"/>
    </row>
    <row r="186" spans="2:11" ht="12.75">
      <c r="B186" s="18"/>
      <c r="C186" s="18"/>
      <c r="D186" s="18"/>
      <c r="E186" s="18"/>
      <c r="F186" s="18"/>
      <c r="G186" s="18"/>
      <c r="H186" s="18"/>
      <c r="I186" s="18"/>
      <c r="J186" s="18"/>
      <c r="K186" s="18"/>
    </row>
    <row r="187" spans="2:11" ht="12.75">
      <c r="B187" s="18"/>
      <c r="C187" s="18"/>
      <c r="D187" s="18"/>
      <c r="E187" s="18"/>
      <c r="F187" s="18"/>
      <c r="G187" s="18"/>
      <c r="H187" s="18"/>
      <c r="I187" s="18"/>
      <c r="J187" s="18"/>
      <c r="K187" s="18"/>
    </row>
    <row r="188" spans="2:11" ht="12.75">
      <c r="B188" s="18"/>
      <c r="C188" s="18"/>
      <c r="D188" s="18"/>
      <c r="E188" s="18"/>
      <c r="F188" s="18"/>
      <c r="G188" s="18"/>
      <c r="H188" s="18"/>
      <c r="I188" s="18"/>
      <c r="J188" s="18"/>
      <c r="K188" s="18"/>
    </row>
    <row r="189" spans="2:11" ht="12.75">
      <c r="B189" s="18"/>
      <c r="C189" s="18"/>
      <c r="D189" s="18"/>
      <c r="E189" s="18"/>
      <c r="F189" s="18"/>
      <c r="G189" s="18"/>
      <c r="H189" s="18"/>
      <c r="I189" s="18"/>
      <c r="J189" s="18"/>
      <c r="K189" s="18"/>
    </row>
    <row r="190" spans="2:11" ht="12.75">
      <c r="B190" s="18"/>
      <c r="C190" s="18"/>
      <c r="D190" s="18"/>
      <c r="E190" s="18"/>
      <c r="F190" s="18"/>
      <c r="G190" s="18"/>
      <c r="H190" s="18"/>
      <c r="I190" s="18"/>
      <c r="J190" s="18"/>
      <c r="K190" s="18"/>
    </row>
    <row r="191" spans="2:11" ht="12.75">
      <c r="B191" s="18"/>
      <c r="C191" s="18"/>
      <c r="D191" s="18"/>
      <c r="E191" s="18"/>
      <c r="F191" s="18"/>
      <c r="G191" s="18"/>
      <c r="H191" s="18"/>
      <c r="I191" s="18"/>
      <c r="J191" s="18"/>
      <c r="K191" s="18"/>
    </row>
    <row r="192" spans="2:11" ht="12.75">
      <c r="B192" s="18"/>
      <c r="C192" s="18"/>
      <c r="D192" s="18"/>
      <c r="E192" s="18"/>
      <c r="F192" s="18"/>
      <c r="G192" s="18"/>
      <c r="H192" s="18"/>
      <c r="I192" s="18"/>
      <c r="J192" s="18"/>
      <c r="K192" s="18"/>
    </row>
    <row r="193" spans="2:11" ht="12.75">
      <c r="B193" s="18"/>
      <c r="C193" s="18"/>
      <c r="D193" s="18"/>
      <c r="E193" s="18"/>
      <c r="F193" s="18"/>
      <c r="G193" s="18"/>
      <c r="H193" s="18"/>
      <c r="I193" s="18"/>
      <c r="J193" s="18"/>
      <c r="K193" s="18"/>
    </row>
    <row r="194" spans="2:11" ht="12.75">
      <c r="B194" s="18"/>
      <c r="C194" s="18"/>
      <c r="D194" s="18"/>
      <c r="E194" s="18"/>
      <c r="F194" s="18"/>
      <c r="G194" s="18"/>
      <c r="H194" s="18"/>
      <c r="I194" s="18"/>
      <c r="J194" s="18"/>
      <c r="K194" s="18"/>
    </row>
    <row r="195" spans="2:11" ht="12.75">
      <c r="B195" s="18"/>
      <c r="C195" s="18"/>
      <c r="D195" s="18"/>
      <c r="E195" s="18"/>
      <c r="F195" s="18"/>
      <c r="G195" s="18"/>
      <c r="H195" s="18"/>
      <c r="I195" s="18"/>
      <c r="J195" s="18"/>
      <c r="K195" s="18"/>
    </row>
    <row r="196" spans="2:11" ht="12.75">
      <c r="B196" s="18"/>
      <c r="C196" s="18"/>
      <c r="D196" s="18"/>
      <c r="E196" s="18"/>
      <c r="F196" s="18"/>
      <c r="G196" s="18"/>
      <c r="H196" s="18"/>
      <c r="I196" s="18"/>
      <c r="J196" s="18"/>
      <c r="K196" s="18"/>
    </row>
    <row r="197" spans="2:11" ht="12.75">
      <c r="B197" s="18"/>
      <c r="C197" s="18"/>
      <c r="D197" s="18"/>
      <c r="E197" s="18"/>
      <c r="F197" s="18"/>
      <c r="G197" s="18"/>
      <c r="H197" s="18"/>
      <c r="I197" s="18"/>
      <c r="J197" s="18"/>
      <c r="K197" s="18"/>
    </row>
    <row r="198" spans="2:11" ht="12.75">
      <c r="B198" s="18"/>
      <c r="C198" s="18"/>
      <c r="D198" s="18"/>
      <c r="E198" s="18"/>
      <c r="F198" s="18"/>
      <c r="G198" s="18"/>
      <c r="H198" s="18"/>
      <c r="I198" s="18"/>
      <c r="J198" s="18"/>
      <c r="K198" s="18"/>
    </row>
    <row r="199" spans="2:11" ht="12.75">
      <c r="B199" s="18"/>
      <c r="C199" s="18"/>
      <c r="D199" s="18"/>
      <c r="E199" s="18"/>
      <c r="F199" s="18"/>
      <c r="G199" s="18"/>
      <c r="H199" s="18"/>
      <c r="I199" s="18"/>
      <c r="J199" s="18"/>
      <c r="K199" s="18"/>
    </row>
    <row r="200" spans="2:11" ht="12.75">
      <c r="B200" s="18"/>
      <c r="C200" s="18"/>
      <c r="D200" s="18"/>
      <c r="E200" s="18"/>
      <c r="F200" s="18"/>
      <c r="G200" s="18"/>
      <c r="H200" s="18"/>
      <c r="I200" s="18"/>
      <c r="J200" s="18"/>
      <c r="K200" s="18"/>
    </row>
    <row r="201" spans="2:11" ht="12.75">
      <c r="B201" s="18"/>
      <c r="C201" s="18"/>
      <c r="D201" s="18"/>
      <c r="E201" s="18"/>
      <c r="F201" s="18"/>
      <c r="G201" s="18"/>
      <c r="H201" s="18"/>
      <c r="I201" s="18"/>
      <c r="J201" s="18"/>
      <c r="K201" s="18"/>
    </row>
    <row r="202" spans="2:11" ht="12.75">
      <c r="B202" s="18"/>
      <c r="C202" s="18"/>
      <c r="D202" s="18"/>
      <c r="E202" s="18"/>
      <c r="F202" s="18"/>
      <c r="G202" s="18"/>
      <c r="H202" s="18"/>
      <c r="I202" s="18"/>
      <c r="J202" s="18"/>
      <c r="K202" s="18"/>
    </row>
    <row r="203" spans="2:11" ht="12.75">
      <c r="B203" s="18"/>
      <c r="C203" s="18"/>
      <c r="D203" s="18"/>
      <c r="E203" s="18"/>
      <c r="F203" s="18"/>
      <c r="G203" s="18"/>
      <c r="H203" s="18"/>
      <c r="I203" s="18"/>
      <c r="J203" s="18"/>
      <c r="K203" s="18"/>
    </row>
    <row r="204" spans="2:11" ht="12.75">
      <c r="B204" s="18"/>
      <c r="C204" s="18"/>
      <c r="D204" s="18"/>
      <c r="E204" s="18"/>
      <c r="F204" s="18"/>
      <c r="G204" s="18"/>
      <c r="H204" s="18"/>
      <c r="I204" s="18"/>
      <c r="J204" s="18"/>
      <c r="K204" s="18"/>
    </row>
    <row r="205" spans="2:11" ht="12.75">
      <c r="B205" s="18"/>
      <c r="C205" s="18"/>
      <c r="D205" s="18"/>
      <c r="E205" s="18"/>
      <c r="F205" s="18"/>
      <c r="G205" s="18"/>
      <c r="H205" s="18"/>
      <c r="I205" s="18"/>
      <c r="J205" s="18"/>
      <c r="K205" s="18"/>
    </row>
    <row r="206" spans="2:11" ht="12.75">
      <c r="B206" s="18"/>
      <c r="C206" s="18"/>
      <c r="D206" s="18"/>
      <c r="E206" s="18"/>
      <c r="F206" s="18"/>
      <c r="G206" s="18"/>
      <c r="H206" s="18"/>
      <c r="I206" s="18"/>
      <c r="J206" s="18"/>
      <c r="K206" s="18"/>
    </row>
    <row r="207" spans="2:11" ht="12.75">
      <c r="B207" s="18"/>
      <c r="C207" s="18"/>
      <c r="D207" s="18"/>
      <c r="E207" s="18"/>
      <c r="F207" s="18"/>
      <c r="G207" s="18"/>
      <c r="H207" s="18"/>
      <c r="I207" s="18"/>
      <c r="J207" s="18"/>
      <c r="K207" s="18"/>
    </row>
    <row r="208" spans="2:11" ht="12.75">
      <c r="B208" s="18"/>
      <c r="C208" s="18"/>
      <c r="D208" s="18"/>
      <c r="E208" s="18"/>
      <c r="F208" s="18"/>
      <c r="G208" s="18"/>
      <c r="H208" s="18"/>
      <c r="I208" s="18"/>
      <c r="J208" s="18"/>
      <c r="K208" s="18"/>
    </row>
    <row r="209" spans="2:11" ht="12.75">
      <c r="B209" s="18"/>
      <c r="C209" s="18"/>
      <c r="D209" s="18"/>
      <c r="E209" s="18"/>
      <c r="F209" s="18"/>
      <c r="G209" s="18"/>
      <c r="H209" s="18"/>
      <c r="I209" s="18"/>
      <c r="J209" s="18"/>
      <c r="K209" s="18"/>
    </row>
  </sheetData>
  <printOptions gridLines="1" horizontalCentered="1"/>
  <pageMargins left="0.2" right="0" top="0.36" bottom="0.25" header="0.24" footer="0"/>
  <pageSetup fitToHeight="1" fitToWidth="1" horizontalDpi="300" verticalDpi="300" orientation="landscape" scale="60" r:id="rId1"/>
  <headerFooter alignWithMargins="0">
    <oddHeader>&amp;C&amp;A&amp;R&amp;9&amp;D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W208"/>
  <sheetViews>
    <sheetView zoomScale="75" zoomScaleNormal="75" workbookViewId="0" topLeftCell="A1">
      <selection activeCell="A1" sqref="A1"/>
    </sheetView>
  </sheetViews>
  <sheetFormatPr defaultColWidth="9.140625" defaultRowHeight="12.75"/>
  <cols>
    <col min="1" max="1" width="20.421875" style="0" customWidth="1"/>
    <col min="2" max="2" width="17.00390625" style="0" customWidth="1"/>
    <col min="3" max="3" width="18.00390625" style="0" bestFit="1" customWidth="1"/>
    <col min="4" max="4" width="12.140625" style="0" customWidth="1"/>
    <col min="5" max="5" width="18.00390625" style="0" bestFit="1" customWidth="1"/>
    <col min="6" max="6" width="15.28125" style="0" customWidth="1"/>
    <col min="7" max="7" width="18.28125" style="0" bestFit="1" customWidth="1"/>
    <col min="8" max="8" width="13.7109375" style="0" customWidth="1"/>
    <col min="9" max="9" width="19.57421875" style="0" customWidth="1"/>
    <col min="10" max="10" width="14.8515625" style="0" customWidth="1"/>
    <col min="11" max="11" width="12.00390625" style="0" customWidth="1"/>
    <col min="12" max="12" width="17.00390625" style="0" customWidth="1"/>
    <col min="13" max="13" width="16.57421875" style="0" customWidth="1"/>
    <col min="14" max="14" width="12.7109375" style="0" customWidth="1"/>
    <col min="15" max="15" width="14.8515625" style="0" customWidth="1"/>
    <col min="16" max="16" width="16.28125" style="0" customWidth="1"/>
    <col min="17" max="17" width="15.7109375" style="0" customWidth="1"/>
    <col min="18" max="18" width="1.1484375" style="0" customWidth="1"/>
    <col min="19" max="19" width="14.8515625" style="0" customWidth="1"/>
    <col min="20" max="20" width="15.28125" style="0" customWidth="1"/>
    <col min="21" max="21" width="14.8515625" style="0" customWidth="1"/>
    <col min="22" max="22" width="17.140625" style="0" customWidth="1"/>
    <col min="23" max="23" width="17.8515625" style="0" customWidth="1"/>
  </cols>
  <sheetData>
    <row r="1" spans="2:8" ht="12.75">
      <c r="B1" s="1"/>
      <c r="C1" s="1"/>
      <c r="D1" s="1"/>
      <c r="E1" s="1"/>
      <c r="F1" s="1"/>
      <c r="G1" s="1"/>
      <c r="H1" s="1"/>
    </row>
    <row r="2" spans="1:20" s="39" customFormat="1" ht="12.75">
      <c r="A2" s="168" t="s">
        <v>355</v>
      </c>
      <c r="B2" s="3"/>
      <c r="C2" s="3"/>
      <c r="D2" s="3"/>
      <c r="E2" s="3"/>
      <c r="F2" s="3"/>
      <c r="G2" s="3"/>
      <c r="H2" s="3"/>
      <c r="I2" s="26"/>
      <c r="J2" s="26"/>
      <c r="K2" s="26"/>
      <c r="L2" s="26"/>
      <c r="M2" s="26"/>
      <c r="N2" s="26"/>
      <c r="O2" s="26"/>
      <c r="P2" s="26"/>
      <c r="Q2" s="26"/>
      <c r="R2" s="26"/>
      <c r="S2" s="26"/>
      <c r="T2" s="26"/>
    </row>
    <row r="3" spans="1:20" s="39" customFormat="1" ht="15.75">
      <c r="A3" s="2" t="s">
        <v>115</v>
      </c>
      <c r="B3" s="3"/>
      <c r="C3" s="3"/>
      <c r="D3" s="3"/>
      <c r="E3" s="3"/>
      <c r="F3" s="3"/>
      <c r="G3" s="3"/>
      <c r="H3" s="26"/>
      <c r="I3" s="26"/>
      <c r="J3" s="26"/>
      <c r="K3" s="26"/>
      <c r="L3" s="26"/>
      <c r="M3" s="26"/>
      <c r="N3" s="26"/>
      <c r="O3" s="26"/>
      <c r="P3" s="26"/>
      <c r="Q3" s="26"/>
      <c r="R3" s="26"/>
      <c r="S3" s="26"/>
      <c r="T3" s="26"/>
    </row>
    <row r="4" spans="1:20" s="39" customFormat="1" ht="12.75">
      <c r="A4" s="3" t="s">
        <v>354</v>
      </c>
      <c r="B4" s="3"/>
      <c r="C4" s="3"/>
      <c r="D4" s="3"/>
      <c r="E4" s="3"/>
      <c r="F4" s="3"/>
      <c r="G4" s="3"/>
      <c r="H4" s="26"/>
      <c r="I4" s="26"/>
      <c r="J4" s="26"/>
      <c r="K4" s="26"/>
      <c r="L4" s="26"/>
      <c r="M4" s="26"/>
      <c r="N4" s="26"/>
      <c r="O4" s="26"/>
      <c r="P4" s="26"/>
      <c r="Q4" s="26"/>
      <c r="R4" s="26"/>
      <c r="S4" s="26"/>
      <c r="T4" s="26"/>
    </row>
    <row r="5" spans="1:20" ht="12.75">
      <c r="A5" s="4" t="s">
        <v>1</v>
      </c>
      <c r="B5" s="3"/>
      <c r="C5" s="3"/>
      <c r="D5" s="3"/>
      <c r="E5" s="3"/>
      <c r="F5" s="3"/>
      <c r="G5" s="3"/>
      <c r="H5" s="3"/>
      <c r="I5" s="3"/>
      <c r="J5" s="3"/>
      <c r="K5" s="3"/>
      <c r="L5" s="3"/>
      <c r="M5" s="3"/>
      <c r="N5" s="3"/>
      <c r="O5" s="3"/>
      <c r="P5" s="3"/>
      <c r="Q5" s="3"/>
      <c r="R5" s="3"/>
      <c r="S5" s="3"/>
      <c r="T5" s="3"/>
    </row>
    <row r="6" spans="1:20" ht="12.75">
      <c r="A6" t="s">
        <v>2</v>
      </c>
      <c r="B6" s="3"/>
      <c r="C6" s="3"/>
      <c r="D6" s="3"/>
      <c r="E6" s="3"/>
      <c r="F6" s="3"/>
      <c r="G6" s="3"/>
      <c r="H6" s="3"/>
      <c r="I6" s="3"/>
      <c r="J6" s="3"/>
      <c r="K6" s="3"/>
      <c r="L6" s="3"/>
      <c r="M6" s="3"/>
      <c r="N6" s="3"/>
      <c r="O6" s="3"/>
      <c r="P6" s="3"/>
      <c r="Q6" s="3"/>
      <c r="R6" s="3"/>
      <c r="S6" s="3"/>
      <c r="T6" s="3"/>
    </row>
    <row r="7" spans="1:20" ht="15.75">
      <c r="A7" s="5" t="s">
        <v>91</v>
      </c>
      <c r="B7" s="6"/>
      <c r="C7" s="6"/>
      <c r="D7" s="6"/>
      <c r="E7" s="6"/>
      <c r="F7" s="6"/>
      <c r="G7" s="6"/>
      <c r="H7" s="5"/>
      <c r="I7" s="6"/>
      <c r="J7" s="6"/>
      <c r="K7" s="6"/>
      <c r="L7" s="6"/>
      <c r="M7" s="6"/>
      <c r="N7" s="6"/>
      <c r="O7" s="6"/>
      <c r="P7" s="6"/>
      <c r="Q7" s="6"/>
      <c r="R7" s="6"/>
      <c r="S7" s="6"/>
      <c r="T7" s="6"/>
    </row>
    <row r="8" spans="1:20" ht="12.75">
      <c r="A8" s="5"/>
      <c r="B8" s="7" t="s">
        <v>6</v>
      </c>
      <c r="C8" s="7" t="s">
        <v>7</v>
      </c>
      <c r="D8" s="7" t="s">
        <v>116</v>
      </c>
      <c r="E8" s="7" t="s">
        <v>7</v>
      </c>
      <c r="F8" s="7" t="s">
        <v>116</v>
      </c>
      <c r="G8" s="7" t="s">
        <v>8</v>
      </c>
      <c r="H8" s="7" t="s">
        <v>116</v>
      </c>
      <c r="I8" s="7"/>
      <c r="J8" s="7"/>
      <c r="K8" s="7"/>
      <c r="L8" s="7"/>
      <c r="M8" s="29"/>
      <c r="N8" s="7"/>
      <c r="O8" s="7"/>
      <c r="P8" s="7"/>
      <c r="Q8" s="7"/>
      <c r="R8" s="7"/>
      <c r="S8" s="7"/>
      <c r="T8" s="7"/>
    </row>
    <row r="9" spans="1:20" ht="12.75">
      <c r="A9" s="5"/>
      <c r="B9" s="8" t="s">
        <v>20</v>
      </c>
      <c r="C9" s="9" t="s">
        <v>21</v>
      </c>
      <c r="D9" s="9" t="s">
        <v>117</v>
      </c>
      <c r="E9" s="9" t="s">
        <v>22</v>
      </c>
      <c r="F9" s="9" t="s">
        <v>117</v>
      </c>
      <c r="G9" s="9" t="s">
        <v>23</v>
      </c>
      <c r="H9" s="9" t="s">
        <v>118</v>
      </c>
      <c r="I9" s="38"/>
      <c r="J9" s="38"/>
      <c r="K9" s="38"/>
      <c r="L9" s="38"/>
      <c r="M9" s="38"/>
      <c r="N9" s="38"/>
      <c r="O9" s="38"/>
      <c r="P9" s="38"/>
      <c r="Q9" s="38"/>
      <c r="R9" s="38"/>
      <c r="S9" s="38"/>
      <c r="T9" s="38"/>
    </row>
    <row r="10" spans="1:23" ht="12.75">
      <c r="A10" s="10" t="s">
        <v>32</v>
      </c>
      <c r="B10" s="11">
        <f>'Table A1 - FY99'!B10</f>
        <v>74943571</v>
      </c>
      <c r="C10" s="11">
        <f>'Table A1 - FY99'!C10</f>
        <v>0</v>
      </c>
      <c r="D10" s="34">
        <f>C10/B10</f>
        <v>0</v>
      </c>
      <c r="E10" s="11">
        <f>'Table A1 - FY99'!D10</f>
        <v>0</v>
      </c>
      <c r="F10" s="34">
        <f>E10/B10</f>
        <v>0</v>
      </c>
      <c r="G10" s="11">
        <f>'Table A1 - FY99'!E10</f>
        <v>74943571</v>
      </c>
      <c r="H10" s="34">
        <f>G10/B10</f>
        <v>1</v>
      </c>
      <c r="I10" s="37"/>
      <c r="J10" s="11"/>
      <c r="K10" s="11"/>
      <c r="L10" s="11"/>
      <c r="M10" s="35"/>
      <c r="N10" s="11"/>
      <c r="O10" s="11"/>
      <c r="P10" s="11"/>
      <c r="Q10" s="11"/>
      <c r="R10" s="11"/>
      <c r="S10" s="11"/>
      <c r="T10" s="11"/>
      <c r="V10" s="12"/>
      <c r="W10" s="12"/>
    </row>
    <row r="11" spans="1:23" ht="12.75">
      <c r="A11" s="13" t="s">
        <v>33</v>
      </c>
      <c r="B11" s="11">
        <f>'Table A1 - FY99'!B11</f>
        <v>27415411</v>
      </c>
      <c r="C11" s="11">
        <f>'Table A1 - FY99'!C11</f>
        <v>52658</v>
      </c>
      <c r="D11" s="34">
        <f aca="true" t="shared" si="0" ref="D11:D26">C11/B11</f>
        <v>0.0019207445038850594</v>
      </c>
      <c r="E11" s="11">
        <f>'Table A1 - FY99'!D11</f>
        <v>0</v>
      </c>
      <c r="F11" s="34">
        <f aca="true" t="shared" si="1" ref="F11:F26">E11/B11</f>
        <v>0</v>
      </c>
      <c r="G11" s="11">
        <f>'Table A1 - FY99'!E11</f>
        <v>27362753</v>
      </c>
      <c r="H11" s="34">
        <f aca="true" t="shared" si="2" ref="H11:H26">G11/B11</f>
        <v>0.998079255496115</v>
      </c>
      <c r="I11" s="14"/>
      <c r="J11" s="14"/>
      <c r="K11" s="14"/>
      <c r="L11" s="14"/>
      <c r="M11" s="35"/>
      <c r="N11" s="14"/>
      <c r="O11" s="14"/>
      <c r="P11" s="14"/>
      <c r="Q11" s="14"/>
      <c r="R11" s="14"/>
      <c r="S11" s="14"/>
      <c r="T11" s="14"/>
      <c r="V11" s="12"/>
      <c r="W11" s="12"/>
    </row>
    <row r="12" spans="1:23" ht="12.75">
      <c r="A12" s="10" t="s">
        <v>34</v>
      </c>
      <c r="B12" s="11">
        <f>'Table A1 - FY99'!B12</f>
        <v>117199317</v>
      </c>
      <c r="C12" s="11">
        <f>'Table A1 - FY99'!C12</f>
        <v>0</v>
      </c>
      <c r="D12" s="34">
        <f t="shared" si="0"/>
        <v>0</v>
      </c>
      <c r="E12" s="11">
        <f>'Table A1 - FY99'!D12</f>
        <v>0</v>
      </c>
      <c r="F12" s="34">
        <f t="shared" si="1"/>
        <v>0</v>
      </c>
      <c r="G12" s="11">
        <f>'Table A1 - FY99'!E12</f>
        <v>117199317</v>
      </c>
      <c r="H12" s="34">
        <f t="shared" si="2"/>
        <v>1</v>
      </c>
      <c r="I12" s="11"/>
      <c r="J12" s="11"/>
      <c r="K12" s="11"/>
      <c r="L12" s="11"/>
      <c r="M12" s="35"/>
      <c r="N12" s="11"/>
      <c r="O12" s="11"/>
      <c r="P12" s="11"/>
      <c r="Q12" s="11"/>
      <c r="R12" s="11"/>
      <c r="S12" s="11"/>
      <c r="T12" s="11"/>
      <c r="V12" s="12"/>
      <c r="W12" s="12"/>
    </row>
    <row r="13" spans="1:23" ht="12.75">
      <c r="A13" s="10" t="s">
        <v>35</v>
      </c>
      <c r="B13" s="11">
        <f>'Table A1 - FY99'!B13</f>
        <v>28199429</v>
      </c>
      <c r="C13" s="11">
        <f>'Table A1 - FY99'!C13</f>
        <v>0</v>
      </c>
      <c r="D13" s="34">
        <f t="shared" si="0"/>
        <v>0</v>
      </c>
      <c r="E13" s="11">
        <f>'Table A1 - FY99'!D13</f>
        <v>0</v>
      </c>
      <c r="F13" s="34">
        <f t="shared" si="1"/>
        <v>0</v>
      </c>
      <c r="G13" s="11">
        <f>'Table A1 - FY99'!E13</f>
        <v>28199429</v>
      </c>
      <c r="H13" s="34">
        <f t="shared" si="2"/>
        <v>1</v>
      </c>
      <c r="I13" s="11"/>
      <c r="J13" s="11"/>
      <c r="K13" s="11"/>
      <c r="L13" s="11"/>
      <c r="M13" s="35"/>
      <c r="N13" s="11"/>
      <c r="O13" s="11"/>
      <c r="P13" s="11"/>
      <c r="Q13" s="11"/>
      <c r="R13" s="11"/>
      <c r="S13" s="11"/>
      <c r="T13" s="11"/>
      <c r="V13" s="12"/>
      <c r="W13" s="12"/>
    </row>
    <row r="14" spans="1:23" ht="12.75">
      <c r="A14" s="10" t="s">
        <v>36</v>
      </c>
      <c r="B14" s="11">
        <f>'Table A1 - FY99'!B14</f>
        <v>1864943624</v>
      </c>
      <c r="C14" s="11">
        <f>'Table A1 - FY99'!C14</f>
        <v>0</v>
      </c>
      <c r="D14" s="34">
        <f t="shared" si="0"/>
        <v>0</v>
      </c>
      <c r="E14" s="11">
        <f>'Table A1 - FY99'!D14</f>
        <v>0</v>
      </c>
      <c r="F14" s="34">
        <f t="shared" si="1"/>
        <v>0</v>
      </c>
      <c r="G14" s="11">
        <f>'Table A1 - FY99'!E14</f>
        <v>1864943624</v>
      </c>
      <c r="H14" s="34">
        <f t="shared" si="2"/>
        <v>1</v>
      </c>
      <c r="I14" s="11"/>
      <c r="J14" s="11"/>
      <c r="K14" s="11"/>
      <c r="L14" s="11"/>
      <c r="M14" s="35"/>
      <c r="N14" s="11"/>
      <c r="O14" s="11"/>
      <c r="P14" s="11"/>
      <c r="Q14" s="11"/>
      <c r="R14" s="11"/>
      <c r="S14" s="11"/>
      <c r="T14" s="11"/>
      <c r="V14" s="12"/>
      <c r="W14" s="12"/>
    </row>
    <row r="15" spans="1:23" ht="12.75">
      <c r="A15" s="10" t="s">
        <v>37</v>
      </c>
      <c r="B15" s="11">
        <f>'Table A1 - FY99'!B15</f>
        <v>65757779</v>
      </c>
      <c r="C15" s="11">
        <f>'Table A1 - FY99'!C15</f>
        <v>0</v>
      </c>
      <c r="D15" s="34">
        <f t="shared" si="0"/>
        <v>0</v>
      </c>
      <c r="E15" s="11">
        <f>'Table A1 - FY99'!D15</f>
        <v>0</v>
      </c>
      <c r="F15" s="34">
        <f t="shared" si="1"/>
        <v>0</v>
      </c>
      <c r="G15" s="11">
        <f>'Table A1 - FY99'!E15</f>
        <v>65757779</v>
      </c>
      <c r="H15" s="34">
        <f t="shared" si="2"/>
        <v>1</v>
      </c>
      <c r="I15" s="11"/>
      <c r="J15" s="11"/>
      <c r="K15" s="11"/>
      <c r="L15" s="11"/>
      <c r="M15" s="35"/>
      <c r="N15" s="11"/>
      <c r="O15" s="11"/>
      <c r="P15" s="11"/>
      <c r="Q15" s="11"/>
      <c r="R15" s="11"/>
      <c r="S15" s="11"/>
      <c r="T15" s="11"/>
      <c r="V15" s="12"/>
      <c r="W15" s="12"/>
    </row>
    <row r="16" spans="1:23" ht="12.75">
      <c r="A16" s="10" t="s">
        <v>38</v>
      </c>
      <c r="B16" s="11">
        <f>'Table A1 - FY99'!B16</f>
        <v>123352504</v>
      </c>
      <c r="C16" s="11">
        <f>'Table A1 - FY99'!C16</f>
        <v>0</v>
      </c>
      <c r="D16" s="34">
        <f t="shared" si="0"/>
        <v>0</v>
      </c>
      <c r="E16" s="11">
        <f>'Table A1 - FY99'!D16</f>
        <v>11992516</v>
      </c>
      <c r="F16" s="34">
        <f t="shared" si="1"/>
        <v>0.09722150431579403</v>
      </c>
      <c r="G16" s="11">
        <f>'Table A1 - FY99'!E16</f>
        <v>111359988</v>
      </c>
      <c r="H16" s="34">
        <f t="shared" si="2"/>
        <v>0.902778495684206</v>
      </c>
      <c r="I16" s="11"/>
      <c r="J16" s="11"/>
      <c r="K16" s="11"/>
      <c r="L16" s="11"/>
      <c r="M16" s="35"/>
      <c r="N16" s="11"/>
      <c r="O16" s="11"/>
      <c r="P16" s="11"/>
      <c r="Q16" s="11"/>
      <c r="R16" s="11"/>
      <c r="S16" s="11"/>
      <c r="T16" s="11"/>
      <c r="V16" s="12"/>
      <c r="W16" s="12"/>
    </row>
    <row r="17" spans="1:23" ht="12.75">
      <c r="A17" s="10" t="s">
        <v>39</v>
      </c>
      <c r="B17" s="11">
        <f>'Table A1 - FY99'!B17</f>
        <v>16145490</v>
      </c>
      <c r="C17" s="11">
        <f>'Table A1 - FY99'!C17</f>
        <v>0</v>
      </c>
      <c r="D17" s="34">
        <f t="shared" si="0"/>
        <v>0</v>
      </c>
      <c r="E17" s="11">
        <f>'Table A1 - FY99'!D17</f>
        <v>0</v>
      </c>
      <c r="F17" s="34">
        <f t="shared" si="1"/>
        <v>0</v>
      </c>
      <c r="G17" s="11">
        <f>'Table A1 - FY99'!E17</f>
        <v>16145490</v>
      </c>
      <c r="H17" s="34">
        <f t="shared" si="2"/>
        <v>1</v>
      </c>
      <c r="I17" s="11"/>
      <c r="J17" s="11"/>
      <c r="K17" s="11"/>
      <c r="L17" s="11"/>
      <c r="M17" s="35"/>
      <c r="N17" s="11"/>
      <c r="O17" s="11"/>
      <c r="P17" s="11"/>
      <c r="Q17" s="11"/>
      <c r="R17" s="11"/>
      <c r="S17" s="11"/>
      <c r="T17" s="11"/>
      <c r="V17" s="12"/>
      <c r="W17" s="12"/>
    </row>
    <row r="18" spans="1:23" ht="12.75">
      <c r="A18" s="10" t="s">
        <v>40</v>
      </c>
      <c r="B18" s="11">
        <f>'Table A1 - FY99'!B18</f>
        <v>46304908</v>
      </c>
      <c r="C18" s="11">
        <f>'Table A1 - FY99'!C18</f>
        <v>9260980</v>
      </c>
      <c r="D18" s="34">
        <f t="shared" si="0"/>
        <v>0.1999999654464274</v>
      </c>
      <c r="E18" s="11">
        <f>'Table A1 - FY99'!D18</f>
        <v>4630490</v>
      </c>
      <c r="F18" s="34">
        <f t="shared" si="1"/>
        <v>0.0999999827232137</v>
      </c>
      <c r="G18" s="11">
        <f>'Table A1 - FY99'!E18</f>
        <v>32413438</v>
      </c>
      <c r="H18" s="34">
        <f t="shared" si="2"/>
        <v>0.7000000518303588</v>
      </c>
      <c r="I18" s="11"/>
      <c r="J18" s="11"/>
      <c r="K18" s="11"/>
      <c r="L18" s="11"/>
      <c r="M18" s="35"/>
      <c r="N18" s="11"/>
      <c r="O18" s="11"/>
      <c r="P18" s="11"/>
      <c r="Q18" s="11"/>
      <c r="R18" s="11"/>
      <c r="S18" s="11"/>
      <c r="T18" s="11"/>
      <c r="V18" s="12"/>
      <c r="W18" s="12"/>
    </row>
    <row r="19" spans="1:23" ht="12.75">
      <c r="A19" s="10" t="s">
        <v>41</v>
      </c>
      <c r="B19" s="11">
        <f>'Table A1 - FY99'!B19</f>
        <v>299535351</v>
      </c>
      <c r="C19" s="11">
        <f>'Table A1 - FY99'!C19</f>
        <v>59907070</v>
      </c>
      <c r="D19" s="34">
        <f t="shared" si="0"/>
        <v>0.19999999933229917</v>
      </c>
      <c r="E19" s="11">
        <f>'Table A1 - FY99'!D19</f>
        <v>29953535</v>
      </c>
      <c r="F19" s="34">
        <f t="shared" si="1"/>
        <v>0.09999999966614959</v>
      </c>
      <c r="G19" s="11">
        <f>'Table A1 - FY99'!E19</f>
        <v>209674746</v>
      </c>
      <c r="H19" s="34">
        <f t="shared" si="2"/>
        <v>0.7000000010015512</v>
      </c>
      <c r="I19" s="11"/>
      <c r="J19" s="11"/>
      <c r="K19" s="11"/>
      <c r="L19" s="11"/>
      <c r="M19" s="35"/>
      <c r="N19" s="11"/>
      <c r="O19" s="11"/>
      <c r="P19" s="11"/>
      <c r="Q19" s="11"/>
      <c r="R19" s="11"/>
      <c r="S19" s="11"/>
      <c r="T19" s="11"/>
      <c r="V19" s="12"/>
      <c r="W19" s="12"/>
    </row>
    <row r="20" spans="1:23" ht="12.75">
      <c r="A20" s="10" t="s">
        <v>42</v>
      </c>
      <c r="B20" s="11">
        <f>'Table A1 - FY99'!B20</f>
        <v>175583877</v>
      </c>
      <c r="C20" s="11">
        <f>'Table A1 - FY99'!C20</f>
        <v>15765125</v>
      </c>
      <c r="D20" s="34">
        <f t="shared" si="0"/>
        <v>0.08978686009991681</v>
      </c>
      <c r="E20" s="11">
        <f>'Table A1 - FY99'!D20</f>
        <v>10621051</v>
      </c>
      <c r="F20" s="34">
        <f t="shared" si="1"/>
        <v>0.06048989908110982</v>
      </c>
      <c r="G20" s="11">
        <f>'Table A1 - FY99'!E20</f>
        <v>149197701</v>
      </c>
      <c r="H20" s="34">
        <f t="shared" si="2"/>
        <v>0.8497232408189733</v>
      </c>
      <c r="I20" s="11"/>
      <c r="J20" s="11"/>
      <c r="K20" s="11"/>
      <c r="L20" s="11"/>
      <c r="M20" s="35"/>
      <c r="N20" s="11"/>
      <c r="O20" s="11"/>
      <c r="P20" s="11"/>
      <c r="Q20" s="11"/>
      <c r="R20" s="11"/>
      <c r="S20" s="11"/>
      <c r="T20" s="11"/>
      <c r="V20" s="12"/>
      <c r="W20" s="12"/>
    </row>
    <row r="21" spans="1:23" ht="12.75">
      <c r="A21" s="10" t="s">
        <v>43</v>
      </c>
      <c r="B21" s="11">
        <f>'Table A1 - FY99'!B21</f>
        <v>49452394</v>
      </c>
      <c r="C21" s="11">
        <f>'Table A1 - FY99'!C21</f>
        <v>0</v>
      </c>
      <c r="D21" s="34">
        <f t="shared" si="0"/>
        <v>0</v>
      </c>
      <c r="E21" s="11">
        <f>'Table A1 - FY99'!D21</f>
        <v>0</v>
      </c>
      <c r="F21" s="34">
        <f t="shared" si="1"/>
        <v>0</v>
      </c>
      <c r="G21" s="11">
        <f>'Table A1 - FY99'!E21</f>
        <v>49452394</v>
      </c>
      <c r="H21" s="34">
        <f t="shared" si="2"/>
        <v>1</v>
      </c>
      <c r="I21" s="11"/>
      <c r="J21" s="11"/>
      <c r="K21" s="11"/>
      <c r="L21" s="11"/>
      <c r="M21" s="35"/>
      <c r="N21" s="11"/>
      <c r="O21" s="11"/>
      <c r="P21" s="11"/>
      <c r="Q21" s="11"/>
      <c r="R21" s="11"/>
      <c r="S21" s="11"/>
      <c r="T21" s="11"/>
      <c r="V21" s="12"/>
      <c r="W21" s="12"/>
    </row>
    <row r="22" spans="1:23" ht="12.75">
      <c r="A22" s="10" t="s">
        <v>97</v>
      </c>
      <c r="B22" s="11">
        <f>'Table A1 - FY99'!B22</f>
        <v>13474179</v>
      </c>
      <c r="C22" s="11">
        <f>'Table A1 - FY99'!C22</f>
        <v>0</v>
      </c>
      <c r="D22" s="34">
        <f t="shared" si="0"/>
        <v>0</v>
      </c>
      <c r="E22" s="11">
        <f>'Table A1 - FY99'!D22</f>
        <v>1347417</v>
      </c>
      <c r="F22" s="34">
        <f t="shared" si="1"/>
        <v>0.09999993320557787</v>
      </c>
      <c r="G22" s="11">
        <f>'Table A1 - FY99'!E22</f>
        <v>12126762</v>
      </c>
      <c r="H22" s="34">
        <f t="shared" si="2"/>
        <v>0.9000000667944221</v>
      </c>
      <c r="I22" s="11"/>
      <c r="J22" s="11"/>
      <c r="K22" s="11"/>
      <c r="L22" s="11"/>
      <c r="M22" s="35"/>
      <c r="N22" s="11"/>
      <c r="O22" s="11"/>
      <c r="P22" s="11"/>
      <c r="Q22" s="11"/>
      <c r="R22" s="11"/>
      <c r="S22" s="11"/>
      <c r="T22" s="11"/>
      <c r="V22" s="12"/>
      <c r="W22" s="12"/>
    </row>
    <row r="23" spans="1:23" ht="12.75">
      <c r="A23" s="16" t="s">
        <v>45</v>
      </c>
      <c r="B23" s="11">
        <f>'Table A1 - FY99'!B23</f>
        <v>292528480</v>
      </c>
      <c r="C23" s="11">
        <f>'Table A1 - FY99'!C23</f>
        <v>60545385</v>
      </c>
      <c r="D23" s="34">
        <f t="shared" si="0"/>
        <v>0.2069726168200785</v>
      </c>
      <c r="E23" s="11">
        <f>'Table A1 - FY99'!D23</f>
        <v>8800000</v>
      </c>
      <c r="F23" s="34">
        <f t="shared" si="1"/>
        <v>0.030082541023014237</v>
      </c>
      <c r="G23" s="11">
        <f>'Table A1 - FY99'!E23</f>
        <v>223183095</v>
      </c>
      <c r="H23" s="34">
        <f t="shared" si="2"/>
        <v>0.7629448421569073</v>
      </c>
      <c r="I23" s="17"/>
      <c r="J23" s="17"/>
      <c r="K23" s="17"/>
      <c r="L23" s="17"/>
      <c r="M23" s="35"/>
      <c r="N23" s="17"/>
      <c r="O23" s="17"/>
      <c r="P23" s="17"/>
      <c r="Q23" s="17"/>
      <c r="R23" s="17"/>
      <c r="S23" s="17"/>
      <c r="T23" s="17"/>
      <c r="V23" s="12"/>
      <c r="W23" s="12"/>
    </row>
    <row r="24" spans="1:23" ht="12.75">
      <c r="A24" s="16" t="s">
        <v>46</v>
      </c>
      <c r="B24" s="11">
        <f>'Table A1 - FY99'!B24</f>
        <v>103399554</v>
      </c>
      <c r="C24" s="11">
        <f>'Table A1 - FY99'!C24</f>
        <v>56039000</v>
      </c>
      <c r="D24" s="34">
        <f t="shared" si="0"/>
        <v>0.5419655872016624</v>
      </c>
      <c r="E24" s="11">
        <f>'Table A1 - FY99'!D24</f>
        <v>6000000</v>
      </c>
      <c r="F24" s="34">
        <f t="shared" si="1"/>
        <v>0.05802732959563829</v>
      </c>
      <c r="G24" s="11">
        <f>'Table A1 - FY99'!E24</f>
        <v>41360554</v>
      </c>
      <c r="H24" s="34">
        <f t="shared" si="2"/>
        <v>0.4000070832026993</v>
      </c>
      <c r="I24" s="17"/>
      <c r="J24" s="17"/>
      <c r="K24" s="17"/>
      <c r="L24" s="17"/>
      <c r="M24" s="35"/>
      <c r="N24" s="17"/>
      <c r="O24" s="17"/>
      <c r="P24" s="17"/>
      <c r="Q24" s="17"/>
      <c r="R24" s="17"/>
      <c r="S24" s="17"/>
      <c r="T24" s="17"/>
      <c r="V24" s="12"/>
      <c r="W24" s="12"/>
    </row>
    <row r="25" spans="1:23" ht="12.75">
      <c r="A25" s="16" t="s">
        <v>47</v>
      </c>
      <c r="B25" s="11">
        <f>'Table A1 - FY99'!B25</f>
        <v>59715564</v>
      </c>
      <c r="C25" s="11">
        <f>'Table A1 - FY99'!C25</f>
        <v>3784961</v>
      </c>
      <c r="D25" s="34">
        <f t="shared" si="0"/>
        <v>0.06338315752991967</v>
      </c>
      <c r="E25" s="11">
        <f>'Table A1 - FY99'!D25</f>
        <v>0</v>
      </c>
      <c r="F25" s="34">
        <f t="shared" si="1"/>
        <v>0</v>
      </c>
      <c r="G25" s="11">
        <f>'Table A1 - FY99'!E25</f>
        <v>55930603</v>
      </c>
      <c r="H25" s="34">
        <f t="shared" si="2"/>
        <v>0.9366168424700804</v>
      </c>
      <c r="I25" s="11"/>
      <c r="J25" s="11"/>
      <c r="K25" s="11"/>
      <c r="L25" s="11"/>
      <c r="M25" s="35"/>
      <c r="N25" s="11"/>
      <c r="O25" s="11"/>
      <c r="P25" s="11"/>
      <c r="Q25" s="11"/>
      <c r="R25" s="11"/>
      <c r="S25" s="11"/>
      <c r="T25" s="11"/>
      <c r="V25" s="12"/>
      <c r="W25" s="12"/>
    </row>
    <row r="26" spans="1:23" ht="12.75">
      <c r="A26" s="16" t="s">
        <v>48</v>
      </c>
      <c r="B26" s="11">
        <f>'Table A1 - FY99'!B26</f>
        <v>101931061</v>
      </c>
      <c r="C26" s="11">
        <f>'Table A1 - FY99'!C26</f>
        <v>712677</v>
      </c>
      <c r="D26" s="34">
        <f t="shared" si="0"/>
        <v>0.006991754947002857</v>
      </c>
      <c r="E26" s="11">
        <f>'Table A1 - FY99'!D26</f>
        <v>0</v>
      </c>
      <c r="F26" s="34">
        <f t="shared" si="1"/>
        <v>0</v>
      </c>
      <c r="G26" s="11">
        <f>'Table A1 - FY99'!E26</f>
        <v>101218384</v>
      </c>
      <c r="H26" s="34">
        <f t="shared" si="2"/>
        <v>0.9930082450529971</v>
      </c>
      <c r="I26" s="17"/>
      <c r="J26" s="17"/>
      <c r="K26" s="17"/>
      <c r="L26" s="17"/>
      <c r="M26" s="35"/>
      <c r="N26" s="17"/>
      <c r="O26" s="17"/>
      <c r="P26" s="17"/>
      <c r="Q26" s="17"/>
      <c r="R26" s="17"/>
      <c r="S26" s="17"/>
      <c r="T26" s="17"/>
      <c r="V26" s="12"/>
      <c r="W26" s="12"/>
    </row>
    <row r="27" spans="1:23" ht="12.75">
      <c r="A27" s="16" t="s">
        <v>49</v>
      </c>
      <c r="B27" s="11">
        <f>'Table A1 - FY99'!B27</f>
        <v>85321917</v>
      </c>
      <c r="C27" s="11">
        <f>'Table A1 - FY99'!C27</f>
        <v>23133000</v>
      </c>
      <c r="D27" s="34">
        <f aca="true" t="shared" si="3" ref="D27:D42">C27/B27</f>
        <v>0.271126116399846</v>
      </c>
      <c r="E27" s="11">
        <f>'Table A1 - FY99'!D27</f>
        <v>14600000</v>
      </c>
      <c r="F27" s="34">
        <f aca="true" t="shared" si="4" ref="F27:F42">E27/B27</f>
        <v>0.17111664286680292</v>
      </c>
      <c r="G27" s="11">
        <f>'Table A1 - FY99'!E27</f>
        <v>47588917</v>
      </c>
      <c r="H27" s="34">
        <f aca="true" t="shared" si="5" ref="H27:H42">G27/B27</f>
        <v>0.5577572407333511</v>
      </c>
      <c r="I27" s="11"/>
      <c r="J27" s="11"/>
      <c r="K27" s="11"/>
      <c r="L27" s="11"/>
      <c r="M27" s="35"/>
      <c r="N27" s="11"/>
      <c r="O27" s="11"/>
      <c r="P27" s="11"/>
      <c r="Q27" s="11"/>
      <c r="R27" s="11"/>
      <c r="S27" s="11"/>
      <c r="T27" s="11"/>
      <c r="V27" s="12"/>
      <c r="W27" s="12"/>
    </row>
    <row r="28" spans="1:23" ht="12.75">
      <c r="A28" s="16" t="s">
        <v>50</v>
      </c>
      <c r="B28" s="11">
        <f>'Table A1 - FY99'!B28</f>
        <v>29226371</v>
      </c>
      <c r="C28" s="11">
        <f>'Table A1 - FY99'!C28</f>
        <v>8767911</v>
      </c>
      <c r="D28" s="34">
        <f t="shared" si="3"/>
        <v>0.2999999897352976</v>
      </c>
      <c r="E28" s="11">
        <f>'Table A1 - FY99'!D28</f>
        <v>0</v>
      </c>
      <c r="F28" s="34">
        <f t="shared" si="4"/>
        <v>0</v>
      </c>
      <c r="G28" s="11">
        <f>'Table A1 - FY99'!E28</f>
        <v>20458460</v>
      </c>
      <c r="H28" s="34">
        <f t="shared" si="5"/>
        <v>0.7000000102647024</v>
      </c>
      <c r="I28" s="11"/>
      <c r="J28" s="11"/>
      <c r="K28" s="11"/>
      <c r="L28" s="11"/>
      <c r="M28" s="35"/>
      <c r="N28" s="11"/>
      <c r="O28" s="11"/>
      <c r="P28" s="11"/>
      <c r="Q28" s="11"/>
      <c r="R28" s="11"/>
      <c r="S28" s="11"/>
      <c r="T28" s="11"/>
      <c r="V28" s="12"/>
      <c r="W28" s="12"/>
    </row>
    <row r="29" spans="1:23" ht="12.75">
      <c r="A29" s="16" t="s">
        <v>51</v>
      </c>
      <c r="B29" s="11">
        <f>'Table A1 - FY99'!B29</f>
        <v>33950176</v>
      </c>
      <c r="C29" s="11">
        <f>'Table A1 - FY99'!C29</f>
        <v>3756183</v>
      </c>
      <c r="D29" s="34">
        <f t="shared" si="3"/>
        <v>0.1106381009630112</v>
      </c>
      <c r="E29" s="11">
        <f>'Table A1 - FY99'!D29</f>
        <v>1250000</v>
      </c>
      <c r="F29" s="34">
        <f t="shared" si="4"/>
        <v>0.03681866038043514</v>
      </c>
      <c r="G29" s="11">
        <f>'Table A1 - FY99'!E29</f>
        <v>28943993</v>
      </c>
      <c r="H29" s="34">
        <f t="shared" si="5"/>
        <v>0.8525432386565537</v>
      </c>
      <c r="I29" s="11"/>
      <c r="J29" s="11"/>
      <c r="K29" s="11"/>
      <c r="L29" s="11"/>
      <c r="M29" s="35"/>
      <c r="N29" s="11"/>
      <c r="O29" s="11"/>
      <c r="P29" s="11"/>
      <c r="Q29" s="11"/>
      <c r="R29" s="11"/>
      <c r="S29" s="11"/>
      <c r="T29" s="11"/>
      <c r="V29" s="12"/>
      <c r="W29" s="12"/>
    </row>
    <row r="30" spans="1:23" ht="12.75">
      <c r="A30" s="16" t="s">
        <v>52</v>
      </c>
      <c r="B30" s="11">
        <f>'Table A1 - FY99'!B30</f>
        <v>114549016</v>
      </c>
      <c r="C30" s="11">
        <f>'Table A1 - FY99'!C30</f>
        <v>0</v>
      </c>
      <c r="D30" s="34">
        <f t="shared" si="3"/>
        <v>0</v>
      </c>
      <c r="E30" s="11">
        <f>'Table A1 - FY99'!D30</f>
        <v>0</v>
      </c>
      <c r="F30" s="34">
        <f t="shared" si="4"/>
        <v>0</v>
      </c>
      <c r="G30" s="11">
        <f>'Table A1 - FY99'!E30</f>
        <v>114549016</v>
      </c>
      <c r="H30" s="34">
        <f t="shared" si="5"/>
        <v>1</v>
      </c>
      <c r="I30" s="11"/>
      <c r="J30" s="11"/>
      <c r="K30" s="11"/>
      <c r="L30" s="11"/>
      <c r="M30" s="35"/>
      <c r="N30" s="11"/>
      <c r="O30" s="11"/>
      <c r="P30" s="11"/>
      <c r="Q30" s="11"/>
      <c r="R30" s="11"/>
      <c r="S30" s="11"/>
      <c r="T30" s="11"/>
      <c r="V30" s="12"/>
      <c r="W30" s="12"/>
    </row>
    <row r="31" spans="1:23" ht="12.75">
      <c r="A31" s="16" t="s">
        <v>53</v>
      </c>
      <c r="B31" s="11">
        <f>'Table A1 - FY99'!B31</f>
        <v>229685558</v>
      </c>
      <c r="C31" s="11">
        <f>'Table A1 - FY99'!C31</f>
        <v>45483064</v>
      </c>
      <c r="D31" s="34">
        <f t="shared" si="3"/>
        <v>0.19802317740848122</v>
      </c>
      <c r="E31" s="11">
        <f>'Table A1 - FY99'!D31</f>
        <v>8139468</v>
      </c>
      <c r="F31" s="34">
        <f t="shared" si="4"/>
        <v>0.03543743921417994</v>
      </c>
      <c r="G31" s="11">
        <f>'Table A1 - FY99'!E31</f>
        <v>176063026</v>
      </c>
      <c r="H31" s="34">
        <f t="shared" si="5"/>
        <v>0.7665393833773388</v>
      </c>
      <c r="I31" s="17"/>
      <c r="J31" s="17"/>
      <c r="K31" s="17"/>
      <c r="L31" s="17"/>
      <c r="M31" s="35"/>
      <c r="N31" s="17"/>
      <c r="O31" s="17"/>
      <c r="P31" s="17"/>
      <c r="Q31" s="17"/>
      <c r="R31" s="17"/>
      <c r="S31" s="17"/>
      <c r="T31" s="17"/>
      <c r="V31" s="12"/>
      <c r="W31" s="12"/>
    </row>
    <row r="32" spans="1:23" ht="12.75">
      <c r="A32" s="16" t="s">
        <v>54</v>
      </c>
      <c r="B32" s="11">
        <f>'Table A1 - FY99'!B32</f>
        <v>387676430</v>
      </c>
      <c r="C32" s="11">
        <f>'Table A1 - FY99'!C32</f>
        <v>77535286</v>
      </c>
      <c r="D32" s="34">
        <f t="shared" si="3"/>
        <v>0.2</v>
      </c>
      <c r="E32" s="11">
        <f>'Table A1 - FY99'!D32</f>
        <v>36856517</v>
      </c>
      <c r="F32" s="34">
        <f t="shared" si="4"/>
        <v>0.09507030644086359</v>
      </c>
      <c r="G32" s="11">
        <f>'Table A1 - FY99'!E32</f>
        <v>273284627</v>
      </c>
      <c r="H32" s="34">
        <f t="shared" si="5"/>
        <v>0.7049296935591364</v>
      </c>
      <c r="I32" s="17"/>
      <c r="J32" s="17"/>
      <c r="K32" s="17"/>
      <c r="L32" s="17"/>
      <c r="M32" s="35"/>
      <c r="N32" s="17"/>
      <c r="O32" s="17"/>
      <c r="P32" s="17"/>
      <c r="Q32" s="17"/>
      <c r="R32" s="17"/>
      <c r="S32" s="17"/>
      <c r="T32" s="17"/>
      <c r="V32" s="12"/>
      <c r="W32" s="12"/>
    </row>
    <row r="33" spans="1:23" ht="12.75">
      <c r="A33" s="16" t="s">
        <v>55</v>
      </c>
      <c r="B33" s="11">
        <f>'Table A1 - FY99'!B33</f>
        <v>133374788</v>
      </c>
      <c r="C33" s="11">
        <f>'Table A1 - FY99'!C33</f>
        <v>0</v>
      </c>
      <c r="D33" s="34">
        <f t="shared" si="3"/>
        <v>0</v>
      </c>
      <c r="E33" s="11">
        <f>'Table A1 - FY99'!D33</f>
        <v>0</v>
      </c>
      <c r="F33" s="34">
        <f t="shared" si="4"/>
        <v>0</v>
      </c>
      <c r="G33" s="11">
        <f>'Table A1 - FY99'!E33</f>
        <v>133374788</v>
      </c>
      <c r="H33" s="34">
        <f t="shared" si="5"/>
        <v>1</v>
      </c>
      <c r="I33" s="11"/>
      <c r="J33" s="11"/>
      <c r="K33" s="11"/>
      <c r="L33" s="11"/>
      <c r="M33" s="35"/>
      <c r="N33" s="11"/>
      <c r="O33" s="11"/>
      <c r="P33" s="11"/>
      <c r="Q33" s="11"/>
      <c r="R33" s="11"/>
      <c r="S33" s="11"/>
      <c r="T33" s="11"/>
      <c r="V33" s="12"/>
      <c r="W33" s="12"/>
    </row>
    <row r="34" spans="1:23" ht="12.75">
      <c r="A34" s="16" t="s">
        <v>56</v>
      </c>
      <c r="B34" s="11">
        <f>'Table A1 - FY99'!B34</f>
        <v>43954977</v>
      </c>
      <c r="C34" s="11">
        <f>'Table A1 - FY99'!C34</f>
        <v>0</v>
      </c>
      <c r="D34" s="34">
        <f t="shared" si="3"/>
        <v>0</v>
      </c>
      <c r="E34" s="11">
        <f>'Table A1 - FY99'!D34</f>
        <v>4338378</v>
      </c>
      <c r="F34" s="34">
        <f t="shared" si="4"/>
        <v>0.0987004952817971</v>
      </c>
      <c r="G34" s="11">
        <f>'Table A1 - FY99'!E34</f>
        <v>39616599</v>
      </c>
      <c r="H34" s="34">
        <f t="shared" si="5"/>
        <v>0.9012995047182029</v>
      </c>
      <c r="I34" s="11"/>
      <c r="J34" s="11"/>
      <c r="K34" s="11"/>
      <c r="L34" s="11"/>
      <c r="M34" s="35"/>
      <c r="N34" s="11"/>
      <c r="O34" s="11"/>
      <c r="P34" s="11"/>
      <c r="Q34" s="11"/>
      <c r="R34" s="11"/>
      <c r="S34" s="11"/>
      <c r="T34" s="11"/>
      <c r="V34" s="12"/>
      <c r="W34" s="12"/>
    </row>
    <row r="35" spans="1:23" ht="12.75">
      <c r="A35" s="16" t="s">
        <v>57</v>
      </c>
      <c r="B35" s="11">
        <f>'Table A1 - FY99'!B35</f>
        <v>108525870</v>
      </c>
      <c r="C35" s="11">
        <f>'Table A1 - FY99'!C35</f>
        <v>0</v>
      </c>
      <c r="D35" s="34">
        <f t="shared" si="3"/>
        <v>0</v>
      </c>
      <c r="E35" s="11">
        <f>'Table A1 - FY99'!D35</f>
        <v>21705174</v>
      </c>
      <c r="F35" s="34">
        <f t="shared" si="4"/>
        <v>0.2</v>
      </c>
      <c r="G35" s="11">
        <f>'Table A1 - FY99'!E35</f>
        <v>86820696</v>
      </c>
      <c r="H35" s="34">
        <f t="shared" si="5"/>
        <v>0.8</v>
      </c>
      <c r="I35" s="18"/>
      <c r="J35" s="18"/>
      <c r="K35" s="11"/>
      <c r="L35" s="18"/>
      <c r="M35" s="35"/>
      <c r="N35" s="18"/>
      <c r="O35" s="11"/>
      <c r="P35" s="18"/>
      <c r="Q35" s="11"/>
      <c r="R35" s="11"/>
      <c r="S35" s="18"/>
      <c r="T35" s="11"/>
      <c r="V35" s="12"/>
      <c r="W35" s="12"/>
    </row>
    <row r="36" spans="1:23" ht="12.75">
      <c r="A36" s="16" t="s">
        <v>58</v>
      </c>
      <c r="B36" s="11">
        <f>'Table A1 - FY99'!B36</f>
        <v>22417111</v>
      </c>
      <c r="C36" s="11">
        <f>'Table A1 - FY99'!C36</f>
        <v>0</v>
      </c>
      <c r="D36" s="34">
        <f t="shared" si="3"/>
        <v>0</v>
      </c>
      <c r="E36" s="11">
        <f>'Table A1 - FY99'!D36</f>
        <v>0</v>
      </c>
      <c r="F36" s="34">
        <f t="shared" si="4"/>
        <v>0</v>
      </c>
      <c r="G36" s="11">
        <f>'Table A1 - FY99'!E36</f>
        <v>22417111</v>
      </c>
      <c r="H36" s="34">
        <f t="shared" si="5"/>
        <v>1</v>
      </c>
      <c r="I36" s="11"/>
      <c r="J36" s="11"/>
      <c r="K36" s="11"/>
      <c r="L36" s="11"/>
      <c r="M36" s="35"/>
      <c r="N36" s="11"/>
      <c r="O36" s="11"/>
      <c r="P36" s="11"/>
      <c r="Q36" s="11"/>
      <c r="R36" s="11"/>
      <c r="S36" s="11"/>
      <c r="T36" s="11"/>
      <c r="V36" s="12"/>
      <c r="W36" s="12"/>
    </row>
    <row r="37" spans="1:23" ht="12.75">
      <c r="A37" s="13" t="s">
        <v>59</v>
      </c>
      <c r="B37" s="11">
        <f>'Table A1 - FY99'!B37</f>
        <v>29014290</v>
      </c>
      <c r="C37" s="11">
        <f>'Table A1 - FY99'!C37</f>
        <v>0</v>
      </c>
      <c r="D37" s="34">
        <f t="shared" si="3"/>
        <v>0</v>
      </c>
      <c r="E37" s="11">
        <f>'Table A1 - FY99'!D37</f>
        <v>0</v>
      </c>
      <c r="F37" s="34">
        <f t="shared" si="4"/>
        <v>0</v>
      </c>
      <c r="G37" s="11">
        <f>'Table A1 - FY99'!E37</f>
        <v>29014290</v>
      </c>
      <c r="H37" s="34">
        <f t="shared" si="5"/>
        <v>1</v>
      </c>
      <c r="I37" s="14"/>
      <c r="J37" s="14"/>
      <c r="K37" s="14"/>
      <c r="L37" s="14"/>
      <c r="M37" s="35"/>
      <c r="N37" s="14"/>
      <c r="O37" s="14"/>
      <c r="P37" s="14"/>
      <c r="Q37" s="14"/>
      <c r="R37" s="14"/>
      <c r="S37" s="14"/>
      <c r="T37" s="14"/>
      <c r="V37" s="12"/>
      <c r="W37" s="12"/>
    </row>
    <row r="38" spans="1:23" ht="12.75">
      <c r="A38" s="16" t="s">
        <v>60</v>
      </c>
      <c r="B38" s="11">
        <f>'Table A1 - FY99'!B38</f>
        <v>22898715</v>
      </c>
      <c r="C38" s="11">
        <f>'Table A1 - FY99'!C38</f>
        <v>0</v>
      </c>
      <c r="D38" s="34">
        <f t="shared" si="3"/>
        <v>0</v>
      </c>
      <c r="E38" s="11">
        <f>'Table A1 - FY99'!D38</f>
        <v>0</v>
      </c>
      <c r="F38" s="34">
        <f t="shared" si="4"/>
        <v>0</v>
      </c>
      <c r="G38" s="11">
        <f>'Table A1 - FY99'!E38</f>
        <v>22898715</v>
      </c>
      <c r="H38" s="34">
        <f t="shared" si="5"/>
        <v>1</v>
      </c>
      <c r="I38" s="11"/>
      <c r="J38" s="11"/>
      <c r="K38" s="11"/>
      <c r="L38" s="11"/>
      <c r="M38" s="35"/>
      <c r="N38" s="11"/>
      <c r="O38" s="11"/>
      <c r="P38" s="11"/>
      <c r="Q38" s="11"/>
      <c r="R38" s="11"/>
      <c r="S38" s="11"/>
      <c r="T38" s="11"/>
      <c r="V38" s="12"/>
      <c r="W38" s="12"/>
    </row>
    <row r="39" spans="1:23" ht="12.75">
      <c r="A39" s="16" t="s">
        <v>61</v>
      </c>
      <c r="B39" s="11">
        <f>'Table A1 - FY99'!B39</f>
        <v>19280315</v>
      </c>
      <c r="C39" s="11">
        <f>'Table A1 - FY99'!C39</f>
        <v>0</v>
      </c>
      <c r="D39" s="34">
        <f t="shared" si="3"/>
        <v>0</v>
      </c>
      <c r="E39" s="11">
        <f>'Table A1 - FY99'!D39</f>
        <v>0</v>
      </c>
      <c r="F39" s="34">
        <f t="shared" si="4"/>
        <v>0</v>
      </c>
      <c r="G39" s="11">
        <f>'Table A1 - FY99'!E39</f>
        <v>19280315</v>
      </c>
      <c r="H39" s="34">
        <f t="shared" si="5"/>
        <v>1</v>
      </c>
      <c r="I39" s="11"/>
      <c r="J39" s="11"/>
      <c r="K39" s="11"/>
      <c r="L39" s="11"/>
      <c r="M39" s="35"/>
      <c r="N39" s="11"/>
      <c r="O39" s="11"/>
      <c r="P39" s="11"/>
      <c r="Q39" s="11"/>
      <c r="R39" s="11"/>
      <c r="S39" s="11"/>
      <c r="T39" s="11"/>
      <c r="V39" s="12"/>
      <c r="W39" s="12"/>
    </row>
    <row r="40" spans="1:23" ht="12.75">
      <c r="A40" s="16" t="s">
        <v>62</v>
      </c>
      <c r="B40" s="11">
        <f>'Table A1 - FY99'!B40</f>
        <v>96283081</v>
      </c>
      <c r="C40" s="11">
        <f>'Table A1 - FY99'!C40</f>
        <v>32699968</v>
      </c>
      <c r="D40" s="34">
        <f t="shared" si="3"/>
        <v>0.3396231992202244</v>
      </c>
      <c r="E40" s="11">
        <f>'Table A1 - FY99'!D40</f>
        <v>20201742</v>
      </c>
      <c r="F40" s="34">
        <f t="shared" si="4"/>
        <v>0.209816115045176</v>
      </c>
      <c r="G40" s="11">
        <f>'Table A1 - FY99'!E40</f>
        <v>43381371</v>
      </c>
      <c r="H40" s="34">
        <f t="shared" si="5"/>
        <v>0.4505606857345996</v>
      </c>
      <c r="I40" s="11"/>
      <c r="J40" s="11"/>
      <c r="K40" s="11"/>
      <c r="L40" s="11"/>
      <c r="M40" s="35"/>
      <c r="N40" s="11"/>
      <c r="O40" s="11"/>
      <c r="P40" s="11"/>
      <c r="Q40" s="11"/>
      <c r="R40" s="11"/>
      <c r="S40" s="11"/>
      <c r="T40" s="11"/>
      <c r="V40" s="12"/>
      <c r="W40" s="12"/>
    </row>
    <row r="41" spans="1:23" ht="12.75">
      <c r="A41" s="16" t="s">
        <v>63</v>
      </c>
      <c r="B41" s="11">
        <f>'Table A1 - FY99'!B41</f>
        <v>65357300</v>
      </c>
      <c r="C41" s="11">
        <f>'Table A1 - FY99'!C41</f>
        <v>4773457</v>
      </c>
      <c r="D41" s="34">
        <f t="shared" si="3"/>
        <v>0.07303632493998376</v>
      </c>
      <c r="E41" s="11">
        <f>'Table A1 - FY99'!D41</f>
        <v>0</v>
      </c>
      <c r="F41" s="34">
        <f t="shared" si="4"/>
        <v>0</v>
      </c>
      <c r="G41" s="11">
        <f>'Table A1 - FY99'!E41</f>
        <v>60583843</v>
      </c>
      <c r="H41" s="34">
        <f t="shared" si="5"/>
        <v>0.9269636750600162</v>
      </c>
      <c r="I41" s="11"/>
      <c r="J41" s="11"/>
      <c r="K41" s="11"/>
      <c r="L41" s="11"/>
      <c r="M41" s="35"/>
      <c r="N41" s="11"/>
      <c r="O41" s="11"/>
      <c r="P41" s="11"/>
      <c r="Q41" s="11"/>
      <c r="R41" s="11"/>
      <c r="S41" s="11"/>
      <c r="T41" s="11"/>
      <c r="V41" s="12"/>
      <c r="W41" s="12"/>
    </row>
    <row r="42" spans="1:23" ht="12.75">
      <c r="A42" s="16" t="s">
        <v>64</v>
      </c>
      <c r="B42" s="11">
        <f>'Table A1 - FY99'!B42</f>
        <v>1221465300</v>
      </c>
      <c r="C42" s="11">
        <f>'Table A1 - FY99'!C42</f>
        <v>5000000</v>
      </c>
      <c r="D42" s="34">
        <f t="shared" si="3"/>
        <v>0.004093444160877923</v>
      </c>
      <c r="E42" s="11">
        <f>'Table A1 - FY99'!D42</f>
        <v>0</v>
      </c>
      <c r="F42" s="34">
        <f t="shared" si="4"/>
        <v>0</v>
      </c>
      <c r="G42" s="11">
        <f>'Table A1 - FY99'!E42</f>
        <v>1216465300</v>
      </c>
      <c r="H42" s="34">
        <f t="shared" si="5"/>
        <v>0.9959065558391221</v>
      </c>
      <c r="I42" s="11"/>
      <c r="J42" s="11"/>
      <c r="K42" s="11"/>
      <c r="L42" s="11"/>
      <c r="M42" s="35"/>
      <c r="N42" s="11"/>
      <c r="O42" s="11"/>
      <c r="P42" s="11"/>
      <c r="Q42" s="11"/>
      <c r="R42" s="11"/>
      <c r="S42" s="11"/>
      <c r="T42" s="11"/>
      <c r="V42" s="12"/>
      <c r="W42" s="12"/>
    </row>
    <row r="43" spans="1:23" ht="12.75">
      <c r="A43" s="16" t="s">
        <v>65</v>
      </c>
      <c r="B43" s="11">
        <f>'Table A1 - FY99'!B43</f>
        <v>159924420</v>
      </c>
      <c r="C43" s="11">
        <f>'Table A1 - FY99'!C43</f>
        <v>34861517</v>
      </c>
      <c r="D43" s="34">
        <f aca="true" t="shared" si="6" ref="D43:D58">C43/B43</f>
        <v>0.21798745307314543</v>
      </c>
      <c r="E43" s="11">
        <f>'Table A1 - FY99'!D43</f>
        <v>2503305</v>
      </c>
      <c r="F43" s="34">
        <f aca="true" t="shared" si="7" ref="F43:F58">E43/B43</f>
        <v>0.015653050359663648</v>
      </c>
      <c r="G43" s="11">
        <f>'Table A1 - FY99'!E43</f>
        <v>122559598</v>
      </c>
      <c r="H43" s="34">
        <f aca="true" t="shared" si="8" ref="H43:H58">G43/B43</f>
        <v>0.7663594965671909</v>
      </c>
      <c r="I43" s="11"/>
      <c r="J43" s="11"/>
      <c r="K43" s="11"/>
      <c r="L43" s="11"/>
      <c r="M43" s="35"/>
      <c r="N43" s="11"/>
      <c r="O43" s="11"/>
      <c r="P43" s="11"/>
      <c r="Q43" s="11"/>
      <c r="R43" s="11"/>
      <c r="S43" s="11"/>
      <c r="T43" s="11"/>
      <c r="V43" s="12"/>
      <c r="W43" s="12"/>
    </row>
    <row r="44" spans="1:23" ht="12.75">
      <c r="A44" s="16" t="s">
        <v>66</v>
      </c>
      <c r="B44" s="11">
        <f>'Table A1 - FY99'!B44</f>
        <v>12173252</v>
      </c>
      <c r="C44" s="11">
        <f>'Table A1 - FY99'!C44</f>
        <v>0</v>
      </c>
      <c r="D44" s="34">
        <f t="shared" si="6"/>
        <v>0</v>
      </c>
      <c r="E44" s="11">
        <f>'Table A1 - FY99'!D44</f>
        <v>0</v>
      </c>
      <c r="F44" s="34">
        <f t="shared" si="7"/>
        <v>0</v>
      </c>
      <c r="G44" s="11">
        <f>'Table A1 - FY99'!E44</f>
        <v>12173252</v>
      </c>
      <c r="H44" s="34">
        <f t="shared" si="8"/>
        <v>1</v>
      </c>
      <c r="I44" s="11"/>
      <c r="J44" s="11"/>
      <c r="K44" s="11"/>
      <c r="L44" s="11"/>
      <c r="M44" s="35"/>
      <c r="N44" s="11"/>
      <c r="O44" s="11"/>
      <c r="P44" s="11"/>
      <c r="Q44" s="11"/>
      <c r="R44" s="11"/>
      <c r="S44" s="11"/>
      <c r="T44" s="11"/>
      <c r="V44" s="12"/>
      <c r="W44" s="12"/>
    </row>
    <row r="45" spans="1:23" ht="12.75">
      <c r="A45" s="16" t="s">
        <v>67</v>
      </c>
      <c r="B45" s="11">
        <f>'Table A1 - FY99'!B45</f>
        <v>226039325</v>
      </c>
      <c r="C45" s="11">
        <f>'Table A1 - FY99'!C45</f>
        <v>0</v>
      </c>
      <c r="D45" s="34">
        <f t="shared" si="6"/>
        <v>0</v>
      </c>
      <c r="E45" s="11">
        <f>'Table A1 - FY99'!D45</f>
        <v>72796826</v>
      </c>
      <c r="F45" s="34">
        <f t="shared" si="7"/>
        <v>0.3220538107694314</v>
      </c>
      <c r="G45" s="11">
        <f>'Table A1 - FY99'!E45</f>
        <v>153242499</v>
      </c>
      <c r="H45" s="34">
        <f t="shared" si="8"/>
        <v>0.6779461892305686</v>
      </c>
      <c r="I45" s="11"/>
      <c r="J45" s="11"/>
      <c r="K45" s="11"/>
      <c r="L45" s="11"/>
      <c r="M45" s="35"/>
      <c r="N45" s="11"/>
      <c r="O45" s="11"/>
      <c r="P45" s="11"/>
      <c r="Q45" s="11"/>
      <c r="R45" s="11"/>
      <c r="S45" s="11"/>
      <c r="T45" s="11"/>
      <c r="V45" s="12"/>
      <c r="W45" s="12"/>
    </row>
    <row r="46" spans="1:23" ht="12.75">
      <c r="A46" s="16" t="s">
        <v>68</v>
      </c>
      <c r="B46" s="11">
        <f>'Table A1 - FY99'!B46</f>
        <v>73546442</v>
      </c>
      <c r="C46" s="11">
        <f>'Table A1 - FY99'!C46</f>
        <v>5355519</v>
      </c>
      <c r="D46" s="34">
        <f t="shared" si="6"/>
        <v>0.0728181928909627</v>
      </c>
      <c r="E46" s="11">
        <f>'Table A1 - FY99'!D46</f>
        <v>0</v>
      </c>
      <c r="F46" s="34">
        <f t="shared" si="7"/>
        <v>0</v>
      </c>
      <c r="G46" s="11">
        <f>'Table A1 - FY99'!E46</f>
        <v>68190923</v>
      </c>
      <c r="H46" s="34">
        <f t="shared" si="8"/>
        <v>0.9271818071090373</v>
      </c>
      <c r="I46" s="11"/>
      <c r="J46" s="11"/>
      <c r="K46" s="11"/>
      <c r="L46" s="11"/>
      <c r="M46" s="35"/>
      <c r="N46" s="11"/>
      <c r="O46" s="11"/>
      <c r="P46" s="11"/>
      <c r="Q46" s="11"/>
      <c r="R46" s="11"/>
      <c r="S46" s="11"/>
      <c r="T46" s="11"/>
      <c r="V46" s="12"/>
      <c r="W46" s="12"/>
    </row>
    <row r="47" spans="1:23" ht="12.75">
      <c r="A47" s="16" t="s">
        <v>69</v>
      </c>
      <c r="B47" s="11">
        <f>'Table A1 - FY99'!B47</f>
        <v>167808448</v>
      </c>
      <c r="C47" s="11">
        <f>'Table A1 - FY99'!C47</f>
        <v>0</v>
      </c>
      <c r="D47" s="34">
        <f t="shared" si="6"/>
        <v>0</v>
      </c>
      <c r="E47" s="11">
        <f>'Table A1 - FY99'!D47</f>
        <v>0</v>
      </c>
      <c r="F47" s="34">
        <f t="shared" si="7"/>
        <v>0</v>
      </c>
      <c r="G47" s="11">
        <f>'Table A1 - FY99'!E47</f>
        <v>167808448</v>
      </c>
      <c r="H47" s="34">
        <f t="shared" si="8"/>
        <v>1</v>
      </c>
      <c r="I47" s="17"/>
      <c r="J47" s="17"/>
      <c r="K47" s="17"/>
      <c r="L47" s="17"/>
      <c r="M47" s="35"/>
      <c r="N47" s="17"/>
      <c r="O47" s="17"/>
      <c r="P47" s="17"/>
      <c r="Q47" s="17"/>
      <c r="R47" s="17"/>
      <c r="S47" s="17"/>
      <c r="T47" s="17"/>
      <c r="V47" s="12"/>
      <c r="W47" s="12"/>
    </row>
    <row r="48" spans="1:23" ht="12.75">
      <c r="A48" s="16" t="s">
        <v>70</v>
      </c>
      <c r="B48" s="11">
        <f>'Table A1 - FY99'!B48</f>
        <v>359749826</v>
      </c>
      <c r="C48" s="11">
        <f>'Table A1 - FY99'!C48</f>
        <v>33368000</v>
      </c>
      <c r="D48" s="34">
        <f t="shared" si="6"/>
        <v>0.09275334576534305</v>
      </c>
      <c r="E48" s="11">
        <f>'Table A1 - FY99'!D48</f>
        <v>0</v>
      </c>
      <c r="F48" s="34">
        <f t="shared" si="7"/>
        <v>0</v>
      </c>
      <c r="G48" s="11">
        <f>'Table A1 - FY99'!E48</f>
        <v>326381826</v>
      </c>
      <c r="H48" s="34">
        <f t="shared" si="8"/>
        <v>0.907246654234657</v>
      </c>
      <c r="I48" s="11"/>
      <c r="J48" s="11"/>
      <c r="K48" s="11"/>
      <c r="L48" s="11"/>
      <c r="M48" s="35"/>
      <c r="N48" s="11"/>
      <c r="O48" s="11"/>
      <c r="P48" s="11"/>
      <c r="Q48" s="11"/>
      <c r="R48" s="11"/>
      <c r="S48" s="11"/>
      <c r="T48" s="11"/>
      <c r="V48" s="12"/>
      <c r="W48" s="12"/>
    </row>
    <row r="49" spans="1:23" ht="12.75">
      <c r="A49" s="16" t="s">
        <v>71</v>
      </c>
      <c r="B49" s="11">
        <f>'Table A1 - FY99'!B49</f>
        <v>46255397</v>
      </c>
      <c r="C49" s="11">
        <f>'Table A1 - FY99'!C49</f>
        <v>0</v>
      </c>
      <c r="D49" s="34">
        <f t="shared" si="6"/>
        <v>0</v>
      </c>
      <c r="E49" s="11">
        <f>'Table A1 - FY99'!D49</f>
        <v>0</v>
      </c>
      <c r="F49" s="34">
        <f t="shared" si="7"/>
        <v>0</v>
      </c>
      <c r="G49" s="11">
        <f>'Table A1 - FY99'!E49</f>
        <v>46255397</v>
      </c>
      <c r="H49" s="34">
        <f t="shared" si="8"/>
        <v>1</v>
      </c>
      <c r="I49" s="17"/>
      <c r="J49" s="17"/>
      <c r="K49" s="17"/>
      <c r="L49" s="17"/>
      <c r="M49" s="35"/>
      <c r="N49" s="17"/>
      <c r="O49" s="17"/>
      <c r="P49" s="17"/>
      <c r="Q49" s="17"/>
      <c r="R49" s="17"/>
      <c r="S49" s="17"/>
      <c r="T49" s="17"/>
      <c r="V49" s="12"/>
      <c r="W49" s="12"/>
    </row>
    <row r="50" spans="1:23" ht="12.75">
      <c r="A50" s="16" t="s">
        <v>72</v>
      </c>
      <c r="B50" s="11">
        <f>'Table A1 - FY99'!B50</f>
        <v>49983912</v>
      </c>
      <c r="C50" s="11">
        <f>'Table A1 - FY99'!C50</f>
        <v>0</v>
      </c>
      <c r="D50" s="34">
        <f t="shared" si="6"/>
        <v>0</v>
      </c>
      <c r="E50" s="11">
        <f>'Table A1 - FY99'!D50</f>
        <v>0</v>
      </c>
      <c r="F50" s="34">
        <f t="shared" si="7"/>
        <v>0</v>
      </c>
      <c r="G50" s="11">
        <f>'Table A1 - FY99'!E50</f>
        <v>49983912</v>
      </c>
      <c r="H50" s="34">
        <f t="shared" si="8"/>
        <v>1</v>
      </c>
      <c r="I50" s="11"/>
      <c r="J50" s="11"/>
      <c r="K50" s="11"/>
      <c r="L50" s="11"/>
      <c r="M50" s="35"/>
      <c r="N50" s="11"/>
      <c r="O50" s="11"/>
      <c r="P50" s="11"/>
      <c r="Q50" s="11"/>
      <c r="R50" s="11"/>
      <c r="S50" s="11"/>
      <c r="T50" s="11"/>
      <c r="V50" s="12"/>
      <c r="W50" s="12"/>
    </row>
    <row r="51" spans="1:23" ht="12.75">
      <c r="A51" s="16" t="s">
        <v>73</v>
      </c>
      <c r="B51" s="11">
        <f>'Table A1 - FY99'!B51</f>
        <v>11193274</v>
      </c>
      <c r="C51" s="11">
        <f>'Table A1 - FY99'!C51</f>
        <v>0</v>
      </c>
      <c r="D51" s="34">
        <f t="shared" si="6"/>
        <v>0</v>
      </c>
      <c r="E51" s="11">
        <f>'Table A1 - FY99'!D51</f>
        <v>0</v>
      </c>
      <c r="F51" s="34">
        <f t="shared" si="7"/>
        <v>0</v>
      </c>
      <c r="G51" s="11">
        <f>'Table A1 - FY99'!E51</f>
        <v>11193274</v>
      </c>
      <c r="H51" s="34">
        <f t="shared" si="8"/>
        <v>1</v>
      </c>
      <c r="I51" s="11"/>
      <c r="J51" s="11"/>
      <c r="K51" s="11"/>
      <c r="L51" s="11"/>
      <c r="M51" s="35"/>
      <c r="N51" s="11"/>
      <c r="O51" s="11"/>
      <c r="P51" s="11"/>
      <c r="Q51" s="11"/>
      <c r="R51" s="11"/>
      <c r="S51" s="11"/>
      <c r="T51" s="11"/>
      <c r="V51" s="12"/>
      <c r="W51" s="12"/>
    </row>
    <row r="52" spans="1:23" ht="12.75">
      <c r="A52" s="16" t="s">
        <v>74</v>
      </c>
      <c r="B52" s="11">
        <f>'Table A1 - FY99'!B52</f>
        <v>152821447</v>
      </c>
      <c r="C52" s="11">
        <f>'Table A1 - FY99'!C52</f>
        <v>15900869</v>
      </c>
      <c r="D52" s="34">
        <f t="shared" si="6"/>
        <v>0.10404867452930217</v>
      </c>
      <c r="E52" s="11">
        <f>'Table A1 - FY99'!D52</f>
        <v>0</v>
      </c>
      <c r="F52" s="34">
        <f t="shared" si="7"/>
        <v>0</v>
      </c>
      <c r="G52" s="11">
        <f>'Table A1 - FY99'!E52</f>
        <v>136920578</v>
      </c>
      <c r="H52" s="34">
        <f t="shared" si="8"/>
        <v>0.8959513254706979</v>
      </c>
      <c r="I52" s="17"/>
      <c r="J52" s="17"/>
      <c r="K52" s="17"/>
      <c r="L52" s="17"/>
      <c r="M52" s="35"/>
      <c r="N52" s="17"/>
      <c r="O52" s="17"/>
      <c r="P52" s="17"/>
      <c r="Q52" s="17"/>
      <c r="R52" s="17"/>
      <c r="S52" s="17"/>
      <c r="T52" s="17"/>
      <c r="V52" s="12"/>
      <c r="W52" s="12"/>
    </row>
    <row r="53" spans="1:23" ht="12.75">
      <c r="A53" s="16" t="s">
        <v>75</v>
      </c>
      <c r="B53" s="11">
        <f>'Table A1 - FY99'!B53</f>
        <v>216402639</v>
      </c>
      <c r="C53" s="11">
        <f>'Table A1 - FY99'!C53</f>
        <v>0</v>
      </c>
      <c r="D53" s="34">
        <f t="shared" si="6"/>
        <v>0</v>
      </c>
      <c r="E53" s="11">
        <f>'Table A1 - FY99'!D53</f>
        <v>10052759</v>
      </c>
      <c r="F53" s="34">
        <f t="shared" si="7"/>
        <v>0.046453957523133534</v>
      </c>
      <c r="G53" s="11">
        <f>'Table A1 - FY99'!E53</f>
        <v>206349880</v>
      </c>
      <c r="H53" s="34">
        <f t="shared" si="8"/>
        <v>0.9535460424768665</v>
      </c>
      <c r="I53" s="11"/>
      <c r="J53" s="11"/>
      <c r="K53" s="11"/>
      <c r="L53" s="11"/>
      <c r="M53" s="35"/>
      <c r="N53" s="11"/>
      <c r="O53" s="11"/>
      <c r="P53" s="11"/>
      <c r="Q53" s="11"/>
      <c r="R53" s="11"/>
      <c r="S53" s="11"/>
      <c r="T53" s="11"/>
      <c r="V53" s="12"/>
      <c r="W53" s="12"/>
    </row>
    <row r="54" spans="1:23" ht="12.75">
      <c r="A54" s="16" t="s">
        <v>76</v>
      </c>
      <c r="B54" s="11">
        <f>'Table A1 - FY99'!B54</f>
        <v>41059681</v>
      </c>
      <c r="C54" s="11">
        <f>'Table A1 - FY99'!C54</f>
        <v>0</v>
      </c>
      <c r="D54" s="34">
        <f t="shared" si="6"/>
        <v>0</v>
      </c>
      <c r="E54" s="11">
        <f>'Table A1 - FY99'!D54</f>
        <v>0</v>
      </c>
      <c r="F54" s="34">
        <f t="shared" si="7"/>
        <v>0</v>
      </c>
      <c r="G54" s="11">
        <f>'Table A1 - FY99'!E54</f>
        <v>41059681</v>
      </c>
      <c r="H54" s="34">
        <f t="shared" si="8"/>
        <v>1</v>
      </c>
      <c r="I54" s="17"/>
      <c r="J54" s="17"/>
      <c r="K54" s="17"/>
      <c r="L54" s="17"/>
      <c r="M54" s="35"/>
      <c r="N54" s="17"/>
      <c r="O54" s="17"/>
      <c r="P54" s="17"/>
      <c r="Q54" s="17"/>
      <c r="R54" s="17"/>
      <c r="S54" s="17"/>
      <c r="T54" s="17"/>
      <c r="V54" s="12"/>
      <c r="W54" s="12"/>
    </row>
    <row r="55" spans="1:23" ht="12.75">
      <c r="A55" s="16" t="s">
        <v>77</v>
      </c>
      <c r="B55" s="11">
        <f>'Table A1 - FY99'!B55</f>
        <v>23676590</v>
      </c>
      <c r="C55" s="11">
        <f>'Table A1 - FY99'!C55</f>
        <v>3371283</v>
      </c>
      <c r="D55" s="34">
        <f t="shared" si="6"/>
        <v>0.14238887441139117</v>
      </c>
      <c r="E55" s="11">
        <f>'Table A1 - FY99'!D55</f>
        <v>2367659</v>
      </c>
      <c r="F55" s="34">
        <f t="shared" si="7"/>
        <v>0.1</v>
      </c>
      <c r="G55" s="11">
        <f>'Table A1 - FY99'!E55</f>
        <v>17937648</v>
      </c>
      <c r="H55" s="34">
        <f t="shared" si="8"/>
        <v>0.7576111255886089</v>
      </c>
      <c r="I55" s="11"/>
      <c r="J55" s="11"/>
      <c r="K55" s="11"/>
      <c r="L55" s="11"/>
      <c r="M55" s="35"/>
      <c r="N55" s="11"/>
      <c r="O55" s="11"/>
      <c r="P55" s="11"/>
      <c r="Q55" s="11"/>
      <c r="R55" s="11"/>
      <c r="S55" s="11"/>
      <c r="T55" s="11"/>
      <c r="V55" s="12"/>
      <c r="W55" s="12"/>
    </row>
    <row r="56" spans="1:23" ht="12.75">
      <c r="A56" s="16" t="s">
        <v>78</v>
      </c>
      <c r="B56" s="11">
        <f>'Table A1 - FY99'!B56</f>
        <v>56216871</v>
      </c>
      <c r="C56" s="11">
        <f>'Table A1 - FY99'!C56</f>
        <v>0</v>
      </c>
      <c r="D56" s="34">
        <f t="shared" si="6"/>
        <v>0</v>
      </c>
      <c r="E56" s="11">
        <f>'Table A1 - FY99'!D56</f>
        <v>0</v>
      </c>
      <c r="F56" s="34">
        <f t="shared" si="7"/>
        <v>0</v>
      </c>
      <c r="G56" s="11">
        <f>'Table A1 - FY99'!E56</f>
        <v>56216871</v>
      </c>
      <c r="H56" s="34">
        <f t="shared" si="8"/>
        <v>1</v>
      </c>
      <c r="I56" s="17"/>
      <c r="J56" s="17"/>
      <c r="K56" s="17"/>
      <c r="L56" s="17"/>
      <c r="M56" s="35"/>
      <c r="N56" s="17"/>
      <c r="O56" s="17"/>
      <c r="P56" s="17"/>
      <c r="Q56" s="11"/>
      <c r="R56" s="17"/>
      <c r="S56" s="17"/>
      <c r="T56" s="17"/>
      <c r="V56" s="12"/>
      <c r="W56" s="12"/>
    </row>
    <row r="57" spans="1:23" ht="12.75">
      <c r="A57" s="16" t="s">
        <v>79</v>
      </c>
      <c r="B57" s="11">
        <f>'Table A1 - FY99'!B57</f>
        <v>183301560</v>
      </c>
      <c r="C57" s="11">
        <f>'Table A1 - FY99'!C57</f>
        <v>0</v>
      </c>
      <c r="D57" s="34">
        <f t="shared" si="6"/>
        <v>0</v>
      </c>
      <c r="E57" s="11">
        <f>'Table A1 - FY99'!D57</f>
        <v>0</v>
      </c>
      <c r="F57" s="34">
        <f t="shared" si="7"/>
        <v>0</v>
      </c>
      <c r="G57" s="11">
        <f>'Table A1 - FY99'!E57</f>
        <v>183301560</v>
      </c>
      <c r="H57" s="34">
        <f t="shared" si="8"/>
        <v>1</v>
      </c>
      <c r="I57" s="11"/>
      <c r="J57" s="11"/>
      <c r="K57" s="11"/>
      <c r="L57" s="11"/>
      <c r="M57" s="35"/>
      <c r="N57" s="11"/>
      <c r="O57" s="11"/>
      <c r="P57" s="11"/>
      <c r="Q57" s="11"/>
      <c r="R57" s="11"/>
      <c r="S57" s="11"/>
      <c r="T57" s="11"/>
      <c r="V57" s="12"/>
      <c r="W57" s="12"/>
    </row>
    <row r="58" spans="1:23" ht="12.75">
      <c r="A58" s="16" t="s">
        <v>80</v>
      </c>
      <c r="B58" s="11">
        <f>'Table A1 - FY99'!B58</f>
        <v>55088154</v>
      </c>
      <c r="C58" s="11">
        <f>'Table A1 - FY99'!C58</f>
        <v>10000000</v>
      </c>
      <c r="D58" s="34">
        <f t="shared" si="6"/>
        <v>0.18152722997397952</v>
      </c>
      <c r="E58" s="11">
        <f>'Table A1 - FY99'!D58</f>
        <v>8200000</v>
      </c>
      <c r="F58" s="34">
        <f t="shared" si="7"/>
        <v>0.1488523285786632</v>
      </c>
      <c r="G58" s="11">
        <f>'Table A1 - FY99'!E58</f>
        <v>36888154</v>
      </c>
      <c r="H58" s="34">
        <f t="shared" si="8"/>
        <v>0.6696204414473572</v>
      </c>
      <c r="I58" s="11"/>
      <c r="J58" s="11"/>
      <c r="K58" s="11"/>
      <c r="L58" s="11"/>
      <c r="M58" s="35"/>
      <c r="N58" s="11"/>
      <c r="O58" s="11"/>
      <c r="P58" s="11"/>
      <c r="Q58" s="11"/>
      <c r="R58" s="11"/>
      <c r="S58" s="11"/>
      <c r="T58" s="11"/>
      <c r="V58" s="12"/>
      <c r="W58" s="12"/>
    </row>
    <row r="59" spans="1:23" ht="12.75">
      <c r="A59" s="16" t="s">
        <v>81</v>
      </c>
      <c r="B59" s="11">
        <f>'Table A1 - FY99'!B59</f>
        <v>236079195</v>
      </c>
      <c r="C59" s="11">
        <f>'Table A1 - FY99'!C59</f>
        <v>0</v>
      </c>
      <c r="D59" s="34">
        <f>C59/B59</f>
        <v>0</v>
      </c>
      <c r="E59" s="11">
        <f>'Table A1 - FY99'!D59</f>
        <v>15900000</v>
      </c>
      <c r="F59" s="34">
        <f>E59/B59</f>
        <v>0.06735028048532612</v>
      </c>
      <c r="G59" s="11">
        <f>'Table A1 - FY99'!E59</f>
        <v>220179195</v>
      </c>
      <c r="H59" s="34">
        <f>G59/B59</f>
        <v>0.9326497195146739</v>
      </c>
      <c r="I59" s="11"/>
      <c r="J59" s="11"/>
      <c r="K59" s="11"/>
      <c r="L59" s="11"/>
      <c r="M59" s="35"/>
      <c r="N59" s="11"/>
      <c r="O59" s="11"/>
      <c r="P59" s="11"/>
      <c r="Q59" s="11"/>
      <c r="R59" s="11"/>
      <c r="S59" s="11"/>
      <c r="T59" s="11"/>
      <c r="V59" s="12"/>
      <c r="W59" s="12"/>
    </row>
    <row r="60" spans="1:23" ht="12.75">
      <c r="A60" s="19" t="s">
        <v>82</v>
      </c>
      <c r="B60" s="11">
        <f>'Table A1 - FY99'!B60</f>
        <v>6245382</v>
      </c>
      <c r="C60" s="11">
        <f>'Table A1 - FY99'!C60</f>
        <v>0</v>
      </c>
      <c r="D60" s="34">
        <f>C60/B60</f>
        <v>0</v>
      </c>
      <c r="E60" s="11">
        <f>'Table A1 - FY99'!D60</f>
        <v>0</v>
      </c>
      <c r="F60" s="34">
        <f>E60/B60</f>
        <v>0</v>
      </c>
      <c r="G60" s="11">
        <f>'Table A1 - FY99'!E60</f>
        <v>6245382</v>
      </c>
      <c r="H60" s="34">
        <f>G60/B60</f>
        <v>1</v>
      </c>
      <c r="I60" s="17"/>
      <c r="J60" s="17"/>
      <c r="K60" s="17"/>
      <c r="L60" s="17"/>
      <c r="M60" s="35"/>
      <c r="N60" s="17"/>
      <c r="O60" s="17"/>
      <c r="P60" s="17"/>
      <c r="Q60" s="17"/>
      <c r="R60" s="17"/>
      <c r="S60" s="17"/>
      <c r="T60" s="17"/>
      <c r="V60" s="12"/>
      <c r="W60" s="12"/>
    </row>
    <row r="61" spans="1:23" ht="12.75">
      <c r="A61" s="16"/>
      <c r="B61" s="20"/>
      <c r="C61" s="10"/>
      <c r="D61" s="34"/>
      <c r="E61" s="10"/>
      <c r="F61" s="34"/>
      <c r="G61" s="11"/>
      <c r="H61" s="34"/>
      <c r="I61" s="11"/>
      <c r="J61" s="11"/>
      <c r="K61" s="11"/>
      <c r="L61" s="11"/>
      <c r="M61" s="35"/>
      <c r="N61" s="11"/>
      <c r="O61" s="11"/>
      <c r="P61" s="11"/>
      <c r="Q61" s="11"/>
      <c r="R61" s="11"/>
      <c r="S61" s="11"/>
      <c r="T61" s="11"/>
      <c r="V61" s="12"/>
      <c r="W61" s="12"/>
    </row>
    <row r="62" spans="1:23" ht="13.5" thickBot="1">
      <c r="A62" s="22" t="s">
        <v>83</v>
      </c>
      <c r="B62" s="23">
        <f>SUM(B10:B61)</f>
        <v>8180429523</v>
      </c>
      <c r="C62" s="23">
        <f>SUM(C10:C60)</f>
        <v>510073913</v>
      </c>
      <c r="D62" s="36">
        <f>C62/B62</f>
        <v>0.06235294999680422</v>
      </c>
      <c r="E62" s="23">
        <f>SUM(E10:E60)</f>
        <v>292256837</v>
      </c>
      <c r="F62" s="36">
        <f>E62/B62</f>
        <v>0.03572634373027652</v>
      </c>
      <c r="G62" s="23">
        <f>SUM(G10:G60)</f>
        <v>7378098773</v>
      </c>
      <c r="H62" s="36">
        <f>G62/B62</f>
        <v>0.9019207062729192</v>
      </c>
      <c r="I62" s="23"/>
      <c r="J62" s="23"/>
      <c r="K62" s="23"/>
      <c r="L62" s="23"/>
      <c r="M62" s="35"/>
      <c r="N62" s="23"/>
      <c r="O62" s="23"/>
      <c r="P62" s="23"/>
      <c r="Q62" s="23"/>
      <c r="R62" s="23"/>
      <c r="S62" s="23"/>
      <c r="T62" s="23"/>
      <c r="V62" s="12"/>
      <c r="W62" s="12"/>
    </row>
    <row r="63" spans="9:20" ht="13.5" thickTop="1">
      <c r="I63" s="18"/>
      <c r="J63" s="18"/>
      <c r="K63" s="18"/>
      <c r="L63" s="18"/>
      <c r="M63" s="18"/>
      <c r="N63" s="18"/>
      <c r="O63" s="18"/>
      <c r="P63" s="18"/>
      <c r="Q63" s="18"/>
      <c r="R63" s="18"/>
      <c r="S63" s="18"/>
      <c r="T63" s="24"/>
    </row>
    <row r="64" spans="1:20" ht="14.25">
      <c r="A64" s="25" t="s">
        <v>85</v>
      </c>
      <c r="I64" s="18"/>
      <c r="J64" s="18"/>
      <c r="K64" s="18"/>
      <c r="L64" s="18"/>
      <c r="M64" s="18"/>
      <c r="N64" s="18"/>
      <c r="O64" s="18"/>
      <c r="P64" s="18"/>
      <c r="Q64" s="18"/>
      <c r="R64" s="18"/>
      <c r="S64" s="18"/>
      <c r="T64" s="18"/>
    </row>
    <row r="65" spans="1:20" ht="12.75">
      <c r="A65" s="26"/>
      <c r="I65" s="18"/>
      <c r="J65" s="18"/>
      <c r="K65" s="18"/>
      <c r="L65" s="18"/>
      <c r="M65" s="18"/>
      <c r="N65" s="18"/>
      <c r="O65" s="18"/>
      <c r="P65" s="18"/>
      <c r="Q65" s="18"/>
      <c r="R65" s="18"/>
      <c r="S65" s="18"/>
      <c r="T65" s="18"/>
    </row>
    <row r="66" spans="1:20" ht="15">
      <c r="A66" s="27" t="s">
        <v>119</v>
      </c>
      <c r="I66" s="18"/>
      <c r="J66" s="18"/>
      <c r="K66" s="18"/>
      <c r="L66" s="18"/>
      <c r="M66" s="18"/>
      <c r="N66" s="18"/>
      <c r="O66" s="18"/>
      <c r="P66" s="18"/>
      <c r="Q66" s="18"/>
      <c r="R66" s="18"/>
      <c r="S66" s="18"/>
      <c r="T66" s="18"/>
    </row>
    <row r="67" spans="1:20" ht="12.75">
      <c r="A67" s="1" t="s">
        <v>247</v>
      </c>
      <c r="I67" s="18"/>
      <c r="J67" s="18"/>
      <c r="K67" s="18"/>
      <c r="L67" s="18"/>
      <c r="M67" s="18"/>
      <c r="N67" s="18"/>
      <c r="O67" s="18"/>
      <c r="P67" s="18"/>
      <c r="Q67" s="18"/>
      <c r="R67" s="18"/>
      <c r="S67" s="18"/>
      <c r="T67" s="18"/>
    </row>
    <row r="68" spans="1:20" ht="15">
      <c r="A68" s="27"/>
      <c r="I68" s="18"/>
      <c r="J68" s="18"/>
      <c r="K68" s="18"/>
      <c r="L68" s="18"/>
      <c r="M68" s="18"/>
      <c r="N68" s="18"/>
      <c r="O68" s="18"/>
      <c r="P68" s="18"/>
      <c r="Q68" s="18"/>
      <c r="R68" s="18"/>
      <c r="S68" s="18"/>
      <c r="T68" s="18"/>
    </row>
    <row r="69" spans="1:20" ht="14.25">
      <c r="A69" s="25" t="s">
        <v>87</v>
      </c>
      <c r="I69" s="18"/>
      <c r="J69" s="18"/>
      <c r="K69" s="18"/>
      <c r="L69" s="18"/>
      <c r="M69" s="18"/>
      <c r="N69" s="18"/>
      <c r="O69" s="18"/>
      <c r="P69" s="18"/>
      <c r="Q69" s="18"/>
      <c r="R69" s="18"/>
      <c r="S69" s="18"/>
      <c r="T69" s="18"/>
    </row>
    <row r="70" spans="1:20" ht="14.25">
      <c r="A70" s="25" t="s">
        <v>248</v>
      </c>
      <c r="I70" s="18"/>
      <c r="J70" s="18"/>
      <c r="K70" s="18"/>
      <c r="L70" s="18"/>
      <c r="M70" s="18"/>
      <c r="N70" s="18"/>
      <c r="O70" s="18"/>
      <c r="P70" s="18"/>
      <c r="Q70" s="18"/>
      <c r="R70" s="18"/>
      <c r="S70" s="18"/>
      <c r="T70" s="18"/>
    </row>
    <row r="71" ht="14.25">
      <c r="A71" s="25"/>
    </row>
    <row r="72" spans="1:20" ht="14.25">
      <c r="A72" s="25"/>
      <c r="I72" s="18"/>
      <c r="J72" s="18"/>
      <c r="K72" s="18"/>
      <c r="L72" s="18"/>
      <c r="M72" s="18"/>
      <c r="N72" s="18"/>
      <c r="O72" s="18"/>
      <c r="P72" s="18"/>
      <c r="Q72" s="18"/>
      <c r="R72" s="18"/>
      <c r="S72" s="18"/>
      <c r="T72" s="18"/>
    </row>
    <row r="73" spans="9:20" ht="12.75">
      <c r="I73" s="18"/>
      <c r="J73" s="18"/>
      <c r="K73" s="18"/>
      <c r="L73" s="18"/>
      <c r="M73" s="18"/>
      <c r="N73" s="18"/>
      <c r="O73" s="18"/>
      <c r="P73" s="18"/>
      <c r="Q73" s="18"/>
      <c r="R73" s="18"/>
      <c r="S73" s="18"/>
      <c r="T73" s="18"/>
    </row>
    <row r="74" spans="9:20" ht="12.75">
      <c r="I74" s="18"/>
      <c r="J74" s="18"/>
      <c r="K74" s="18"/>
      <c r="L74" s="18"/>
      <c r="M74" s="18"/>
      <c r="N74" s="18"/>
      <c r="O74" s="18"/>
      <c r="P74" s="18"/>
      <c r="Q74" s="18"/>
      <c r="R74" s="18"/>
      <c r="S74" s="18"/>
      <c r="T74" s="18"/>
    </row>
    <row r="75" spans="9:20" ht="12.75">
      <c r="I75" s="18"/>
      <c r="J75" s="18"/>
      <c r="K75" s="18"/>
      <c r="L75" s="18"/>
      <c r="M75" s="18"/>
      <c r="N75" s="18"/>
      <c r="O75" s="18"/>
      <c r="P75" s="18"/>
      <c r="Q75" s="18"/>
      <c r="R75" s="18"/>
      <c r="S75" s="18"/>
      <c r="T75" s="18"/>
    </row>
    <row r="76" spans="9:20" ht="12.75">
      <c r="I76" s="18"/>
      <c r="J76" s="18"/>
      <c r="K76" s="18"/>
      <c r="L76" s="18"/>
      <c r="M76" s="18"/>
      <c r="N76" s="18"/>
      <c r="O76" s="18"/>
      <c r="P76" s="18"/>
      <c r="Q76" s="18"/>
      <c r="R76" s="18"/>
      <c r="S76" s="18"/>
      <c r="T76" s="18"/>
    </row>
    <row r="77" spans="9:20" ht="12.75">
      <c r="I77" s="18"/>
      <c r="J77" s="18"/>
      <c r="K77" s="18"/>
      <c r="L77" s="18"/>
      <c r="M77" s="18"/>
      <c r="N77" s="18"/>
      <c r="O77" s="18"/>
      <c r="P77" s="18"/>
      <c r="Q77" s="18"/>
      <c r="R77" s="18"/>
      <c r="S77" s="18"/>
      <c r="T77" s="18"/>
    </row>
    <row r="78" spans="9:20" ht="12.75">
      <c r="I78" s="18"/>
      <c r="J78" s="18"/>
      <c r="K78" s="18"/>
      <c r="L78" s="18"/>
      <c r="M78" s="18"/>
      <c r="N78" s="18"/>
      <c r="O78" s="18"/>
      <c r="P78" s="18"/>
      <c r="Q78" s="18"/>
      <c r="R78" s="18"/>
      <c r="S78" s="18"/>
      <c r="T78" s="18"/>
    </row>
    <row r="79" spans="9:20" ht="12.75">
      <c r="I79" s="18"/>
      <c r="J79" s="18"/>
      <c r="K79" s="18"/>
      <c r="L79" s="18"/>
      <c r="M79" s="18"/>
      <c r="N79" s="18"/>
      <c r="O79" s="18"/>
      <c r="P79" s="18"/>
      <c r="Q79" s="18"/>
      <c r="R79" s="18"/>
      <c r="S79" s="18"/>
      <c r="T79" s="18"/>
    </row>
    <row r="80" spans="9:20" ht="12.75">
      <c r="I80" s="18"/>
      <c r="J80" s="18"/>
      <c r="K80" s="18"/>
      <c r="L80" s="18"/>
      <c r="M80" s="18"/>
      <c r="N80" s="18"/>
      <c r="O80" s="18"/>
      <c r="P80" s="18"/>
      <c r="Q80" s="18"/>
      <c r="R80" s="18"/>
      <c r="S80" s="18"/>
      <c r="T80" s="18"/>
    </row>
    <row r="81" spans="9:20" ht="12.75">
      <c r="I81" s="18"/>
      <c r="J81" s="18"/>
      <c r="K81" s="18"/>
      <c r="L81" s="18"/>
      <c r="M81" s="18"/>
      <c r="N81" s="18"/>
      <c r="O81" s="18"/>
      <c r="P81" s="18"/>
      <c r="Q81" s="18"/>
      <c r="R81" s="18"/>
      <c r="S81" s="18"/>
      <c r="T81" s="18"/>
    </row>
    <row r="82" spans="9:20" ht="12.75">
      <c r="I82" s="18"/>
      <c r="J82" s="18"/>
      <c r="K82" s="18"/>
      <c r="L82" s="18"/>
      <c r="M82" s="18"/>
      <c r="N82" s="18"/>
      <c r="O82" s="18"/>
      <c r="P82" s="18"/>
      <c r="Q82" s="18"/>
      <c r="R82" s="18"/>
      <c r="S82" s="18"/>
      <c r="T82" s="18"/>
    </row>
    <row r="83" spans="9:20" ht="12.75">
      <c r="I83" s="18"/>
      <c r="J83" s="18"/>
      <c r="K83" s="18"/>
      <c r="L83" s="18"/>
      <c r="M83" s="18"/>
      <c r="N83" s="18"/>
      <c r="O83" s="18"/>
      <c r="P83" s="18"/>
      <c r="Q83" s="18"/>
      <c r="R83" s="18"/>
      <c r="S83" s="18"/>
      <c r="T83" s="18"/>
    </row>
    <row r="84" spans="9:20" ht="12.75">
      <c r="I84" s="18"/>
      <c r="J84" s="18"/>
      <c r="K84" s="18"/>
      <c r="L84" s="18"/>
      <c r="M84" s="18"/>
      <c r="N84" s="18"/>
      <c r="O84" s="18"/>
      <c r="P84" s="18"/>
      <c r="Q84" s="18"/>
      <c r="R84" s="18"/>
      <c r="S84" s="18"/>
      <c r="T84" s="18"/>
    </row>
    <row r="85" spans="9:20" ht="12.75">
      <c r="I85" s="18"/>
      <c r="J85" s="18"/>
      <c r="K85" s="18"/>
      <c r="L85" s="18"/>
      <c r="M85" s="18"/>
      <c r="N85" s="18"/>
      <c r="O85" s="18"/>
      <c r="P85" s="18"/>
      <c r="Q85" s="18"/>
      <c r="R85" s="18"/>
      <c r="S85" s="18"/>
      <c r="T85" s="18"/>
    </row>
    <row r="86" spans="9:20" ht="12.75">
      <c r="I86" s="18"/>
      <c r="J86" s="18"/>
      <c r="K86" s="18"/>
      <c r="L86" s="18"/>
      <c r="M86" s="18"/>
      <c r="N86" s="18"/>
      <c r="O86" s="18"/>
      <c r="P86" s="18"/>
      <c r="Q86" s="18"/>
      <c r="R86" s="18"/>
      <c r="S86" s="18"/>
      <c r="T86" s="18"/>
    </row>
    <row r="87" spans="9:20" ht="12.75">
      <c r="I87" s="18"/>
      <c r="J87" s="18"/>
      <c r="K87" s="18"/>
      <c r="L87" s="18"/>
      <c r="M87" s="18"/>
      <c r="N87" s="18"/>
      <c r="O87" s="18"/>
      <c r="P87" s="18"/>
      <c r="Q87" s="18"/>
      <c r="R87" s="18"/>
      <c r="S87" s="18"/>
      <c r="T87" s="18"/>
    </row>
    <row r="88" spans="9:20" ht="12.75">
      <c r="I88" s="18"/>
      <c r="J88" s="18"/>
      <c r="K88" s="18"/>
      <c r="L88" s="18"/>
      <c r="M88" s="18"/>
      <c r="N88" s="18"/>
      <c r="O88" s="18"/>
      <c r="P88" s="18"/>
      <c r="Q88" s="18"/>
      <c r="R88" s="18"/>
      <c r="S88" s="18"/>
      <c r="T88" s="18"/>
    </row>
    <row r="89" spans="9:20" ht="12.75">
      <c r="I89" s="18"/>
      <c r="J89" s="18"/>
      <c r="K89" s="18"/>
      <c r="L89" s="18"/>
      <c r="M89" s="18"/>
      <c r="N89" s="18"/>
      <c r="O89" s="18"/>
      <c r="P89" s="18"/>
      <c r="Q89" s="18"/>
      <c r="R89" s="18"/>
      <c r="S89" s="18"/>
      <c r="T89" s="18"/>
    </row>
    <row r="90" spans="9:20" ht="12.75">
      <c r="I90" s="18"/>
      <c r="J90" s="18"/>
      <c r="K90" s="18"/>
      <c r="L90" s="18"/>
      <c r="M90" s="18"/>
      <c r="N90" s="18"/>
      <c r="O90" s="18"/>
      <c r="P90" s="18"/>
      <c r="Q90" s="18"/>
      <c r="R90" s="18"/>
      <c r="S90" s="18"/>
      <c r="T90" s="18"/>
    </row>
    <row r="91" spans="9:20" ht="12.75">
      <c r="I91" s="18"/>
      <c r="J91" s="18"/>
      <c r="K91" s="18"/>
      <c r="L91" s="18"/>
      <c r="M91" s="18"/>
      <c r="N91" s="18"/>
      <c r="O91" s="18"/>
      <c r="P91" s="18"/>
      <c r="Q91" s="18"/>
      <c r="R91" s="18"/>
      <c r="S91" s="18"/>
      <c r="T91" s="18"/>
    </row>
    <row r="92" spans="9:20" ht="12.75">
      <c r="I92" s="18"/>
      <c r="J92" s="18"/>
      <c r="K92" s="18"/>
      <c r="L92" s="18"/>
      <c r="M92" s="18"/>
      <c r="N92" s="18"/>
      <c r="O92" s="18"/>
      <c r="P92" s="18"/>
      <c r="Q92" s="18"/>
      <c r="R92" s="18"/>
      <c r="S92" s="18"/>
      <c r="T92" s="18"/>
    </row>
    <row r="93" spans="9:20" ht="12.75">
      <c r="I93" s="18"/>
      <c r="J93" s="18"/>
      <c r="K93" s="18"/>
      <c r="L93" s="18"/>
      <c r="M93" s="18"/>
      <c r="N93" s="18"/>
      <c r="O93" s="18"/>
      <c r="P93" s="18"/>
      <c r="Q93" s="18"/>
      <c r="R93" s="18"/>
      <c r="S93" s="18"/>
      <c r="T93" s="18"/>
    </row>
    <row r="94" spans="9:20" ht="12.75">
      <c r="I94" s="18"/>
      <c r="J94" s="18"/>
      <c r="K94" s="18"/>
      <c r="L94" s="18"/>
      <c r="M94" s="18"/>
      <c r="N94" s="18"/>
      <c r="O94" s="18"/>
      <c r="P94" s="18"/>
      <c r="Q94" s="18"/>
      <c r="R94" s="18"/>
      <c r="S94" s="18"/>
      <c r="T94" s="18"/>
    </row>
    <row r="95" spans="9:20" ht="12.75">
      <c r="I95" s="18"/>
      <c r="J95" s="18"/>
      <c r="K95" s="18"/>
      <c r="L95" s="18"/>
      <c r="M95" s="18"/>
      <c r="N95" s="18"/>
      <c r="O95" s="18"/>
      <c r="P95" s="18"/>
      <c r="Q95" s="18"/>
      <c r="R95" s="18"/>
      <c r="S95" s="18"/>
      <c r="T95" s="18"/>
    </row>
    <row r="96" spans="9:20" ht="12.75">
      <c r="I96" s="18"/>
      <c r="J96" s="18"/>
      <c r="K96" s="18"/>
      <c r="L96" s="18"/>
      <c r="M96" s="18"/>
      <c r="N96" s="18"/>
      <c r="O96" s="18"/>
      <c r="P96" s="18"/>
      <c r="Q96" s="18"/>
      <c r="R96" s="18"/>
      <c r="S96" s="18"/>
      <c r="T96" s="18"/>
    </row>
    <row r="97" spans="9:20" ht="12.75">
      <c r="I97" s="18"/>
      <c r="J97" s="18"/>
      <c r="K97" s="18"/>
      <c r="L97" s="18"/>
      <c r="M97" s="18"/>
      <c r="N97" s="18"/>
      <c r="O97" s="18"/>
      <c r="P97" s="18"/>
      <c r="Q97" s="18"/>
      <c r="R97" s="18"/>
      <c r="S97" s="18"/>
      <c r="T97" s="18"/>
    </row>
    <row r="98" spans="9:20" ht="12.75">
      <c r="I98" s="18"/>
      <c r="J98" s="18"/>
      <c r="K98" s="18"/>
      <c r="L98" s="18"/>
      <c r="M98" s="18"/>
      <c r="N98" s="18"/>
      <c r="O98" s="18"/>
      <c r="P98" s="18"/>
      <c r="Q98" s="18"/>
      <c r="R98" s="18"/>
      <c r="S98" s="18"/>
      <c r="T98" s="18"/>
    </row>
    <row r="99" spans="9:20" ht="12.75">
      <c r="I99" s="18"/>
      <c r="J99" s="18"/>
      <c r="K99" s="18"/>
      <c r="L99" s="18"/>
      <c r="M99" s="18"/>
      <c r="N99" s="18"/>
      <c r="O99" s="18"/>
      <c r="P99" s="18"/>
      <c r="Q99" s="18"/>
      <c r="R99" s="18"/>
      <c r="S99" s="18"/>
      <c r="T99" s="18"/>
    </row>
    <row r="100" spans="9:20" ht="12.75">
      <c r="I100" s="18"/>
      <c r="J100" s="18"/>
      <c r="K100" s="18"/>
      <c r="L100" s="18"/>
      <c r="M100" s="18"/>
      <c r="N100" s="18"/>
      <c r="O100" s="18"/>
      <c r="P100" s="18"/>
      <c r="Q100" s="18"/>
      <c r="R100" s="18"/>
      <c r="S100" s="18"/>
      <c r="T100" s="18"/>
    </row>
    <row r="101" spans="9:20" ht="12.75">
      <c r="I101" s="18"/>
      <c r="J101" s="18"/>
      <c r="K101" s="18"/>
      <c r="L101" s="18"/>
      <c r="M101" s="18"/>
      <c r="N101" s="18"/>
      <c r="O101" s="18"/>
      <c r="P101" s="18"/>
      <c r="Q101" s="18"/>
      <c r="R101" s="18"/>
      <c r="S101" s="18"/>
      <c r="T101" s="18"/>
    </row>
    <row r="102" spans="9:20" ht="12.75">
      <c r="I102" s="18"/>
      <c r="J102" s="18"/>
      <c r="K102" s="18"/>
      <c r="L102" s="18"/>
      <c r="M102" s="18"/>
      <c r="N102" s="18"/>
      <c r="O102" s="18"/>
      <c r="P102" s="18"/>
      <c r="Q102" s="18"/>
      <c r="R102" s="18"/>
      <c r="S102" s="18"/>
      <c r="T102" s="18"/>
    </row>
    <row r="103" spans="9:20" ht="12.75">
      <c r="I103" s="18"/>
      <c r="J103" s="18"/>
      <c r="K103" s="18"/>
      <c r="L103" s="18"/>
      <c r="M103" s="18"/>
      <c r="N103" s="18"/>
      <c r="O103" s="18"/>
      <c r="P103" s="18"/>
      <c r="Q103" s="18"/>
      <c r="R103" s="18"/>
      <c r="S103" s="18"/>
      <c r="T103" s="18"/>
    </row>
    <row r="104" spans="9:20" ht="12.75">
      <c r="I104" s="18"/>
      <c r="J104" s="18"/>
      <c r="K104" s="18"/>
      <c r="L104" s="18"/>
      <c r="M104" s="18"/>
      <c r="N104" s="18"/>
      <c r="O104" s="18"/>
      <c r="P104" s="18"/>
      <c r="Q104" s="18"/>
      <c r="R104" s="18"/>
      <c r="S104" s="18"/>
      <c r="T104" s="18"/>
    </row>
    <row r="105" spans="9:20" ht="12.75">
      <c r="I105" s="18"/>
      <c r="J105" s="18"/>
      <c r="K105" s="18"/>
      <c r="L105" s="18"/>
      <c r="M105" s="18"/>
      <c r="N105" s="18"/>
      <c r="O105" s="18"/>
      <c r="P105" s="18"/>
      <c r="Q105" s="18"/>
      <c r="R105" s="18"/>
      <c r="S105" s="18"/>
      <c r="T105" s="18"/>
    </row>
    <row r="106" spans="9:20" ht="12.75">
      <c r="I106" s="18"/>
      <c r="J106" s="18"/>
      <c r="K106" s="18"/>
      <c r="L106" s="18"/>
      <c r="M106" s="18"/>
      <c r="N106" s="18"/>
      <c r="O106" s="18"/>
      <c r="P106" s="18"/>
      <c r="Q106" s="18"/>
      <c r="R106" s="18"/>
      <c r="S106" s="18"/>
      <c r="T106" s="18"/>
    </row>
    <row r="107" spans="9:20" ht="12.75">
      <c r="I107" s="18"/>
      <c r="J107" s="18"/>
      <c r="K107" s="18"/>
      <c r="L107" s="18"/>
      <c r="M107" s="18"/>
      <c r="N107" s="18"/>
      <c r="O107" s="18"/>
      <c r="P107" s="18"/>
      <c r="Q107" s="18"/>
      <c r="R107" s="18"/>
      <c r="S107" s="18"/>
      <c r="T107" s="18"/>
    </row>
    <row r="108" spans="9:20" ht="12.75">
      <c r="I108" s="18"/>
      <c r="J108" s="18"/>
      <c r="K108" s="18"/>
      <c r="L108" s="18"/>
      <c r="M108" s="18"/>
      <c r="N108" s="18"/>
      <c r="O108" s="18"/>
      <c r="P108" s="18"/>
      <c r="Q108" s="18"/>
      <c r="R108" s="18"/>
      <c r="S108" s="18"/>
      <c r="T108" s="18"/>
    </row>
    <row r="109" spans="9:20" ht="12.75">
      <c r="I109" s="18"/>
      <c r="J109" s="18"/>
      <c r="K109" s="18"/>
      <c r="L109" s="18"/>
      <c r="M109" s="18"/>
      <c r="N109" s="18"/>
      <c r="O109" s="18"/>
      <c r="P109" s="18"/>
      <c r="Q109" s="18"/>
      <c r="R109" s="18"/>
      <c r="S109" s="18"/>
      <c r="T109" s="18"/>
    </row>
    <row r="110" spans="9:20" ht="12.75">
      <c r="I110" s="18"/>
      <c r="J110" s="18"/>
      <c r="K110" s="18"/>
      <c r="L110" s="18"/>
      <c r="M110" s="18"/>
      <c r="N110" s="18"/>
      <c r="O110" s="18"/>
      <c r="P110" s="18"/>
      <c r="Q110" s="18"/>
      <c r="R110" s="18"/>
      <c r="S110" s="18"/>
      <c r="T110" s="18"/>
    </row>
    <row r="111" spans="9:20" ht="12.75">
      <c r="I111" s="18"/>
      <c r="J111" s="18"/>
      <c r="K111" s="18"/>
      <c r="L111" s="18"/>
      <c r="M111" s="18"/>
      <c r="N111" s="18"/>
      <c r="O111" s="18"/>
      <c r="P111" s="18"/>
      <c r="Q111" s="18"/>
      <c r="R111" s="18"/>
      <c r="S111" s="18"/>
      <c r="T111" s="18"/>
    </row>
    <row r="112" spans="9:20" ht="12.75">
      <c r="I112" s="18"/>
      <c r="J112" s="18"/>
      <c r="K112" s="18"/>
      <c r="L112" s="18"/>
      <c r="M112" s="18"/>
      <c r="N112" s="18"/>
      <c r="O112" s="18"/>
      <c r="P112" s="18"/>
      <c r="Q112" s="18"/>
      <c r="R112" s="18"/>
      <c r="S112" s="18"/>
      <c r="T112" s="18"/>
    </row>
    <row r="113" spans="9:20" ht="12.75">
      <c r="I113" s="18"/>
      <c r="J113" s="18"/>
      <c r="K113" s="18"/>
      <c r="L113" s="18"/>
      <c r="M113" s="18"/>
      <c r="N113" s="18"/>
      <c r="O113" s="18"/>
      <c r="P113" s="18"/>
      <c r="Q113" s="18"/>
      <c r="R113" s="18"/>
      <c r="S113" s="18"/>
      <c r="T113" s="18"/>
    </row>
    <row r="114" spans="9:20" ht="12.75">
      <c r="I114" s="18"/>
      <c r="J114" s="18"/>
      <c r="K114" s="18"/>
      <c r="L114" s="18"/>
      <c r="M114" s="18"/>
      <c r="N114" s="18"/>
      <c r="O114" s="18"/>
      <c r="P114" s="18"/>
      <c r="Q114" s="18"/>
      <c r="R114" s="18"/>
      <c r="S114" s="18"/>
      <c r="T114" s="18"/>
    </row>
    <row r="115" spans="9:20" ht="12.75">
      <c r="I115" s="18"/>
      <c r="J115" s="18"/>
      <c r="K115" s="18"/>
      <c r="L115" s="18"/>
      <c r="M115" s="18"/>
      <c r="N115" s="18"/>
      <c r="O115" s="18"/>
      <c r="P115" s="18"/>
      <c r="Q115" s="18"/>
      <c r="R115" s="18"/>
      <c r="S115" s="18"/>
      <c r="T115" s="18"/>
    </row>
    <row r="116" spans="9:20" ht="12.75">
      <c r="I116" s="18"/>
      <c r="J116" s="18"/>
      <c r="K116" s="18"/>
      <c r="L116" s="18"/>
      <c r="M116" s="18"/>
      <c r="N116" s="18"/>
      <c r="O116" s="18"/>
      <c r="P116" s="18"/>
      <c r="Q116" s="18"/>
      <c r="R116" s="18"/>
      <c r="S116" s="18"/>
      <c r="T116" s="18"/>
    </row>
    <row r="117" spans="9:20" ht="12.75">
      <c r="I117" s="18"/>
      <c r="J117" s="18"/>
      <c r="K117" s="18"/>
      <c r="L117" s="18"/>
      <c r="M117" s="18"/>
      <c r="N117" s="18"/>
      <c r="O117" s="18"/>
      <c r="P117" s="18"/>
      <c r="Q117" s="18"/>
      <c r="R117" s="18"/>
      <c r="S117" s="18"/>
      <c r="T117" s="18"/>
    </row>
    <row r="118" spans="9:20" ht="12.75">
      <c r="I118" s="18"/>
      <c r="J118" s="18"/>
      <c r="K118" s="18"/>
      <c r="L118" s="18"/>
      <c r="M118" s="18"/>
      <c r="N118" s="18"/>
      <c r="O118" s="18"/>
      <c r="P118" s="18"/>
      <c r="Q118" s="18"/>
      <c r="R118" s="18"/>
      <c r="S118" s="18"/>
      <c r="T118" s="18"/>
    </row>
    <row r="119" spans="9:20" ht="12.75">
      <c r="I119" s="18"/>
      <c r="J119" s="18"/>
      <c r="K119" s="18"/>
      <c r="L119" s="18"/>
      <c r="M119" s="18"/>
      <c r="N119" s="18"/>
      <c r="O119" s="18"/>
      <c r="P119" s="18"/>
      <c r="Q119" s="18"/>
      <c r="R119" s="18"/>
      <c r="S119" s="18"/>
      <c r="T119" s="18"/>
    </row>
    <row r="120" spans="9:20" ht="12.75">
      <c r="I120" s="18"/>
      <c r="J120" s="18"/>
      <c r="K120" s="18"/>
      <c r="L120" s="18"/>
      <c r="M120" s="18"/>
      <c r="N120" s="18"/>
      <c r="O120" s="18"/>
      <c r="P120" s="18"/>
      <c r="Q120" s="18"/>
      <c r="R120" s="18"/>
      <c r="S120" s="18"/>
      <c r="T120" s="18"/>
    </row>
    <row r="121" spans="9:20" ht="12.75">
      <c r="I121" s="18"/>
      <c r="J121" s="18"/>
      <c r="K121" s="18"/>
      <c r="L121" s="18"/>
      <c r="M121" s="18"/>
      <c r="N121" s="18"/>
      <c r="O121" s="18"/>
      <c r="P121" s="18"/>
      <c r="Q121" s="18"/>
      <c r="R121" s="18"/>
      <c r="S121" s="18"/>
      <c r="T121" s="18"/>
    </row>
    <row r="122" spans="9:20" ht="12.75">
      <c r="I122" s="18"/>
      <c r="J122" s="18"/>
      <c r="K122" s="18"/>
      <c r="L122" s="18"/>
      <c r="M122" s="18"/>
      <c r="N122" s="18"/>
      <c r="O122" s="18"/>
      <c r="P122" s="18"/>
      <c r="Q122" s="18"/>
      <c r="R122" s="18"/>
      <c r="S122" s="18"/>
      <c r="T122" s="18"/>
    </row>
    <row r="123" spans="9:20" ht="12.75">
      <c r="I123" s="18"/>
      <c r="J123" s="18"/>
      <c r="K123" s="18"/>
      <c r="L123" s="18"/>
      <c r="M123" s="18"/>
      <c r="N123" s="18"/>
      <c r="O123" s="18"/>
      <c r="P123" s="18"/>
      <c r="Q123" s="18"/>
      <c r="R123" s="18"/>
      <c r="S123" s="18"/>
      <c r="T123" s="18"/>
    </row>
    <row r="124" spans="9:20" ht="12.75">
      <c r="I124" s="18"/>
      <c r="J124" s="18"/>
      <c r="K124" s="18"/>
      <c r="L124" s="18"/>
      <c r="M124" s="18"/>
      <c r="N124" s="18"/>
      <c r="O124" s="18"/>
      <c r="P124" s="18"/>
      <c r="Q124" s="18"/>
      <c r="R124" s="18"/>
      <c r="S124" s="18"/>
      <c r="T124" s="18"/>
    </row>
    <row r="125" spans="9:20" ht="12.75">
      <c r="I125" s="18"/>
      <c r="J125" s="18"/>
      <c r="K125" s="18"/>
      <c r="L125" s="18"/>
      <c r="M125" s="18"/>
      <c r="N125" s="18"/>
      <c r="O125" s="18"/>
      <c r="P125" s="18"/>
      <c r="Q125" s="18"/>
      <c r="R125" s="18"/>
      <c r="S125" s="18"/>
      <c r="T125" s="18"/>
    </row>
    <row r="126" spans="9:20" ht="12.75">
      <c r="I126" s="18"/>
      <c r="J126" s="18"/>
      <c r="K126" s="18"/>
      <c r="L126" s="18"/>
      <c r="M126" s="18"/>
      <c r="N126" s="18"/>
      <c r="O126" s="18"/>
      <c r="P126" s="18"/>
      <c r="Q126" s="18"/>
      <c r="R126" s="18"/>
      <c r="S126" s="18"/>
      <c r="T126" s="18"/>
    </row>
    <row r="127" spans="9:20" ht="12.75">
      <c r="I127" s="18"/>
      <c r="J127" s="18"/>
      <c r="K127" s="18"/>
      <c r="L127" s="18"/>
      <c r="M127" s="18"/>
      <c r="N127" s="18"/>
      <c r="O127" s="18"/>
      <c r="P127" s="18"/>
      <c r="Q127" s="18"/>
      <c r="R127" s="18"/>
      <c r="S127" s="18"/>
      <c r="T127" s="18"/>
    </row>
    <row r="128" spans="9:20" ht="12.75">
      <c r="I128" s="18"/>
      <c r="J128" s="18"/>
      <c r="K128" s="18"/>
      <c r="L128" s="18"/>
      <c r="M128" s="18"/>
      <c r="N128" s="18"/>
      <c r="O128" s="18"/>
      <c r="P128" s="18"/>
      <c r="Q128" s="18"/>
      <c r="R128" s="18"/>
      <c r="S128" s="18"/>
      <c r="T128" s="18"/>
    </row>
    <row r="129" spans="9:20" ht="12.75">
      <c r="I129" s="18"/>
      <c r="J129" s="18"/>
      <c r="K129" s="18"/>
      <c r="L129" s="18"/>
      <c r="M129" s="18"/>
      <c r="N129" s="18"/>
      <c r="O129" s="18"/>
      <c r="P129" s="18"/>
      <c r="Q129" s="18"/>
      <c r="R129" s="18"/>
      <c r="S129" s="18"/>
      <c r="T129" s="18"/>
    </row>
    <row r="130" spans="9:20" ht="12.75">
      <c r="I130" s="18"/>
      <c r="J130" s="18"/>
      <c r="K130" s="18"/>
      <c r="L130" s="18"/>
      <c r="M130" s="18"/>
      <c r="N130" s="18"/>
      <c r="O130" s="18"/>
      <c r="P130" s="18"/>
      <c r="Q130" s="18"/>
      <c r="R130" s="18"/>
      <c r="S130" s="18"/>
      <c r="T130" s="18"/>
    </row>
    <row r="131" spans="9:20" ht="12.75">
      <c r="I131" s="18"/>
      <c r="J131" s="18"/>
      <c r="K131" s="18"/>
      <c r="L131" s="18"/>
      <c r="M131" s="18"/>
      <c r="N131" s="18"/>
      <c r="O131" s="18"/>
      <c r="P131" s="18"/>
      <c r="Q131" s="18"/>
      <c r="R131" s="18"/>
      <c r="S131" s="18"/>
      <c r="T131" s="18"/>
    </row>
    <row r="132" spans="9:20" ht="12.75">
      <c r="I132" s="18"/>
      <c r="J132" s="18"/>
      <c r="K132" s="18"/>
      <c r="L132" s="18"/>
      <c r="M132" s="18"/>
      <c r="N132" s="18"/>
      <c r="O132" s="18"/>
      <c r="P132" s="18"/>
      <c r="Q132" s="18"/>
      <c r="R132" s="18"/>
      <c r="S132" s="18"/>
      <c r="T132" s="18"/>
    </row>
    <row r="133" spans="9:20" ht="12.75">
      <c r="I133" s="18"/>
      <c r="J133" s="18"/>
      <c r="K133" s="18"/>
      <c r="L133" s="18"/>
      <c r="M133" s="18"/>
      <c r="N133" s="18"/>
      <c r="O133" s="18"/>
      <c r="P133" s="18"/>
      <c r="Q133" s="18"/>
      <c r="R133" s="18"/>
      <c r="S133" s="18"/>
      <c r="T133" s="18"/>
    </row>
    <row r="134" spans="9:20" ht="12.75">
      <c r="I134" s="18"/>
      <c r="J134" s="18"/>
      <c r="K134" s="18"/>
      <c r="L134" s="18"/>
      <c r="M134" s="18"/>
      <c r="N134" s="18"/>
      <c r="O134" s="18"/>
      <c r="P134" s="18"/>
      <c r="Q134" s="18"/>
      <c r="R134" s="18"/>
      <c r="S134" s="18"/>
      <c r="T134" s="18"/>
    </row>
    <row r="135" spans="9:20" ht="12.75">
      <c r="I135" s="18"/>
      <c r="J135" s="18"/>
      <c r="K135" s="18"/>
      <c r="L135" s="18"/>
      <c r="M135" s="18"/>
      <c r="N135" s="18"/>
      <c r="O135" s="18"/>
      <c r="P135" s="18"/>
      <c r="Q135" s="18"/>
      <c r="R135" s="18"/>
      <c r="S135" s="18"/>
      <c r="T135" s="18"/>
    </row>
    <row r="136" spans="9:20" ht="12.75">
      <c r="I136" s="18"/>
      <c r="J136" s="18"/>
      <c r="K136" s="18"/>
      <c r="L136" s="18"/>
      <c r="M136" s="18"/>
      <c r="N136" s="18"/>
      <c r="O136" s="18"/>
      <c r="P136" s="18"/>
      <c r="Q136" s="18"/>
      <c r="R136" s="18"/>
      <c r="S136" s="18"/>
      <c r="T136" s="18"/>
    </row>
    <row r="137" spans="9:20" ht="12.75">
      <c r="I137" s="18"/>
      <c r="J137" s="18"/>
      <c r="K137" s="18"/>
      <c r="L137" s="18"/>
      <c r="M137" s="18"/>
      <c r="N137" s="18"/>
      <c r="O137" s="18"/>
      <c r="P137" s="18"/>
      <c r="Q137" s="18"/>
      <c r="R137" s="18"/>
      <c r="S137" s="18"/>
      <c r="T137" s="18"/>
    </row>
    <row r="138" spans="9:20" ht="12.75">
      <c r="I138" s="18"/>
      <c r="J138" s="18"/>
      <c r="K138" s="18"/>
      <c r="L138" s="18"/>
      <c r="M138" s="18"/>
      <c r="N138" s="18"/>
      <c r="O138" s="18"/>
      <c r="P138" s="18"/>
      <c r="Q138" s="18"/>
      <c r="R138" s="18"/>
      <c r="S138" s="18"/>
      <c r="T138" s="18"/>
    </row>
    <row r="139" spans="9:20" ht="12.75">
      <c r="I139" s="18"/>
      <c r="J139" s="18"/>
      <c r="K139" s="18"/>
      <c r="L139" s="18"/>
      <c r="M139" s="18"/>
      <c r="N139" s="18"/>
      <c r="O139" s="18"/>
      <c r="P139" s="18"/>
      <c r="Q139" s="18"/>
      <c r="R139" s="18"/>
      <c r="S139" s="18"/>
      <c r="T139" s="18"/>
    </row>
    <row r="140" spans="9:20" ht="12.75">
      <c r="I140" s="18"/>
      <c r="J140" s="18"/>
      <c r="K140" s="18"/>
      <c r="L140" s="18"/>
      <c r="M140" s="18"/>
      <c r="N140" s="18"/>
      <c r="O140" s="18"/>
      <c r="P140" s="18"/>
      <c r="Q140" s="18"/>
      <c r="R140" s="18"/>
      <c r="S140" s="18"/>
      <c r="T140" s="18"/>
    </row>
    <row r="141" spans="9:20" ht="12.75">
      <c r="I141" s="18"/>
      <c r="J141" s="18"/>
      <c r="K141" s="18"/>
      <c r="L141" s="18"/>
      <c r="M141" s="18"/>
      <c r="N141" s="18"/>
      <c r="O141" s="18"/>
      <c r="P141" s="18"/>
      <c r="Q141" s="18"/>
      <c r="R141" s="18"/>
      <c r="S141" s="18"/>
      <c r="T141" s="18"/>
    </row>
    <row r="142" spans="9:20" ht="12.75">
      <c r="I142" s="18"/>
      <c r="J142" s="18"/>
      <c r="K142" s="18"/>
      <c r="L142" s="18"/>
      <c r="M142" s="18"/>
      <c r="N142" s="18"/>
      <c r="O142" s="18"/>
      <c r="P142" s="18"/>
      <c r="Q142" s="18"/>
      <c r="R142" s="18"/>
      <c r="S142" s="18"/>
      <c r="T142" s="18"/>
    </row>
    <row r="143" spans="9:20" ht="12.75">
      <c r="I143" s="18"/>
      <c r="J143" s="18"/>
      <c r="K143" s="18"/>
      <c r="L143" s="18"/>
      <c r="M143" s="18"/>
      <c r="N143" s="18"/>
      <c r="O143" s="18"/>
      <c r="P143" s="18"/>
      <c r="Q143" s="18"/>
      <c r="R143" s="18"/>
      <c r="S143" s="18"/>
      <c r="T143" s="18"/>
    </row>
    <row r="144" spans="9:20" ht="12.75">
      <c r="I144" s="18"/>
      <c r="J144" s="18"/>
      <c r="K144" s="18"/>
      <c r="L144" s="18"/>
      <c r="M144" s="18"/>
      <c r="N144" s="18"/>
      <c r="O144" s="18"/>
      <c r="P144" s="18"/>
      <c r="Q144" s="18"/>
      <c r="R144" s="18"/>
      <c r="S144" s="18"/>
      <c r="T144" s="18"/>
    </row>
    <row r="145" spans="9:20" ht="12.75">
      <c r="I145" s="18"/>
      <c r="J145" s="18"/>
      <c r="K145" s="18"/>
      <c r="L145" s="18"/>
      <c r="M145" s="18"/>
      <c r="N145" s="18"/>
      <c r="O145" s="18"/>
      <c r="P145" s="18"/>
      <c r="Q145" s="18"/>
      <c r="R145" s="18"/>
      <c r="S145" s="18"/>
      <c r="T145" s="18"/>
    </row>
    <row r="146" spans="9:20" ht="12.75">
      <c r="I146" s="18"/>
      <c r="J146" s="18"/>
      <c r="K146" s="18"/>
      <c r="L146" s="18"/>
      <c r="M146" s="18"/>
      <c r="N146" s="18"/>
      <c r="O146" s="18"/>
      <c r="P146" s="18"/>
      <c r="Q146" s="18"/>
      <c r="R146" s="18"/>
      <c r="S146" s="18"/>
      <c r="T146" s="18"/>
    </row>
    <row r="147" spans="9:20" ht="12.75">
      <c r="I147" s="18"/>
      <c r="J147" s="18"/>
      <c r="K147" s="18"/>
      <c r="L147" s="18"/>
      <c r="M147" s="18"/>
      <c r="N147" s="18"/>
      <c r="O147" s="18"/>
      <c r="P147" s="18"/>
      <c r="Q147" s="18"/>
      <c r="R147" s="18"/>
      <c r="S147" s="18"/>
      <c r="T147" s="18"/>
    </row>
    <row r="148" spans="9:20" ht="12.75">
      <c r="I148" s="18"/>
      <c r="J148" s="18"/>
      <c r="K148" s="18"/>
      <c r="L148" s="18"/>
      <c r="M148" s="18"/>
      <c r="N148" s="18"/>
      <c r="O148" s="18"/>
      <c r="P148" s="18"/>
      <c r="Q148" s="18"/>
      <c r="R148" s="18"/>
      <c r="S148" s="18"/>
      <c r="T148" s="18"/>
    </row>
    <row r="149" spans="9:20" ht="12.75">
      <c r="I149" s="18"/>
      <c r="J149" s="18"/>
      <c r="K149" s="18"/>
      <c r="L149" s="18"/>
      <c r="M149" s="18"/>
      <c r="N149" s="18"/>
      <c r="O149" s="18"/>
      <c r="P149" s="18"/>
      <c r="Q149" s="18"/>
      <c r="R149" s="18"/>
      <c r="S149" s="18"/>
      <c r="T149" s="18"/>
    </row>
    <row r="150" spans="9:20" ht="12.75">
      <c r="I150" s="18"/>
      <c r="J150" s="18"/>
      <c r="K150" s="18"/>
      <c r="L150" s="18"/>
      <c r="M150" s="18"/>
      <c r="N150" s="18"/>
      <c r="O150" s="18"/>
      <c r="P150" s="18"/>
      <c r="Q150" s="18"/>
      <c r="R150" s="18"/>
      <c r="S150" s="18"/>
      <c r="T150" s="18"/>
    </row>
    <row r="151" spans="9:20" ht="12.75">
      <c r="I151" s="18"/>
      <c r="J151" s="18"/>
      <c r="K151" s="18"/>
      <c r="L151" s="18"/>
      <c r="M151" s="18"/>
      <c r="N151" s="18"/>
      <c r="O151" s="18"/>
      <c r="P151" s="18"/>
      <c r="Q151" s="18"/>
      <c r="R151" s="18"/>
      <c r="S151" s="18"/>
      <c r="T151" s="18"/>
    </row>
    <row r="152" spans="9:20" ht="12.75">
      <c r="I152" s="18"/>
      <c r="J152" s="18"/>
      <c r="K152" s="18"/>
      <c r="L152" s="18"/>
      <c r="M152" s="18"/>
      <c r="N152" s="18"/>
      <c r="O152" s="18"/>
      <c r="P152" s="18"/>
      <c r="Q152" s="18"/>
      <c r="R152" s="18"/>
      <c r="S152" s="18"/>
      <c r="T152" s="18"/>
    </row>
    <row r="153" spans="9:20" ht="12.75">
      <c r="I153" s="18"/>
      <c r="J153" s="18"/>
      <c r="K153" s="18"/>
      <c r="L153" s="18"/>
      <c r="M153" s="18"/>
      <c r="N153" s="18"/>
      <c r="O153" s="18"/>
      <c r="P153" s="18"/>
      <c r="Q153" s="18"/>
      <c r="R153" s="18"/>
      <c r="S153" s="18"/>
      <c r="T153" s="18"/>
    </row>
    <row r="154" spans="9:20" ht="12.75">
      <c r="I154" s="18"/>
      <c r="J154" s="18"/>
      <c r="K154" s="18"/>
      <c r="L154" s="18"/>
      <c r="M154" s="18"/>
      <c r="N154" s="18"/>
      <c r="O154" s="18"/>
      <c r="P154" s="18"/>
      <c r="Q154" s="18"/>
      <c r="R154" s="18"/>
      <c r="S154" s="18"/>
      <c r="T154" s="18"/>
    </row>
    <row r="155" spans="9:20" ht="12.75">
      <c r="I155" s="18"/>
      <c r="J155" s="18"/>
      <c r="K155" s="18"/>
      <c r="L155" s="18"/>
      <c r="M155" s="18"/>
      <c r="N155" s="18"/>
      <c r="O155" s="18"/>
      <c r="P155" s="18"/>
      <c r="Q155" s="18"/>
      <c r="R155" s="18"/>
      <c r="S155" s="18"/>
      <c r="T155" s="18"/>
    </row>
    <row r="156" spans="9:20" ht="12.75">
      <c r="I156" s="18"/>
      <c r="J156" s="18"/>
      <c r="K156" s="18"/>
      <c r="L156" s="18"/>
      <c r="M156" s="18"/>
      <c r="N156" s="18"/>
      <c r="O156" s="18"/>
      <c r="P156" s="18"/>
      <c r="Q156" s="18"/>
      <c r="R156" s="18"/>
      <c r="S156" s="18"/>
      <c r="T156" s="18"/>
    </row>
    <row r="157" spans="9:20" ht="12.75">
      <c r="I157" s="18"/>
      <c r="J157" s="18"/>
      <c r="K157" s="18"/>
      <c r="L157" s="18"/>
      <c r="M157" s="18"/>
      <c r="N157" s="18"/>
      <c r="O157" s="18"/>
      <c r="P157" s="18"/>
      <c r="Q157" s="18"/>
      <c r="R157" s="18"/>
      <c r="S157" s="18"/>
      <c r="T157" s="18"/>
    </row>
    <row r="158" spans="9:20" ht="12.75">
      <c r="I158" s="18"/>
      <c r="J158" s="18"/>
      <c r="K158" s="18"/>
      <c r="L158" s="18"/>
      <c r="M158" s="18"/>
      <c r="N158" s="18"/>
      <c r="O158" s="18"/>
      <c r="P158" s="18"/>
      <c r="Q158" s="18"/>
      <c r="R158" s="18"/>
      <c r="S158" s="18"/>
      <c r="T158" s="18"/>
    </row>
    <row r="159" spans="9:20" ht="12.75">
      <c r="I159" s="18"/>
      <c r="J159" s="18"/>
      <c r="K159" s="18"/>
      <c r="L159" s="18"/>
      <c r="M159" s="18"/>
      <c r="N159" s="18"/>
      <c r="O159" s="18"/>
      <c r="P159" s="18"/>
      <c r="Q159" s="18"/>
      <c r="R159" s="18"/>
      <c r="S159" s="18"/>
      <c r="T159" s="18"/>
    </row>
    <row r="160" spans="9:20" ht="12.75">
      <c r="I160" s="18"/>
      <c r="J160" s="18"/>
      <c r="K160" s="18"/>
      <c r="L160" s="18"/>
      <c r="M160" s="18"/>
      <c r="N160" s="18"/>
      <c r="O160" s="18"/>
      <c r="P160" s="18"/>
      <c r="Q160" s="18"/>
      <c r="R160" s="18"/>
      <c r="S160" s="18"/>
      <c r="T160" s="18"/>
    </row>
    <row r="161" spans="9:20" ht="12.75">
      <c r="I161" s="18"/>
      <c r="J161" s="18"/>
      <c r="K161" s="18"/>
      <c r="L161" s="18"/>
      <c r="M161" s="18"/>
      <c r="N161" s="18"/>
      <c r="O161" s="18"/>
      <c r="P161" s="18"/>
      <c r="Q161" s="18"/>
      <c r="R161" s="18"/>
      <c r="S161" s="18"/>
      <c r="T161" s="18"/>
    </row>
    <row r="162" spans="9:20" ht="12.75">
      <c r="I162" s="18"/>
      <c r="J162" s="18"/>
      <c r="K162" s="18"/>
      <c r="L162" s="18"/>
      <c r="M162" s="18"/>
      <c r="N162" s="18"/>
      <c r="O162" s="18"/>
      <c r="P162" s="18"/>
      <c r="Q162" s="18"/>
      <c r="R162" s="18"/>
      <c r="S162" s="18"/>
      <c r="T162" s="18"/>
    </row>
    <row r="163" spans="9:20" ht="12.75">
      <c r="I163" s="18"/>
      <c r="J163" s="18"/>
      <c r="K163" s="18"/>
      <c r="L163" s="18"/>
      <c r="M163" s="18"/>
      <c r="N163" s="18"/>
      <c r="O163" s="18"/>
      <c r="P163" s="18"/>
      <c r="Q163" s="18"/>
      <c r="R163" s="18"/>
      <c r="S163" s="18"/>
      <c r="T163" s="18"/>
    </row>
    <row r="164" spans="9:20" ht="12.75">
      <c r="I164" s="18"/>
      <c r="J164" s="18"/>
      <c r="K164" s="18"/>
      <c r="L164" s="18"/>
      <c r="M164" s="18"/>
      <c r="N164" s="18"/>
      <c r="O164" s="18"/>
      <c r="P164" s="18"/>
      <c r="Q164" s="18"/>
      <c r="R164" s="18"/>
      <c r="S164" s="18"/>
      <c r="T164" s="18"/>
    </row>
    <row r="165" spans="9:20" ht="12.75">
      <c r="I165" s="18"/>
      <c r="J165" s="18"/>
      <c r="K165" s="18"/>
      <c r="L165" s="18"/>
      <c r="M165" s="18"/>
      <c r="N165" s="18"/>
      <c r="O165" s="18"/>
      <c r="P165" s="18"/>
      <c r="Q165" s="18"/>
      <c r="R165" s="18"/>
      <c r="S165" s="18"/>
      <c r="T165" s="18"/>
    </row>
    <row r="166" spans="9:20" ht="12.75">
      <c r="I166" s="18"/>
      <c r="J166" s="18"/>
      <c r="K166" s="18"/>
      <c r="L166" s="18"/>
      <c r="M166" s="18"/>
      <c r="N166" s="18"/>
      <c r="O166" s="18"/>
      <c r="P166" s="18"/>
      <c r="Q166" s="18"/>
      <c r="R166" s="18"/>
      <c r="S166" s="18"/>
      <c r="T166" s="18"/>
    </row>
    <row r="167" spans="9:20" ht="12.75">
      <c r="I167" s="18"/>
      <c r="J167" s="18"/>
      <c r="K167" s="18"/>
      <c r="L167" s="18"/>
      <c r="M167" s="18"/>
      <c r="N167" s="18"/>
      <c r="O167" s="18"/>
      <c r="P167" s="18"/>
      <c r="Q167" s="18"/>
      <c r="R167" s="18"/>
      <c r="S167" s="18"/>
      <c r="T167" s="18"/>
    </row>
    <row r="168" spans="9:20" ht="12.75">
      <c r="I168" s="18"/>
      <c r="J168" s="18"/>
      <c r="K168" s="18"/>
      <c r="L168" s="18"/>
      <c r="M168" s="18"/>
      <c r="N168" s="18"/>
      <c r="O168" s="18"/>
      <c r="P168" s="18"/>
      <c r="Q168" s="18"/>
      <c r="R168" s="18"/>
      <c r="S168" s="18"/>
      <c r="T168" s="18"/>
    </row>
    <row r="169" spans="9:20" ht="12.75">
      <c r="I169" s="18"/>
      <c r="J169" s="18"/>
      <c r="K169" s="18"/>
      <c r="L169" s="18"/>
      <c r="M169" s="18"/>
      <c r="N169" s="18"/>
      <c r="O169" s="18"/>
      <c r="P169" s="18"/>
      <c r="Q169" s="18"/>
      <c r="R169" s="18"/>
      <c r="S169" s="18"/>
      <c r="T169" s="18"/>
    </row>
    <row r="170" spans="9:20" ht="12.75">
      <c r="I170" s="18"/>
      <c r="J170" s="18"/>
      <c r="K170" s="18"/>
      <c r="L170" s="18"/>
      <c r="M170" s="18"/>
      <c r="N170" s="18"/>
      <c r="O170" s="18"/>
      <c r="P170" s="18"/>
      <c r="Q170" s="18"/>
      <c r="R170" s="18"/>
      <c r="S170" s="18"/>
      <c r="T170" s="18"/>
    </row>
    <row r="171" spans="9:20" ht="12.75">
      <c r="I171" s="18"/>
      <c r="J171" s="18"/>
      <c r="K171" s="18"/>
      <c r="L171" s="18"/>
      <c r="M171" s="18"/>
      <c r="N171" s="18"/>
      <c r="O171" s="18"/>
      <c r="P171" s="18"/>
      <c r="Q171" s="18"/>
      <c r="R171" s="18"/>
      <c r="S171" s="18"/>
      <c r="T171" s="18"/>
    </row>
    <row r="172" spans="9:20" ht="12.75">
      <c r="I172" s="18"/>
      <c r="J172" s="18"/>
      <c r="K172" s="18"/>
      <c r="L172" s="18"/>
      <c r="M172" s="18"/>
      <c r="N172" s="18"/>
      <c r="O172" s="18"/>
      <c r="P172" s="18"/>
      <c r="Q172" s="18"/>
      <c r="R172" s="18"/>
      <c r="S172" s="18"/>
      <c r="T172" s="18"/>
    </row>
    <row r="173" spans="9:20" ht="12.75">
      <c r="I173" s="18"/>
      <c r="J173" s="18"/>
      <c r="K173" s="18"/>
      <c r="L173" s="18"/>
      <c r="M173" s="18"/>
      <c r="N173" s="18"/>
      <c r="O173" s="18"/>
      <c r="P173" s="18"/>
      <c r="Q173" s="18"/>
      <c r="R173" s="18"/>
      <c r="S173" s="18"/>
      <c r="T173" s="18"/>
    </row>
    <row r="174" spans="9:20" ht="12.75">
      <c r="I174" s="18"/>
      <c r="J174" s="18"/>
      <c r="K174" s="18"/>
      <c r="L174" s="18"/>
      <c r="M174" s="18"/>
      <c r="N174" s="18"/>
      <c r="O174" s="18"/>
      <c r="P174" s="18"/>
      <c r="Q174" s="18"/>
      <c r="R174" s="18"/>
      <c r="S174" s="18"/>
      <c r="T174" s="18"/>
    </row>
    <row r="175" spans="9:20" ht="12.75">
      <c r="I175" s="18"/>
      <c r="J175" s="18"/>
      <c r="K175" s="18"/>
      <c r="L175" s="18"/>
      <c r="M175" s="18"/>
      <c r="N175" s="18"/>
      <c r="O175" s="18"/>
      <c r="P175" s="18"/>
      <c r="Q175" s="18"/>
      <c r="R175" s="18"/>
      <c r="S175" s="18"/>
      <c r="T175" s="18"/>
    </row>
    <row r="176" spans="9:20" ht="12.75">
      <c r="I176" s="18"/>
      <c r="J176" s="18"/>
      <c r="K176" s="18"/>
      <c r="L176" s="18"/>
      <c r="M176" s="18"/>
      <c r="N176" s="18"/>
      <c r="O176" s="18"/>
      <c r="P176" s="18"/>
      <c r="Q176" s="18"/>
      <c r="R176" s="18"/>
      <c r="S176" s="18"/>
      <c r="T176" s="18"/>
    </row>
    <row r="177" spans="9:20" ht="12.75">
      <c r="I177" s="18"/>
      <c r="J177" s="18"/>
      <c r="K177" s="18"/>
      <c r="L177" s="18"/>
      <c r="M177" s="18"/>
      <c r="N177" s="18"/>
      <c r="O177" s="18"/>
      <c r="P177" s="18"/>
      <c r="Q177" s="18"/>
      <c r="R177" s="18"/>
      <c r="S177" s="18"/>
      <c r="T177" s="18"/>
    </row>
    <row r="178" spans="9:20" ht="12.75">
      <c r="I178" s="18"/>
      <c r="J178" s="18"/>
      <c r="K178" s="18"/>
      <c r="L178" s="18"/>
      <c r="M178" s="18"/>
      <c r="N178" s="18"/>
      <c r="O178" s="18"/>
      <c r="P178" s="18"/>
      <c r="Q178" s="18"/>
      <c r="R178" s="18"/>
      <c r="S178" s="18"/>
      <c r="T178" s="18"/>
    </row>
    <row r="179" spans="9:20" ht="12.75">
      <c r="I179" s="18"/>
      <c r="J179" s="18"/>
      <c r="K179" s="18"/>
      <c r="L179" s="18"/>
      <c r="M179" s="18"/>
      <c r="N179" s="18"/>
      <c r="O179" s="18"/>
      <c r="P179" s="18"/>
      <c r="Q179" s="18"/>
      <c r="R179" s="18"/>
      <c r="S179" s="18"/>
      <c r="T179" s="18"/>
    </row>
    <row r="180" spans="9:20" ht="12.75">
      <c r="I180" s="18"/>
      <c r="J180" s="18"/>
      <c r="K180" s="18"/>
      <c r="L180" s="18"/>
      <c r="M180" s="18"/>
      <c r="N180" s="18"/>
      <c r="O180" s="18"/>
      <c r="P180" s="18"/>
      <c r="Q180" s="18"/>
      <c r="R180" s="18"/>
      <c r="S180" s="18"/>
      <c r="T180" s="18"/>
    </row>
    <row r="181" spans="9:20" ht="12.75">
      <c r="I181" s="18"/>
      <c r="J181" s="18"/>
      <c r="K181" s="18"/>
      <c r="L181" s="18"/>
      <c r="M181" s="18"/>
      <c r="N181" s="18"/>
      <c r="O181" s="18"/>
      <c r="P181" s="18"/>
      <c r="Q181" s="18"/>
      <c r="R181" s="18"/>
      <c r="S181" s="18"/>
      <c r="T181" s="18"/>
    </row>
    <row r="182" spans="9:20" ht="12.75">
      <c r="I182" s="18"/>
      <c r="J182" s="18"/>
      <c r="K182" s="18"/>
      <c r="L182" s="18"/>
      <c r="M182" s="18"/>
      <c r="N182" s="18"/>
      <c r="O182" s="18"/>
      <c r="P182" s="18"/>
      <c r="Q182" s="18"/>
      <c r="R182" s="18"/>
      <c r="S182" s="18"/>
      <c r="T182" s="18"/>
    </row>
    <row r="183" spans="9:20" ht="12.75">
      <c r="I183" s="18"/>
      <c r="J183" s="18"/>
      <c r="K183" s="18"/>
      <c r="L183" s="18"/>
      <c r="M183" s="18"/>
      <c r="N183" s="18"/>
      <c r="O183" s="18"/>
      <c r="P183" s="18"/>
      <c r="Q183" s="18"/>
      <c r="R183" s="18"/>
      <c r="S183" s="18"/>
      <c r="T183" s="18"/>
    </row>
    <row r="184" spans="9:20" ht="12.75">
      <c r="I184" s="18"/>
      <c r="J184" s="18"/>
      <c r="K184" s="18"/>
      <c r="L184" s="18"/>
      <c r="M184" s="18"/>
      <c r="N184" s="18"/>
      <c r="O184" s="18"/>
      <c r="P184" s="18"/>
      <c r="Q184" s="18"/>
      <c r="R184" s="18"/>
      <c r="S184" s="18"/>
      <c r="T184" s="18"/>
    </row>
    <row r="185" spans="9:20" ht="12.75">
      <c r="I185" s="18"/>
      <c r="J185" s="18"/>
      <c r="K185" s="18"/>
      <c r="L185" s="18"/>
      <c r="M185" s="18"/>
      <c r="N185" s="18"/>
      <c r="O185" s="18"/>
      <c r="P185" s="18"/>
      <c r="Q185" s="18"/>
      <c r="R185" s="18"/>
      <c r="S185" s="18"/>
      <c r="T185" s="18"/>
    </row>
    <row r="186" spans="9:20" ht="12.75">
      <c r="I186" s="18"/>
      <c r="J186" s="18"/>
      <c r="K186" s="18"/>
      <c r="L186" s="18"/>
      <c r="M186" s="18"/>
      <c r="N186" s="18"/>
      <c r="O186" s="18"/>
      <c r="P186" s="18"/>
      <c r="Q186" s="18"/>
      <c r="R186" s="18"/>
      <c r="S186" s="18"/>
      <c r="T186" s="18"/>
    </row>
    <row r="187" spans="9:20" ht="12.75">
      <c r="I187" s="18"/>
      <c r="J187" s="18"/>
      <c r="K187" s="18"/>
      <c r="L187" s="18"/>
      <c r="M187" s="18"/>
      <c r="N187" s="18"/>
      <c r="O187" s="18"/>
      <c r="P187" s="18"/>
      <c r="Q187" s="18"/>
      <c r="R187" s="18"/>
      <c r="S187" s="18"/>
      <c r="T187" s="18"/>
    </row>
    <row r="188" spans="9:20" ht="12.75">
      <c r="I188" s="18"/>
      <c r="J188" s="18"/>
      <c r="K188" s="18"/>
      <c r="L188" s="18"/>
      <c r="M188" s="18"/>
      <c r="N188" s="18"/>
      <c r="O188" s="18"/>
      <c r="P188" s="18"/>
      <c r="Q188" s="18"/>
      <c r="R188" s="18"/>
      <c r="S188" s="18"/>
      <c r="T188" s="18"/>
    </row>
    <row r="189" spans="9:20" ht="12.75">
      <c r="I189" s="18"/>
      <c r="J189" s="18"/>
      <c r="K189" s="18"/>
      <c r="L189" s="18"/>
      <c r="M189" s="18"/>
      <c r="N189" s="18"/>
      <c r="O189" s="18"/>
      <c r="P189" s="18"/>
      <c r="Q189" s="18"/>
      <c r="R189" s="18"/>
      <c r="S189" s="18"/>
      <c r="T189" s="18"/>
    </row>
    <row r="190" spans="9:20" ht="12.75">
      <c r="I190" s="18"/>
      <c r="J190" s="18"/>
      <c r="K190" s="18"/>
      <c r="L190" s="18"/>
      <c r="M190" s="18"/>
      <c r="N190" s="18"/>
      <c r="O190" s="18"/>
      <c r="P190" s="18"/>
      <c r="Q190" s="18"/>
      <c r="R190" s="18"/>
      <c r="S190" s="18"/>
      <c r="T190" s="18"/>
    </row>
    <row r="191" spans="9:20" ht="12.75">
      <c r="I191" s="18"/>
      <c r="J191" s="18"/>
      <c r="K191" s="18"/>
      <c r="L191" s="18"/>
      <c r="M191" s="18"/>
      <c r="N191" s="18"/>
      <c r="O191" s="18"/>
      <c r="P191" s="18"/>
      <c r="Q191" s="18"/>
      <c r="R191" s="18"/>
      <c r="S191" s="18"/>
      <c r="T191" s="18"/>
    </row>
    <row r="192" spans="9:20" ht="12.75">
      <c r="I192" s="18"/>
      <c r="J192" s="18"/>
      <c r="K192" s="18"/>
      <c r="L192" s="18"/>
      <c r="M192" s="18"/>
      <c r="N192" s="18"/>
      <c r="O192" s="18"/>
      <c r="P192" s="18"/>
      <c r="Q192" s="18"/>
      <c r="R192" s="18"/>
      <c r="S192" s="18"/>
      <c r="T192" s="18"/>
    </row>
    <row r="193" spans="9:20" ht="12.75">
      <c r="I193" s="18"/>
      <c r="J193" s="18"/>
      <c r="K193" s="18"/>
      <c r="L193" s="18"/>
      <c r="M193" s="18"/>
      <c r="N193" s="18"/>
      <c r="O193" s="18"/>
      <c r="P193" s="18"/>
      <c r="Q193" s="18"/>
      <c r="R193" s="18"/>
      <c r="S193" s="18"/>
      <c r="T193" s="18"/>
    </row>
    <row r="194" spans="9:20" ht="12.75">
      <c r="I194" s="18"/>
      <c r="J194" s="18"/>
      <c r="K194" s="18"/>
      <c r="L194" s="18"/>
      <c r="M194" s="18"/>
      <c r="N194" s="18"/>
      <c r="O194" s="18"/>
      <c r="P194" s="18"/>
      <c r="Q194" s="18"/>
      <c r="R194" s="18"/>
      <c r="S194" s="18"/>
      <c r="T194" s="18"/>
    </row>
    <row r="195" spans="9:20" ht="12.75">
      <c r="I195" s="18"/>
      <c r="J195" s="18"/>
      <c r="K195" s="18"/>
      <c r="L195" s="18"/>
      <c r="M195" s="18"/>
      <c r="N195" s="18"/>
      <c r="O195" s="18"/>
      <c r="P195" s="18"/>
      <c r="Q195" s="18"/>
      <c r="R195" s="18"/>
      <c r="S195" s="18"/>
      <c r="T195" s="18"/>
    </row>
    <row r="196" spans="9:20" ht="12.75">
      <c r="I196" s="18"/>
      <c r="J196" s="18"/>
      <c r="K196" s="18"/>
      <c r="L196" s="18"/>
      <c r="M196" s="18"/>
      <c r="N196" s="18"/>
      <c r="O196" s="18"/>
      <c r="P196" s="18"/>
      <c r="Q196" s="18"/>
      <c r="R196" s="18"/>
      <c r="S196" s="18"/>
      <c r="T196" s="18"/>
    </row>
    <row r="197" spans="9:20" ht="12.75">
      <c r="I197" s="18"/>
      <c r="J197" s="18"/>
      <c r="K197" s="18"/>
      <c r="L197" s="18"/>
      <c r="M197" s="18"/>
      <c r="N197" s="18"/>
      <c r="O197" s="18"/>
      <c r="P197" s="18"/>
      <c r="Q197" s="18"/>
      <c r="R197" s="18"/>
      <c r="S197" s="18"/>
      <c r="T197" s="18"/>
    </row>
    <row r="198" spans="9:20" ht="12.75">
      <c r="I198" s="18"/>
      <c r="J198" s="18"/>
      <c r="K198" s="18"/>
      <c r="L198" s="18"/>
      <c r="M198" s="18"/>
      <c r="N198" s="18"/>
      <c r="O198" s="18"/>
      <c r="P198" s="18"/>
      <c r="Q198" s="18"/>
      <c r="R198" s="18"/>
      <c r="S198" s="18"/>
      <c r="T198" s="18"/>
    </row>
    <row r="199" spans="9:20" ht="12.75">
      <c r="I199" s="18"/>
      <c r="J199" s="18"/>
      <c r="K199" s="18"/>
      <c r="L199" s="18"/>
      <c r="M199" s="18"/>
      <c r="N199" s="18"/>
      <c r="O199" s="18"/>
      <c r="P199" s="18"/>
      <c r="Q199" s="18"/>
      <c r="R199" s="18"/>
      <c r="S199" s="18"/>
      <c r="T199" s="18"/>
    </row>
    <row r="200" spans="9:20" ht="12.75">
      <c r="I200" s="18"/>
      <c r="J200" s="18"/>
      <c r="K200" s="18"/>
      <c r="L200" s="18"/>
      <c r="M200" s="18"/>
      <c r="N200" s="18"/>
      <c r="O200" s="18"/>
      <c r="P200" s="18"/>
      <c r="Q200" s="18"/>
      <c r="R200" s="18"/>
      <c r="S200" s="18"/>
      <c r="T200" s="18"/>
    </row>
    <row r="201" spans="9:20" ht="12.75">
      <c r="I201" s="18"/>
      <c r="J201" s="18"/>
      <c r="K201" s="18"/>
      <c r="L201" s="18"/>
      <c r="M201" s="18"/>
      <c r="N201" s="18"/>
      <c r="O201" s="18"/>
      <c r="P201" s="18"/>
      <c r="Q201" s="18"/>
      <c r="R201" s="18"/>
      <c r="S201" s="18"/>
      <c r="T201" s="18"/>
    </row>
    <row r="202" spans="9:20" ht="12.75">
      <c r="I202" s="18"/>
      <c r="J202" s="18"/>
      <c r="K202" s="18"/>
      <c r="L202" s="18"/>
      <c r="M202" s="18"/>
      <c r="N202" s="18"/>
      <c r="O202" s="18"/>
      <c r="P202" s="18"/>
      <c r="Q202" s="18"/>
      <c r="R202" s="18"/>
      <c r="S202" s="18"/>
      <c r="T202" s="18"/>
    </row>
    <row r="203" spans="9:20" ht="12.75">
      <c r="I203" s="18"/>
      <c r="J203" s="18"/>
      <c r="K203" s="18"/>
      <c r="L203" s="18"/>
      <c r="M203" s="18"/>
      <c r="N203" s="18"/>
      <c r="O203" s="18"/>
      <c r="P203" s="18"/>
      <c r="Q203" s="18"/>
      <c r="R203" s="18"/>
      <c r="S203" s="18"/>
      <c r="T203" s="18"/>
    </row>
    <row r="204" spans="9:20" ht="12.75">
      <c r="I204" s="18"/>
      <c r="J204" s="18"/>
      <c r="K204" s="18"/>
      <c r="L204" s="18"/>
      <c r="M204" s="18"/>
      <c r="N204" s="18"/>
      <c r="O204" s="18"/>
      <c r="P204" s="18"/>
      <c r="Q204" s="18"/>
      <c r="R204" s="18"/>
      <c r="S204" s="18"/>
      <c r="T204" s="18"/>
    </row>
    <row r="205" spans="9:20" ht="12.75">
      <c r="I205" s="18"/>
      <c r="J205" s="18"/>
      <c r="K205" s="18"/>
      <c r="L205" s="18"/>
      <c r="M205" s="18"/>
      <c r="N205" s="18"/>
      <c r="O205" s="18"/>
      <c r="P205" s="18"/>
      <c r="Q205" s="18"/>
      <c r="R205" s="18"/>
      <c r="S205" s="18"/>
      <c r="T205" s="18"/>
    </row>
    <row r="206" spans="9:20" ht="12.75">
      <c r="I206" s="18"/>
      <c r="J206" s="18"/>
      <c r="K206" s="18"/>
      <c r="L206" s="18"/>
      <c r="M206" s="18"/>
      <c r="N206" s="18"/>
      <c r="O206" s="18"/>
      <c r="P206" s="18"/>
      <c r="Q206" s="18"/>
      <c r="R206" s="18"/>
      <c r="S206" s="18"/>
      <c r="T206" s="18"/>
    </row>
    <row r="207" spans="9:20" ht="12.75">
      <c r="I207" s="18"/>
      <c r="J207" s="18"/>
      <c r="K207" s="18"/>
      <c r="L207" s="18"/>
      <c r="M207" s="18"/>
      <c r="N207" s="18"/>
      <c r="O207" s="18"/>
      <c r="P207" s="18"/>
      <c r="Q207" s="18"/>
      <c r="R207" s="18"/>
      <c r="S207" s="18"/>
      <c r="T207" s="18"/>
    </row>
    <row r="208" spans="9:20" ht="12.75">
      <c r="I208" s="18"/>
      <c r="J208" s="18"/>
      <c r="K208" s="18"/>
      <c r="L208" s="18"/>
      <c r="M208" s="18"/>
      <c r="N208" s="18"/>
      <c r="O208" s="18"/>
      <c r="P208" s="18"/>
      <c r="Q208" s="18"/>
      <c r="R208" s="18"/>
      <c r="S208" s="18"/>
      <c r="T208" s="18"/>
    </row>
  </sheetData>
  <printOptions gridLines="1" horizontalCentered="1"/>
  <pageMargins left="0.2" right="0" top="0.36" bottom="0.25" header="0.24" footer="0"/>
  <pageSetup fitToHeight="1" fitToWidth="1" horizontalDpi="300" verticalDpi="300" orientation="portrait" scale="78" r:id="rId1"/>
  <headerFooter alignWithMargins="0">
    <oddHeader>&amp;C&amp;A&amp;R&amp;9&amp;D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DHHS</dc:creator>
  <cp:keywords/>
  <dc:description/>
  <cp:lastModifiedBy>Jim Blackie</cp:lastModifiedBy>
  <cp:lastPrinted>1999-10-22T12:46:53Z</cp:lastPrinted>
  <dcterms:created xsi:type="dcterms:W3CDTF">1999-02-03T14:02:41Z</dcterms:created>
  <dcterms:modified xsi:type="dcterms:W3CDTF">1999-12-14T14:59:22Z</dcterms:modified>
  <cp:category/>
  <cp:version/>
  <cp:contentType/>
  <cp:contentStatus/>
</cp:coreProperties>
</file>