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5088" windowHeight="3396" activeTab="0"/>
  </bookViews>
  <sheets>
    <sheet name="Secreted" sheetId="1" r:id="rId1"/>
    <sheet name="Housekeeping-Unknown" sheetId="2" r:id="rId2"/>
    <sheet name="Summary" sheetId="3" r:id="rId3"/>
  </sheets>
  <definedNames/>
  <calcPr fullCalcOnLoad="1"/>
</workbook>
</file>

<file path=xl/sharedStrings.xml><?xml version="1.0" encoding="utf-8"?>
<sst xmlns="http://schemas.openxmlformats.org/spreadsheetml/2006/main" count="1916" uniqueCount="852">
  <si>
    <t xml:space="preserve">3p of JAK KINASE HOPSCOTCH </t>
  </si>
  <si>
    <t>intron of BICOID-INTERACTING PROTEIN 4 - Ribosomal protein S6 kinase and related proteins</t>
  </si>
  <si>
    <t>3p of NADH:ubiquinone oxidoreductase, NDUFS2/49 kDa subuni</t>
  </si>
  <si>
    <t xml:space="preserve">ANOPHELES GAMBIAE LYSOZYME PRECURSOR AFRICAN MALARIA MOSQUITO LYC_ANOGA 1 4-BETA-N-ACETYLMURAMIDASE BETA-N-ACETYLMURAMIDASE BETA N-ACETYLMURAMIDASE N ACETYLMURAMIDASE SALIVARY STEPHENSI DARLINGI C-2 C 2 STR. PEST EC SILKWORM BOMBYX MORI LYC_BOMMO CHAIN STRUCTURE AEDES ALBOPICTUS LYC_GALME SPODOPTERA EXIGUA PUTATIVE AEGYPTI C-3 3 HELIOTHIS VIRESCENS II ARTOGEIA RAPAE LYC_HYPCU TOBACCO HORNWORM MANDUCA SEXTA=TOBACCO PEPTIDE PARTIAL 120 AA DERMACENTOR ANDERSONI SEXTA AGRIUS CONVOLVULI VARIABILIS BRANCHIOSTOMA BELCHERI TSINGTAUNESE </t>
  </si>
  <si>
    <t xml:space="preserve">ANOPHELES GAMBIAE STR. PEST CG8142-PA DROSOPHILA MELANOGASTER PSEUDOOBSCURA CG6474-PA TRANSCRIPTION INITIATION FACTOR IID CHAIN P42 FRUIT FLY TFIID 42 KDA SUBUNIT TAF9_DROME TAFII-42 TAFII40 ENHANCER YELLOW 1 TAFII CHITINASE EC PRECURSOR AEROMONAS SP. STRAIN NO. PUTATIVE GLYCINE-RICH CELL WALL STRUCTURAL TRANSMEMBRANE SINORHIZOBIUM MELILOTI 1021 GLYCINE RICH SIMILAR TO RATTUS NORVEGICUS HYPOTHETICAL NEUROSPORA CRASSA UNKNOWN ORYZA SATIVA JAPONICA CULTIVAR-GROUP CULTIVAR GROUP EXPRESSED SEQUENCE MUSCULUS SALMONELLA TYPHI MKIAA1542 SECRETORY PATHWAY COMPONENT HOFQ GEOBACTER METALLIREDUCENS GS-15 GENERAL CONTROL AMINO-ACID SYNTHESIS 5-LIKE HOMO SAPIENS AMINO ACID 5 LIKE INSULIN RECEPTOR SUBSTRATE 4 PREDICTED PAN TROGLODYTES HGCN5 GCL2_HUMAN HISTONE ACETYLTRANSFERASE HSGCN5 STAF97 SERINE ARGININE REPETITIVE MATRIX 2 MUS UNNAMED PRODUCT PE_PGRS MYCOBACTERIUM TUBERCULOSIS H37RV PE-PGRS FAMILY PE PGRS VIRUS PROTAMINE MONODONTA TURBINATA GONADS PEPTIDE 106 AA </t>
  </si>
  <si>
    <t xml:space="preserve">ANOPHELES GAMBIAE HYPOTHETICAL 12 PUTATIVE SALIVARY HYP12 STEPHENSI 10 HYP10 STR. PEST XENOPUS LAEVIS NEUROSPORA CRASSA NUCLEAR HORMONE RECEPTOR NHR-17 CAENORHABDITIS ELEGANS CONSERVED CHROMOBACTERIUM VIOLACEUM ATCC PHOSPHOTRANSFERASE SYSTEM FRUCTOSE-SPECIFIC IIC COMPONENT ENTEROCOCCUS FAECIUM FRUCTOSE SPECIFIC MKIAA0200 MUSCULUS MAML1 MUS SIMILAR TO CHLOROPLAST RNA PROCESSING ORYZA SATIVA JAPONICA CULTIVAR-GROUP FERTILITY RESTORER CULTIVAR GROUP MASTERMIND-LIKE 1 MASTERMIND LIKE HOMOLOGUE NOVEL UNNAMED PRODUCT PREDICTED TROGLODYTES HOMO SAPIENS </t>
  </si>
  <si>
    <t xml:space="preserve">HYPOTHETICAL 10 ANOPHELES GAMBIAE PUTATIVE SALIVARY HYP10 STEPHENSI 12 HYP12 UNCHARACTERIZED PROTEINS LMBE HOMOLOGS PSEUDOMONAS SYRINGAE PV. FLUORESCENS PFO-1 PFO WITH A COILED COIL DOMAIN BILATERIAL ORIGIN CAENORHABDITIS ELEGANS CONSERVED TOMATO STR. PSPTO3132 </t>
  </si>
  <si>
    <t xml:space="preserve">CYB_ANOGA CYTOCHROME B ANOPHELES GAMBIAE UBIQUINOL-CYTOCHROME-C REDUCTASE EC AFRICAN MALARIA MOSQUITO MITOCHONDRION UBIQUINOL CYTOCHROME-C C QUADRIMACULATUS A CYB_ANOQU SIMILARITY AUSTROCHLUS CENTRALAUSTRALIS ARCHAEOCHLUS SP. AMIEB AFROCHLUS HARRISONI PARABRUNDINI DRAKENSBERGENSIS BRUNDINI MATCHLESS SCATHOPHAGA TINCTINERVIS OBSCURA TROPICALIS INCOLA CINERARIA ANALIS INQUINATA LUTARIA SUILLA TAENIOPA CALIDA FURCATA CERATINOSTOMA OSTIORUM LITOREA </t>
  </si>
  <si>
    <t xml:space="preserve">ANOPHELES GAMBIAE DROSOPHILA MELANOGASTER ADP-RIBOSYLATION FACTOR 2 FRUIT FLY ARF2_DROME DARF RIBOSYLATION PSEUDOOBSCURA SIMILAR TO ARF102F YAKUBA RELATED 20.6 KD ARF-3 CAENORHABDITIS ELEGANS SIMILARITY ARF HYPOTHETICAL BRIGGSAE DAUCUS CAROTA ARF1_DAUCA ADP ARF1_CHLRE 1 CHLAMYDOMONAS REINHARDTII ZEA MAYS ARF_MAIZE MAIZE ORYZA SATIVA JAPONICA CULTIVAR-GROUP CULTIVAR GROUP 1-LIKE HORDEUM VULGARE SUBSP. ARF_ORYSA IMPORTED RICE TRITICUM AESTIVUM LIKE PUTATIVE HYACINTHUS ORIENTALIS ARABIDOPSIS THALIANA ARF1_ARATH MEDICAGO TRUNCATULA UNNAMED PRODUCT FACTOR-LIKE GOSSYPIUM HIRSUTUM </t>
  </si>
  <si>
    <t xml:space="preserve">ANOPHELES GAMBIAE STR. PEST DROSOPHILA PSEUDOOBSCURA CG7630-PA MELANOGASTER CG6727-PA PUTATIVE MEMBRANE SALMONELLA ENTERICA SUBSP. SEROVAR TYPHI TY2 CT18 PROBABLE IMPORTED STRAIN HYPOTHETICAL IXODES PACIFICUS COMPETENCE F METHYLOCOCCUS CAPSULATUS BATH MAGNAPORTHE GRISEA PARATYPI A ATCC 9150 INNER TYPHIMURIUM LT2 BURKHOLDERIA CEPACIA INSECTICIDAL JEG72 BACILLUS THURINGIENSIS JEGATHESAN COAA_BACTJ PESTICIDIAL CRYSTAL CRY24AA DELTA-ENDOTOXIN CRYXXIVA CRYSTALINE ENTOMOCIDAL PROTOXIN DELTA ENDOTOXIN SERPENTINE RECEPTOR CLASS W SRW-3 CAENORHABDITIS ELEGANS SRW 3 FERRIC UPTAKE REGULATOR NOCARDIA FARCINICA IFM V-ERB-B2 ERYTHROBLASTIC LEUKEMIA VIRAL ONCOGENE HOMOLOG 2 NEURO GLIOBLASTOMA DERIVED RATTUS NORVEGICUS V ERB-B2 ERB PROTOONCOPROTEIN HCRVF2 MALUS FLORIBUNDA EPIDERMAL GROWTH FACTOR CHAIN STRUCTURE EXTRACELLULAR REGION RAT HER2 CANDIDA ALBICANS UNCHARACTERIZED CONSERVED NOSTOC PUNCTIFORME PCC UNNAMED PRODUCT TETRAODON NIGROVIRIDIS </t>
  </si>
  <si>
    <t xml:space="preserve">ANOPHELES GAMBIAE HYPOTHETICAL MAGNAPORTHE GRISEA SALMONELLA ENTERICA SUBSP. SEROVAR TYPHI TY2 CONSERVED IMPORTED STRAIN PUTATIVE CYTOPLASMIC TYPHIMURIUM LT2 RACHABURI PARATYPI A STR. ATCC 9150 DNA-DIRECTED RNA POLYMERASE SPECIALIZED SIGMA SUBUNIT SIGMA24 HOMOLOG THERMOBIFIDA FUSCA DNA DIRECTED UNNAMED PRODUCT HOMO SAPIENS EXPANSIN 4 PHYSCOMITRELLA PATENS ZN-FINGER CCHC TYPE ASPARTIC PROTEASE RETROVIRUS FAMILY MEMBER 1K73 CAENORHABDITIS ELEGANS FINGER KINEOCOCCUS RADIOTOLERANS BRIGGSAE UNKNOWN ORYZA SATIVA JAPONICA CULTIVAR-GROUP CULTIVAR GROUP MICROTUBULE-ASSOCIATED RP EB 34.9 KD MICROTUBULE ASSOCIATED </t>
  </si>
  <si>
    <t>Table 1: Genomic origin of EST's</t>
  </si>
  <si>
    <t>Nuclear</t>
  </si>
  <si>
    <t xml:space="preserve">Table 2: Classification of EST's </t>
  </si>
  <si>
    <t>56 (15)</t>
  </si>
  <si>
    <t>1 (0.3)</t>
  </si>
  <si>
    <t>649 (61)</t>
  </si>
  <si>
    <t>1 (0.1)</t>
  </si>
  <si>
    <t xml:space="preserve">PHEROPHORIN-DZ1 VOLVOX CARTERI F. NAGARIENSIS PHEROPHORIN DZ1 ORYZA SATIVA JAPONICA CULTIVAR-GROUP CULTIVAR GROUP HYPOTHETICAL PROLINE-RICH 1 POLYCHAETE OWENIA FUSIFORMIS FRAGMENT YPRO_OWEFU PROLINE RICH SIMILAR TO NAGARIENSIS. PRECURSOR DICTYOSTELIUM DISCOIDEUM NEUROSPORA CRASSA Y50E8A.G CAENORHABDITIS ELEGANS PROBABLE CYTOKINESIS SEPA NUCLEAR EBNA2 FAMILY CAULOBACTER CRESCENTUS CB15 IMPORTED XANTHOMONAS AXONOPODIS PV. CITRI STR. 306 PHEROPHORIN-S S UNNAMED PRODUCT HUMAN HERPESVIRUS 4 EBNA-2 EBN2_EBV SULFATED SURFACE GLYCOPROTEIN 185 SSGP_VOLCA SSG ARABIDOPSIS THALIANA EXTENSIN PROTEIN-LIKE LEUCINE-RICH REPEAT LIKE LEUCINE AFR669WP ASHBYA GOSSYPII ATCC EREMOTHECIUM ACROSIN EC RABBIT PREPROACROSIN PREPRO-ACROSIN ACRO_RABIT PREPRO GIBBERELLA ZEAE PH-1 PROTEASE POSSIBLE CRYPTOSPORIDIUM PARVUM WITH SIGNAL PEPTIDE STRETCH AT C-TERMINUS C TERMINUS TETRAODON NIGROVIRIDIS 9447 MINI-COLLAGEN HYDRA SP. COLLAGEN-RELATED MAGNIPAPILLATA MINI COLLAGEN RELATED </t>
  </si>
  <si>
    <t xml:space="preserve">PHEROPHORIN-DZ1 VOLVOX CARTERI F. NAGARIENSIS PHEROPHORIN DZ1 HYPOTHETICAL PROLINE-RICH 1 POLYCHAETE OWENIA FUSIFORMIS FRAGMENT YPRO_OWEFU PROLINE RICH ORYZA SATIVA JAPONICA CULTIVAR-GROUP CULTIVAR GROUP SIMILAR TO NAGARIENSIS. PRECURSOR DICTYOSTELIUM DISCOIDEUM NUCLEAR EBNA2 XANTHOMONAS AXONOPODIS PV. CITRI STR. 306 BASIC SUS SCROFA UNNAMED PRODUCT HUMAN HERPESVIRUS 4 EBNA-2 EBN2_EBV HOMO SAPIENS ACROSIN EC RABBIT PREPROACROSIN PREPRO-ACROSIN ACRO_RABIT PREPRO FORMIN-LIKE 2 ISOFORM B FORMIN LIKE D C A PHEROPHORIN-S S CRYPTOCOCCUS NEOFORMANS VAR. TETRAODON NIGROVIRIDIS NEUROSPORA CRASSA IMPORTED PCLO_HUMAN PICCOLO ACZONIN 9447 MINI-COLLAGEN HYDRA SP. COLLAGEN-RELATED MAGNIPAPILLATA MINI COLLAGEN RELATED Q9QYX7 PCLO_MOUSE PRESYNAPTIC CYTOMATRIX BRAIN-DERIVED HLMN MUSCULUS BRAIN DERIVED MUS FAMILY CAULOBACTER CRESCENTUS CB15 </t>
  </si>
  <si>
    <t xml:space="preserve">SIMILAR TO PLASMODIUM LOPHURAE. HISTIDINE-RICH GLYCOPROTEIN PRECURSOR DICTYOSTELIUM DISCOIDEUM HYPOTHETICAL HISTIDINE RICH UNNAMED PRODUCT TETRAODON NIGROVIRIDIS KGZQHL LOPHURAE 9999 HRPX_PLALO FALCIPARUM 3D7 PUTATIVE RING ZINC FINGER ARABIDOPSIS THALIANA C3HC4-TYPE FAMILY C3HC4 FRAGMENT ANOPHELES GAMBIAE ORYZA SATIVA JAPONICA CULTIVAR-GROUP CULTIVAR GROUP PROBABLE METAL TRANSPORTER PSEUDOMONAS AERUGINOSA PAO1 IMPORTED STRAIN ASPERGILLUS NIDULANS FGSC A4 XENOPUS LAEVIS TROPICALIS MAGNAPORTHE GRISEA DROSOPHILA MELANOGASTER MUS MUSCULUS MOUSE . SEX-DETERMINING REGION Y TESTIS-DETERMINING FACTOR SEX DETERMINING TESTIS RNA-BINDING 6 TRYPANOSOMA CRUZI RNA BINDING PREDICTED NAKED CUTICLE HOMOLOG 2 CUTICLE-2 DVL-BINDING NKD2 PAN TROGLODYTES DVL CYSTATIN DOMAIN FETUIN-LIKE FETUIN LIKE NUCLEAR RECEPTOR SUBFAMILY 4 A MEMBER 3 ISOFORM RATTUS NORVEGICUS NEURON DERIVED ORPHAN RECEPTOR-1 RAT NR43_RAT NR4A3 HORMONE NOR-1 NOR-2 NEURON-DERIVED 1 B NOR PECTINESTERASE </t>
  </si>
  <si>
    <t>Class</t>
  </si>
  <si>
    <t>s/ag5</t>
  </si>
  <si>
    <t>s/hyp12</t>
  </si>
  <si>
    <t>s/muc</t>
  </si>
  <si>
    <t>h/transporter</t>
  </si>
  <si>
    <t>h/protein export</t>
  </si>
  <si>
    <t>h/protein modification</t>
  </si>
  <si>
    <t>h/signal transduction</t>
  </si>
  <si>
    <t>h/transcription factor</t>
  </si>
  <si>
    <t>h/protein synthesis</t>
  </si>
  <si>
    <t>Unknown</t>
  </si>
  <si>
    <t>Clusters</t>
  </si>
  <si>
    <t>Sequences</t>
  </si>
  <si>
    <t>Secreted</t>
  </si>
  <si>
    <t>Housekeeping</t>
  </si>
  <si>
    <t>MUCIN-LIKE PROTEIN</t>
  </si>
  <si>
    <t xml:space="preserve">RIBOSOMAL PROTEIN SA </t>
  </si>
  <si>
    <t xml:space="preserve">RIBOSOMAL PROTEIN L27 </t>
  </si>
  <si>
    <t>SG3 PROTEIN - mucin-like</t>
  </si>
  <si>
    <t>s/g2</t>
  </si>
  <si>
    <t>SG2 PROTEIN</t>
  </si>
  <si>
    <t>HYPOTHETICAL PROTEIN 10</t>
  </si>
  <si>
    <t>s/mal</t>
  </si>
  <si>
    <t>s/g6</t>
  </si>
  <si>
    <t>Lysosomal thiol reductase IP30</t>
  </si>
  <si>
    <t xml:space="preserve">ribosomal protein L32 </t>
  </si>
  <si>
    <t>RIBOSOMAL PROTEIN L37</t>
  </si>
  <si>
    <t>RIBOSOMAL PROTEIN P1</t>
  </si>
  <si>
    <t>h/metabolism, energy</t>
  </si>
  <si>
    <t>Transcription factor XBP-1</t>
  </si>
  <si>
    <t>h/conserved</t>
  </si>
  <si>
    <t>Protein disulfide isomerase precursor</t>
  </si>
  <si>
    <t>identical to ENSANGP00000018489</t>
  </si>
  <si>
    <t>h/metabolism, lipid</t>
  </si>
  <si>
    <t>unknown - polyE?</t>
  </si>
  <si>
    <t>probable transcription factor</t>
  </si>
  <si>
    <t>RIBOSOMAL PROTEIN S13</t>
  </si>
  <si>
    <t>RIBOSOMAL PROTEIN S15A</t>
  </si>
  <si>
    <t>Phosphoglycerate mutase 2</t>
  </si>
  <si>
    <t>h/metabolism, carbs</t>
  </si>
  <si>
    <t>RIBOSOMAL PROTEIN P2</t>
  </si>
  <si>
    <t>S-adenosylhomocysteine hydrolase</t>
  </si>
  <si>
    <t>h/metabolism, cofactor</t>
  </si>
  <si>
    <t>ribosomal protein S15</t>
  </si>
  <si>
    <t>s/54</t>
  </si>
  <si>
    <t xml:space="preserve">GLUTAMATE DEHYDROGENASE </t>
  </si>
  <si>
    <t>h/metabolism, nitrogen</t>
  </si>
  <si>
    <t>s/g5</t>
  </si>
  <si>
    <t>Trehalase precursor</t>
  </si>
  <si>
    <t xml:space="preserve"> ribosomal protein L18a </t>
  </si>
  <si>
    <t>RIBOSOMAL PROTEIN S4</t>
  </si>
  <si>
    <t>RIBOSOMAL PROTEIN L17</t>
  </si>
  <si>
    <t>ELONGATION FACTOR 2</t>
  </si>
  <si>
    <t>RIBOSOMAL PROTEIN L31</t>
  </si>
  <si>
    <t>RECEPTOR FOR ACTIVATED PROTEIN KINASE C</t>
  </si>
  <si>
    <t>HSP90</t>
  </si>
  <si>
    <t>ribosomal protein L18</t>
  </si>
  <si>
    <t>Dolichyl-diphosphooligosaccharide--protein glycosyltransferase 63 kDa subunit precursor</t>
  </si>
  <si>
    <t>RIBOSOMAL PROTEIN L9</t>
  </si>
  <si>
    <t xml:space="preserve">RIBOSOMAL PROTEIN S27A </t>
  </si>
  <si>
    <t>s/calreticulin</t>
  </si>
  <si>
    <t xml:space="preserve">ACTIN </t>
  </si>
  <si>
    <t>h/cytoskeletal</t>
  </si>
  <si>
    <t>Signal recognition particle 19 kDa protein</t>
  </si>
  <si>
    <t>s/hyp6.2</t>
  </si>
  <si>
    <t xml:space="preserve">PUTATIVE 53.7 KDA SALIVARY PROTEIN </t>
  </si>
  <si>
    <t xml:space="preserve">ANOPHELES GAMBIAE PUTATIVE 19.1 KDA SALIVARY SG3 STEPHENSI STR. PEST DROSOPHILA MELANOGASTER BRAIN-SPECIFIC ANGIOGENESIS INHIBITOR 2E89 CAENORHABDITIS ELEGANS HYPOTHETICAL Y8A9A.2 BRAIN SPECIFIC HUMAN HERPESVIRUS 5 STRAIN HCMVUL11 PRECURSOR CYTOMEGALOVIRUS MEMBRANE UL11_HCMVA MUC1_XENLA INTEGUMENTARY MUCIN C.1 FIM-C.1 AFRICAN CLAWED FROG FRAGMENT PRODUCT FIM SIGNAL PEPTIDE PLUS THR STRETCH POSSIBLE CRYPTOSPORIDIUM PARVUM HOMINIS THREONINE-RICH CULEX PIPIENS QUINQUEFASCIATUS THREONINE RICH 10 RATTUS NORVEGICUS APOMUCIN RAT GIBBERELLA ZEAE PH-1 SIMILAR TO LCS YAKUBA CG3280-PA HIS REPEATS TRANSMEMBRANE DOMAIN OR GPI ANCHOR PREDICTED HOMO SAPIENS EXCRETORY SECRETORY MUC-5 TOXOCARA CANIS MUC BRIGGSAE INSECT INTESTINAL IIM14 TRICHOPLUSIA NI </t>
  </si>
  <si>
    <t xml:space="preserve">HYPOTHETICAL POLAROMONAS SP. GLYCINE RICH TRANSMEMBRANE SINORHIZOBIUM MELILOTI 1021 NODULIN-20A SOYBEAN NODULIN N20A_SOYBN PRECURSOR N-20A NOD-20A TRANSIENT A DROSOPHILA VIRILIS DOMAIN BINDING 5 WBP5 MUS MUSCULUS PREDICTED FORMIN 2 HOMO SAPIENS GLYCINE-RICH CELL WALL ORYZA SATIVA KNRZG1 STRUCTURAL 1 CLONE LAMBDA-313 GRP1_ORYSA LAMBDA 313 POTENTIAL FUNGAL ZINC CLUSTER TRANSCRIPTION FACTOR CANDIDA ALBICANS MINI-COLLAGEN HYDRA COLLAGEN-RELATED 4 MAGNIPAPILLATA FRAGMENT MINI COLLAGEN RELATED UNNAMED PRODUCT TETRAODON NIGROVIRIDIS PONGO PYGMAEUS FINGER CEREBELLUM FAMILY MEMBER ODD-PAIRED HOMOLOG ZIC5_HUMAN PAIRED AMERICANA TEXANA KANEKOI PUTATIVE </t>
  </si>
  <si>
    <t xml:space="preserve">ANOPHELES GAMBIAE STR. PEST RECEPTOR FOR ACTIVATED KINASE C HOMOLOG MAMESTRA BRASSICAE PUTATIVE HOMALODISCA COAGULATA RACK1 HELIOTHIS VIRESCENS PLUTELLA XYLOSTELLA TOXOPTERA CITRICIDA HYPOTHETICAL 7 LONOMIA OBLIQUA SIMILAR TO DROSOPHILA MELANOGASTER YAKUBA APIS MELLIFERA CG7111-PA GBLP_DROME GUANINE NUCLEOTIDE-BINDING BETA SUBUNIT-LIKE NUCLEOTIDE BINDING SUBUNIT LIKE PSEUDOOBSCURA POLYPEPTIDE 2-LIKE RATTUS NORVEGICUS RAT SUBUIT MUS MUSCULUS GNB2L1-PROV XENOPUS LAEVIS GNB2L1 TROPICALIS G HOMO SAPIENS UNKNOWN MGC COMPLEX 12.3 GALLUS RELATED SEQUENCE G-BETA SUS SCROFA TAURUS PREDICTED 2 1 BETA-2 GENE POLYPEP... PAN TROGLODYTES SYNTHETIC CONSTRUCT CANCER ONCOGENE G-PROTEIN LIKE-PROTEIN ORYCTOLAGUS CUNICULUS PETROMYZON MARINUS CHINCHILLA LANIGERA </t>
  </si>
  <si>
    <t xml:space="preserve">ANOPHELES GAMBIAE HYPOTHETICAL PLASMODIUM CHABAUDI FALCIPARUM 3D7 CONSERVED UNNAMED PRODUCT TETRAODON NIGROVIRIDIS CYTOPHAGA HUTCHINSONII BKM-LIKE SEX-DETERMINING REGION FRUIT FLY DROSOPHILA MELANOGASTER FRAGMENT BKM LIKE SEX DETERMINING HOMO SAPIENS INTERACTING FACTOR HOMOLOG 39.1 KD CAENORHABDITIS ELEGANS MUS MUSCULUS UNKNOWN-RELATED YOELII UNKNOWN RELATED ORYZA SATIVA JAPONICA CULTIVAR-GROUP CULTIVAR GROUP AUTOINDUCER SENSOR STAPHYLOCOCCUS AUREUS SUBSP. MRSA252 BERGHEI </t>
  </si>
  <si>
    <t>salivary maltase - truncated</t>
  </si>
  <si>
    <t>Best match to mitochondrial database</t>
  </si>
  <si>
    <t>Best match to rRNA database</t>
  </si>
  <si>
    <t>similar to An. stephensi putative salivary secreted serine protease inhibitor - also toxins</t>
  </si>
  <si>
    <t>SG2 family</t>
  </si>
  <si>
    <t xml:space="preserve">UNNAMED PRODUCT TETRAODON NIGROVIRIDIS HYPOTHETICAL CAENORHABDITIS BRIGGSAE UNKNOWN FOR IMAGE XENOPUS LAEVIS ANOPHELES GAMBIAE HYDROXYPROLINE-RICH GLYCOPROTEIN DZ-HRGP PRECURSOR CRYPTOSPORIDIUM HOMINIS HYDROXYPROLINE RICH DZ HRGP HOMO SAPIENS PREPROMP73 CUCURBITA MAXIMA PREDICTED SIMILAR TO GALLUS PARAMECIUM TETRAURELIA. CYCLOPHILIN-RNA INTERACTING EC PEPTIDYL-PROLYL CIS- TRANS ISOMERASE PPIASE ROTAMASE DICTYOSTELIUM DISCOIDEUM CYCLOPHILIN RNA PEPTIDYL PROLYL CIS YARROWIA LIPOLYTICA CLIB99 SNRNP ZEA MAYS ANTIGEN P200 BABESIA BIGEMINA CISPLATIN RESISTANCE-ASSOCIATED OVEREXPRESSED PONGO PYGMAEUS RESISTANCE ASSOCIATED NOVEL LUC7A MUS MUSCULUS BINDING MOTIF 25 </t>
  </si>
  <si>
    <t xml:space="preserve">ANOPHELES GAMBIAE STR. PEST </t>
  </si>
  <si>
    <t xml:space="preserve">ANOPHELES GAMBIAE STR. PEST GSG2-LIKE GSG2 LIKE HYPOTHETICAL SALIVARY SG2A STEPHENSI CAENORHABDITIS BRIGGSAE ASPERGILLUS NIDULANS FGSC A4 </t>
  </si>
  <si>
    <t xml:space="preserve">HYPOTHETICAL Y50E8A.I CAENORHABDITIS ELEGANS UNNAMED PRODUCT YARROWIA LIPOLYTICA CLIB99 ASPERGILLUS NIDULANS FGSC A4 HOMO SAPIENS CANDIDA ALBICANS ARABIDOPSIS THALIANA BRIGGSAE CHLOROFLEXUS AURANTIACUS PLASMODIUM YOELII CRYPTOGENE G4 LEISHMANIA TARENTOLAE STRAIN PREDICTED NEUROSPORA CRASSA FALCIPARUM 3D7 BERGHEI DEHYDROGENASE SUBUNIT 5 BODO SALTANS WSSV375 SHRIMP WHITE SPOT SYNDROME VIRUS STRONGYLOIDES STERCORALIS THERMOBIFIDA FUSCA WITH SIGNAL PEPTIDE CRYPTOSPORIDIUM PARVUM NADH-UBIQUINONE OXIDOREDUCTASE 6 GLOBODERA PALLIDA NADH UBIQUINONE </t>
  </si>
  <si>
    <t xml:space="preserve">UNNAMED PRODUCT HOMO SAPIENS HYPOTHETICAL PLASMODIUM BERGHEI DANIO RERIO TETRAODON NIGROVIRIDIS MUS MUSCULUS ORYZA SATIVA JAPONICA CULTIVAR-GROUP CULTIVAR GROUP CHABAUDI ANOPHELES GAMBIAE STR. PEST </t>
  </si>
  <si>
    <t xml:space="preserve">GSG2-LIKE ANOPHELES GAMBIAE GSG2 LIKE STR. PEST HYPOTHETICAL SALIVARY SG2A STEPHENSI EXTENSIN CLASS 1 VIGNA UNGUICULATA PRECURSOR COWPEA USTILAGO MAYDIS 521 UNNAMED PRODUCT MUS MUSCULUS GIBBERELLA ZEAE PH-1 PREDICTED NEUROSPORA CRASSA MANNHEIMIA SUCCINICIPRODUCENS MBEL55E PLASMODIUM BERGHEI DROSOPHILA PSEUDOOBSCURA MAGNAPORTHE GRISEA </t>
  </si>
  <si>
    <t xml:space="preserve">ANOPHELES GAMBIAE STR. PEST CG8615-PA DROSOPHILA MELANOGASTER PSEUDOOBSCURA RIBOSOMAL L18 OREOCHROMIS MOSSAMBICUS NILOTICUS RL18_OREMO UNNAMED PRODUCT TETRAODON NIGROVIRIDIS BRANCHIOSTOMA LANCEOLATUM RATTUS NORVEGICUS CYTOSOLIC VALIDATED RAT RL18_RAT PREDICTED SIMILAR TO 60S PAN TROGLODYTES SAPIENS HUMAN RL18_HUMAN RPL18 MUSCULUS RL18_MOUSE PETROMYZON MARINUS HOMO MUS L14 LAPEMIS HARDWICKII PAGRUS MAJOR ICTALURUS PUNCTATUS RL18_ICTPU PUTATIVE CYTOPLASMIC ORYZA SATIVA JAPONICA CULTIVAR-GROUP CULTIVAR GROUP UNKNOWN FOR MGC XENOPUS TROPICALIS LAEVIS L18.B AFRICAN CLAWED FROG R5XL8A L18.A R18A_XENLA APIS MELLIFERA </t>
  </si>
  <si>
    <t xml:space="preserve">UNNAMED PRODUCT HOMO SAPIENS HYPOTHETICAL HHV6GP101 HUMAN HERPESVIRUS 6 PLASMODIUM BERGHEI SEVEN TRANSMEMBRANE HELIX RECEPTOR MUS MUSCULUS HC1 MOUSE FRAGMENT RIKEN CDNA UNKNOWN ANOPHELES GAMBIAE TETRAODON NIGROVIRIDIS XYLELLA FASTIDIOSA 9A5C IMPORTED STRAIN </t>
  </si>
  <si>
    <t xml:space="preserve">DEHYDROGENASE SUBUNIT 2 ANOPHELES GAMBIAE NADH2 UBIQUINONE EC CHAIN AFRICAN MALARIA MOSQUITO MITOCHONDRION NU2M_ANOGA NADH-UBIQUINONE OXIDOREDUCTASE QUADRIMACULATUS A NU2M_ANOQU SUBUNIT=2 NU2M_ANOAL </t>
  </si>
  <si>
    <t xml:space="preserve">ANOPHELES GAMBIAE HYPOTHETICAL PLASMODIUM FALCIPARUM 3D7 LEGIONELLA PNEUMOPHILA STR. PARIS </t>
  </si>
  <si>
    <t xml:space="preserve">HYPOTHETICAL CANDIDA ALBICANS CG6395-PC ISOFORM C DROSOPHILA MELANOGASTER CYSTEINE STRING 2 CG6395-PA A 3 CSP29 CG6395-PB B 1 CSP_DROME CSP32 CTG26 ALTERNATE OPEN READING FRAME HOMO SAPIENS ANOPHELES GAMBIAE STR. PEST DANIO RERIO UNKNOWN FOR MGC NOVEL SIMILAR TO VERTEBRATE DNAJ HSP40 HOMOLOG SUBFAMILY MEMBER 5 DNAJC5 ZGC RATTUS NORVEGICUS MUSCULUS UNNAMED PRODUCT TETRAODON NIGROVIRIDIS SACCHAROMYCES CEREVISIAE PROBABLE MEMBRANE YJL064W YEAST YJG4_YEAST 13.9 KDA IN SMC3-MRPL8 INTERGENIC REGION SMC3 MRPL8 PREDICTED CSP GALLUS CYSTEINE-STRING XENOPUS LAEVIS CSP_XENLA XCSP TROPICALIS </t>
  </si>
  <si>
    <t xml:space="preserve">UNKNOWN FOR IMAGE XENOPUS LAEVIS HYPOTHETICAL HOMO SAPIENS PREDICTED SIMILAR TO GALLUS UNNAMED PRODUCT TETRAODON NIGROVIRIDIS HYDROXYPROLINE-RICH GLYCOPROTEIN DZ-HRGP PRECURSOR CRYPTOSPORIDIUM HOMINIS HYDROXYPROLINE RICH DZ HRGP PARAMECIUM TETRAURELIA. CYCLOPHILIN-RNA INTERACTING EC PEPTIDYL-PROLYL CIS- TRANS ISOMERASE PPIASE ROTAMASE DICTYOSTELIUM DISCOIDEUM CYCLOPHILIN RNA PEPTIDYL PROLYL CIS CAENORHABDITIS BRIGGSAE MUS MUSCULUS CG6686-PB ISOFORM B DROSOPHILA MELANOGASTER CG6686-PA A ANOPHELES GAMBIAE STR. PEST TROGLODYTES BINDING MOTIF 25 SMALL RIBONUCLEOPROTEIN 1SNRP HOMOLOG MATCH PID </t>
  </si>
  <si>
    <t xml:space="preserve">ANOPHELES GAMBIAE STR. PEST RIBOSOMAL S30 BOMBYX MORI HIPPOCAMPUS COMES DANIO RERIO PREDICTED SIMILAR TO FINKEL-BISKIS-REILLY MURINE SARCOMA VIRUS FBR-MUSV UBIQUITOUSLY EXPRESSED FOX DERIVED PAN TROGLODYTES FINKEL BISKIS-REILLY BISKIS REILLY FBR MUSV FUSION RATTUS NORVEGICUS MUS SPICILEGUS MUSCULUS UBIQUITIN-LIKE CYTOSOLIC VALIDATED RAT UBIQUITIN LIKE HOMO SAPIENS FUBI PRECURSOR UNNAMED PRODUCT HUMAN MONOCLONAL NONSPECIFIC SUPPRESSOR FACTOR BETA FAU MOUSE NON-SPECIFIC NON SPECIFIC XENOPUS TROPICALIS SUS SCROFA BOS TAURUS LAEVIS HYPOTHETICAL PONGO PYGMAEUS ARSENITE-RESISTANCE CRICETULUS GRISEUS ARSENITE RESISTANCE RS30_MOUSE RS30_HUMAN RS30_CRIGR RS30_RAT RS30_PIG RS30_MUSSI RS30_BOVIN ARGOPECTEN IRRADIANS IXODES PACIFICUS OSTEOSARCOMA 17 LONOMIA OBLIQUA S30E PAPILIO DARDANUS SPODOPTERA FRUGIPERDA </t>
  </si>
  <si>
    <t xml:space="preserve">DROSOPHILA PSEUDOOBSCURA POTENTIAL TRANSCRIPTIONAL REPRESSOR NOT4HP CRYPTOSPORIDIUM HOMINIS HYPOTHETICAL NEUROSPORA CRASSA RELATED TO PEROXISOMAL TARGETING SIGNAL RECEPTOR PREDICTED SIMILAR PRODUCT IS NOVEL. PAN TROGLODYTES UNNAMED TETRAODON NIGROVIRIDIS MELANOGASTER RETICULOCALBIN RATTUS NORVEGICUS HOMEOTIC BICOID FRUIT FLY 9049 YH17_YEAST 17.1 KDA IN PUR5 3'REGION YHR217C YEAST SACCHAROMYCES CEREVISIAE YHR217CP CANDIDA ALBICANS YARROWIA LIPOLYTICA CLIB99 MOT2P RING FINGER+RRM DOMAINS PARVUM DICTYOSTELIUM DISCOIDEUM PULVINUS INWARD-RECTIFYING CHANNEL SPICK2 SAMANEA SAMAN INWARD RECTIFYING ORYZA SATIVA JAPONICA CULTIVAR-GROUP CULTIVAR GROUP </t>
  </si>
  <si>
    <t xml:space="preserve">HYPOTHETICAL ARABIDOPSIS THALIANA PROLINE-RICH EXTENSIN-LIKE FAMILY PROLINE RICH EXTENSIN LIKE PRECURSOR CURLED-LEAVED TOBACCO CURLED LEAVED HOMOLOG UNKNOWN PUTATIVE IMPORTED NICOTIANA TABACUM COMMON GIBBERELLA ZEAE PH-1 SOLANUM TUBEROSUM POTATO TRANSMEMBRANE HELICES PARAMECIUM TETRAURELIA </t>
  </si>
  <si>
    <t xml:space="preserve">SUPER CYSTEINE RICH SCRP HOMO SAPIENS HYPOTHETICAL CANDIDA ALBICANS UNKNOWN FOR MGC DANIO RERIO NOVEL SIMILAR TO VERTEBRATE DNAJ HSP40 HOMOLOG SUBFAMILY C MEMBER 5 DNAJC5 ZGC CTG26 ALTERNATE OPEN READING FRAME PUTATIVE NEUROSPORA CRASSA TRYPANOSOMA BRUCEI METHIONINE AMINOPEPTIDASE PLASMODIUM FALCIPARUM 3D7 WILLEBRAND FACTOR TYPE A DOMAIN CONTAINING ORYZA SATIVA JAPONICA CULTIVAR-GROUP CULTIVAR GROUP CG6395-PB ISOFORM B DROSOPHILA MELANOGASTER STRING 1 CSP_DROME CSP32 CG6395-PC 2 CG6395-PA 3 CSP29 ANOPHELES GAMBIAE UNNAMED PRODUCT SACCHAROMYCES CEREVISIAE PROBABLE MEMBRANE YJL064W YEAST YJG4_YEAST 13.9 KDA IN SMC3-MRPL8 INTERGENIC REGION SMC3 MRPL8 RATTUS NORVEGICUS XENOPUS TROPICALIS LAEVIS PROTEIN-COUPLED RECEPTOR GPCR CNS2 COUPLED ETBR-LP-2 ETB2_HUMAN ENDOTHELIN RECEPTOR-LIKE PROTEIN-2 PRECURSOR G 37 LIKE ETBR LP-2 LP </t>
  </si>
  <si>
    <t xml:space="preserve">ANOPHELES GAMBIAE STR. PEST DROSOPHILA PSEUDOOBSCURA CG9922-PA MELANOGASTER PREDICTED SIMILAR TO HUNTINGTIN INTERACTING K GALLUS UNNAMED PRODUCT TETRAODON NIGROVIRIDIS XENOPUS LAEVIS HOMO SAPIENS RIKEN CDNA RATTUS NORVEGICUS MUSCULUS MUS HYPK HSPC136 HYPOTHETICAL NEUROSPORA CRASSA CONSERVED ORYZA SATIVA JAPONICA CULTIVAR-GROUP CULTIVAR GROUP CRYPTOCOCCUS NEOFORMANS VAR. </t>
  </si>
  <si>
    <t xml:space="preserve">ANOPHELES GAMBIAE PUTATIVE GVAG PRECURSOR SALIVARY ANTIGEN-5 RELATED STEPHENSI ANTIGEN 5 5-RELATED DARLINGI STR. PEST SECRETED AEDES AEGYPTI AG5-4 ALBOPICTUS AG5 4 AG5-1 1 DROSOPHILA MELANOGASTER DIRUS B CULICOIDES SONORENSIS GLOSSINA MORSITANS </t>
  </si>
  <si>
    <t xml:space="preserve">ANOPHELES GAMBIAE STR. PEST RIBOSOMAL L17 AEDES ALBOPICTUS CG3203-PC ISOFORM C DROSOPHILA MELANOGASTER CG3203-PB CG3203-PA CG3203-PD SIMILAR TO YAKUBA PSEUDOOBSCURA 31 LONOMIA OBLIQUA BOMBYX MORI XENOPUS TROPICALIS AMINO ACID STARVATION-INDUCED STARVATION INDUCED UNKNOWN FOR MGC MUSCULUS PREDICTED 60S L23 PAN TROGLODYTES SAPIENS FELIS CATUS CYTOSOLIC HUMAN UNNAMED PRODUCT RL17_HUMAN LAEVIS RATTUS NORVEGICUS ASI GALLUS VALIDATED RAT RL17_RAT RPL17 DYGGVE-MELCHIOR-CLAUSEN SYNDROME DYGGVE MELCHIOR-CLAUSEN MELCHIOR CLAUSEN DANIO RERIO MUS Q9CPR4 RL17_MOUSE ICTALURUS PUNCTATUS L22 CAENORHABDITIS ELEGANS LARGE SUBUNIT 17 A B PARALICHTHYS OLIVACEUS </t>
  </si>
  <si>
    <t xml:space="preserve">ANOPHELES GAMBIAE STR. PEST RIBOSOMAL L17A AEDES AEGYPTI Q9GNE2 RL23_AEDAE CG3661-PA DROSOPHILA MELANOGASTER PSEUDOOBSCURA RL23_DROME L23 FRUIT FLY BOMBYX MORI SPODOPTERA FRUGIPERDA PLUTELLA XYLOSTELLA SIMILAR TO L17 23 APIS MELLIFERA PREDICTED PAN TROGLODYTES UNKNOWN FOR MGC XENOPUS TROPICALIS MUS MUSCULUS RATTUS NORVEGICUS SAPIENS ICTALURUS PUNCTATUS CYTOSOLIC VALIDATED RAT RL23_ICTPU RL23_MOUSE RL23_HUMAN RL23_RAT RL23_PIG UNNAMED PRODUCT DANIO RERIO SPARUS AURATA TETRAODON NIGROVIRIDIS RL23_BRARE LAEVIS HYPOTHETICAL PONGO PYGMAEUS HOMO GALLUS GILLICHTHYS MIRABILIS SUS SCROFA LARGE SUBUNIT 15.0 KD RPL-23 CAENORHABDITIS ELEGANS BRIGGSAE RL23_CAEEL DICENTRARCHUS LABRAX HUMAN BRANCHIOSTOMA BELCHERI TSINGTAUNESE CRASSOSTREA GIGAS </t>
  </si>
  <si>
    <r>
      <t xml:space="preserve">Best match to </t>
    </r>
    <r>
      <rPr>
        <b/>
        <i/>
        <sz val="8"/>
        <color indexed="12"/>
        <rFont val="Arial"/>
        <family val="2"/>
      </rPr>
      <t>An. gambiae</t>
    </r>
    <r>
      <rPr>
        <b/>
        <sz val="8"/>
        <color indexed="12"/>
        <rFont val="Arial"/>
        <family val="2"/>
      </rPr>
      <t xml:space="preserve"> genome</t>
    </r>
  </si>
  <si>
    <r>
      <t xml:space="preserve">Best match to </t>
    </r>
    <r>
      <rPr>
        <b/>
        <i/>
        <sz val="8"/>
        <color indexed="12"/>
        <rFont val="Arial"/>
        <family val="2"/>
      </rPr>
      <t>An. gambiae</t>
    </r>
    <r>
      <rPr>
        <b/>
        <sz val="8"/>
        <color indexed="12"/>
        <rFont val="Arial"/>
        <family val="2"/>
      </rPr>
      <t xml:space="preserve"> 5' gene database</t>
    </r>
  </si>
  <si>
    <r>
      <t xml:space="preserve">Best match to </t>
    </r>
    <r>
      <rPr>
        <b/>
        <i/>
        <sz val="8"/>
        <color indexed="12"/>
        <rFont val="Arial"/>
        <family val="2"/>
      </rPr>
      <t>An. gambiae</t>
    </r>
    <r>
      <rPr>
        <b/>
        <sz val="8"/>
        <color indexed="12"/>
        <rFont val="Arial"/>
        <family val="2"/>
      </rPr>
      <t xml:space="preserve"> 3' gene database</t>
    </r>
  </si>
  <si>
    <r>
      <t xml:space="preserve">Best match to </t>
    </r>
    <r>
      <rPr>
        <b/>
        <i/>
        <sz val="8"/>
        <color indexed="12"/>
        <rFont val="Arial"/>
        <family val="2"/>
      </rPr>
      <t>An. gambiae</t>
    </r>
    <r>
      <rPr>
        <b/>
        <sz val="8"/>
        <color indexed="12"/>
        <rFont val="Arial"/>
        <family val="2"/>
      </rPr>
      <t xml:space="preserve"> protein database</t>
    </r>
  </si>
  <si>
    <t>3p of mannosyl-oligosaccharide 1/,2-alpha-mannosidase activity</t>
  </si>
  <si>
    <t xml:space="preserve">ORYZA SATIVA JAPONICA CULTIVAR-GROUP HYPOTHETICAL CULTIVAR GROUP CANDIDA ALBICANS CTG26 ALTERNATE OPEN READING FRAME HOMO SAPIENS MUSCULUS NODULE EXTENSIN PISUM SATIVUM CHLOROFLEXUS AURANTIACUS UNNAMED PRODUCT TETRAODON NIGROVIRIDIS HYDROXYPROLINE-RICH GLYCOPROTEIN-1 HYDROXYPROLINE RICH GLYCOPROTEIN 1 EXTENSIN=NODULE-SPECIFIC PROLINE-RICH CLONE VFNDS-E VICIA FABA=BROADBEANS ROOT NODULES PEPTIDE PARTIAL 116 AA EXTENSIN=NODULE SPECIFIC PROLINE VFNDS E NEUROSPORA CRASSA SIMILAR TO PLASMODIUM FALCIPARUM. DICTYOSTELIUM DISCOIDEUM ARABIDOPSIS THALIANA EXTENSIN-LIKE FAMILY LIKE EXT1_ARATH PRECURSOR ATEXT1 ATEXT4 IMPORTED PREDICTED GALLUS 4 FALCIPARUM 3D7 HOMOLOG LEUCINE-RICH REPEAT LEUCINE </t>
  </si>
  <si>
    <t xml:space="preserve">UNNAMED PRODUCT HOMO SAPIENS HYPOTHETICAL CAENORHABDITIS BRIGGSAE ANOPHELES GAMBIAE NEUROSPORA CRASSA PLASMODIUM BERGHEI GIBBERELLA ZEAE PH-1 PREDICTED ARABIDOPSIS THALIANA RATTUS NORVEGICUS AB1 042 013 CHLOROFLEXUS AURANTIACUS UNKNOWN FOR IMAGE DANIO RERIO CHROMOSOME 6 OPEN READING FRAME 194-LIKE FLJ22626-LIKE TETRAODON NIGROVIRIDIS CONSERVED CHABAUDI </t>
  </si>
  <si>
    <t xml:space="preserve">ANOPHELES GAMBIAE PUTATIVE 19.1 KDA SALIVARY SG3 STEPHENSI SECRETED ANTIGEN SAGBB ENTEROCOCCUS HIRAE COLLAGEN-BINDING ADHESIN STREPTOCOCCUS MUTANS COLLAGEN BINDING DROSOPHILA MELANOGASTER HYPOTHETICAL GIBBERELLA ZEAE PH-1 WITH 2 COILED COIL-4 DOMAINS XJ70 CAENORHABDITIS ELEGANS DUMPY SHORTER THAN WILD-TYPE 6 COIL 4 WILD TYPE INSECT INTESTINAL MUCIN IIM14 TRICHOPLUSIA NI IIM22 ISOFORM A MUC1_XENLA INTEGUMENTARY C.1 FIM-C.1 AFRICAN CLAWED FROG FRAGMENT PRODUCT FIM STR. PEST BRIGGSAE RAT OR EXTRACELLULAR PRECURSOR UNKNOWN FUNCTION C6 THROMBOSPONDIN I </t>
  </si>
  <si>
    <t xml:space="preserve">HISTONE 2B ASPARAGUS OFFICINALIS GARDEN SMARCC1-PROV XENOPUS LAEVIS SMARCC1 PROV KIELIN HYPOTHETICAL DEINOCOCCUS RADIODURANS R1 STRAIN STEROID SENSITIVE GENE 1 DANIO RERIO NOVEL SIMILAR TO RAT GENE-1 SSG-1 SSG PRODUCT CHIRONOMUS THUMMI UNNAMED HOMO SAPIENS ARABIDOPSIS THALIANA SPAPB18E9.04C SCHIZOSACCHAROMYCES POMBE KINEOCOCCUS RADIOTOLERANS PLASMODIUM BERGHEI CANDIDA ALBICANS AMMECR1 MUS MUSCULUS ADAPTOR-RELATED COMPLEX 3 DELTA SUBUNIT ADAPTOR RELATED PUTATIVE SECRETED IXODES SCAPULARIS DELTA-ADAPTIN A3D1_HUMAN ADAPTER-RELATED AP-3 ADAPTIN ADAPTER AP PARTIAL CDS SACCHAROMYCES KLUYVERI AORTIC CARBOXYPEPTIDASE-LIKE ACLP CARBOXYPEPTIDASE LIKE ORYZA SATIVA JAPONICA CULTIVAR-GROUP CULTIVAR GROUP RHODOPSIN PAPILIO GLAUCUS </t>
  </si>
  <si>
    <t xml:space="preserve">UNNAMED PRODUCT HOMO SAPIENS SEVEN TRANSMEMBRANE HELIX RECEPTOR MUS MUSCULUS RIKEN CDNA HYPOTHETICAL PLASMODIUM CHABAUDI ISW2P SACCHAROMYCES CEREVISIAE YOR304W YEAST </t>
  </si>
  <si>
    <t xml:space="preserve">YJR115WP SACCHAROMYCES CEREVISIAE UNNAMED PRODUCT HYPOTHETICAL YJR115W YEAST YJ85_YEAST NNF1-STE24 INTERGENIC REGION NNF1 STE24 TETRAODON NIGROVIRIDIS MUS MUSCULUS ORYZA SATIVA JAPONICA CULTIVAR-GROUP CULTIVAR GROUP HOMO SAPIENS PLASMODIUM BERGHEI OLFACTORY RECEPTOR FAMILY 1 SUBFAMILY C MEMBER ANOPHELES GAMBIAE </t>
  </si>
  <si>
    <t xml:space="preserve">DROSOPHILA PSEUDOOBSCURA PHOSPHOLIPASE A2 INHIBITOR BETA SUBUNIT ISOFORM PTI-2B PSEUDONAJA TEXTILIS PTI 2B PTI-1B 1B HYPOTHETICAL CAENORHABDITIS BRIGGSAE SIMILAR TO MUSCULUS </t>
  </si>
  <si>
    <t xml:space="preserve">HYPOTHETICAL NOSTOC PUNCTIFORME PCC PREDICTED SIMILAR TO TROGLODYTES </t>
  </si>
  <si>
    <t xml:space="preserve">DEHYDROGENASE SUBUNIT 4 MIRZA COQUERELI OCHOTONA LADACENSIS </t>
  </si>
  <si>
    <t xml:space="preserve">HYPOTHETICAL NEUROSPORA CRASSA CRYPTOGENE G4 LEISHMANIA TARENTOLAE STRAIN PLASMODIUM FALCIPARUM 3D7 PREDICTED SIMILAR TO HEDGEHOG-INTERACTING GALLUS HEDGEHOG INTERACTING MAGNAPORTHE GRISEA NADH2 DEHYDROGENASE UBIQUINONE EC CHAIN 5 CRITHIDIA ONCOPELTI MITOCHONDRION SUBUNIT </t>
  </si>
  <si>
    <t xml:space="preserve">HYPOTHETICAL PLASMODIUM FALCIPARUM 3D7 HEPARAN SULPHOTRANSFERASE HST-2 CAENORHABDITIS ELEGANS </t>
  </si>
  <si>
    <t xml:space="preserve">RHOPTRY PROTEIN-RELATED PLASMODIUM YOELII RELATED HYPOTHETICAL PROTEIN-PUTATIVE TRANSMEMBRANE RHODOPIRELLULA BALTICA SH 1 PIRELLULA SP. PUTATIVE SMU.1636C STREPTOCOCCUS MUTANS CONSERVED </t>
  </si>
  <si>
    <t xml:space="preserve">DROSOPHILA PSEUDOOBSCURA </t>
  </si>
  <si>
    <t xml:space="preserve">ORYZA SATIVA JAPONICA CULTIVAR-GROUP CULTIVAR GROUP HYPOTHETICAL ASPERGILLUS NIDULANS FGSC A4 PREDICTED SIMILAR TO TESTICAN-1 PRECURSOR SPOCK GALLUS TESTICAN 1 </t>
  </si>
  <si>
    <t xml:space="preserve">UNKNOWN ORYZA SATIVA JAPONICA CULTIVAR-GROUP CULTIVAR GROUP </t>
  </si>
  <si>
    <t xml:space="preserve">ANTIPORTER-LIKE ARABIDOPSIS THALIANA ANTIPORTER LIKE </t>
  </si>
  <si>
    <t xml:space="preserve">HYPOTHETICAL THERMOANAEROBACTER TENGCONGENSIS MB4 PUTATIVE DNA REPAIR RAD2 RANA TIGRINA RANAVIRUS FROG VIRUS 3 NBS-LRR DISEASE RESISTANCE ORYZA SATIVA JAPONICA CULTIVAR-GROUP CULTIVAR GROUP ALGINATE O-ACETYLTRANSFERASE METHYLOCOCCUS CAPSULATUS STR. BATH ACETYLTRANSFERASE DEHYDROENASE SUBUNIT 1 EUHADRA AOMORIENSIS QUAESITA </t>
  </si>
  <si>
    <t xml:space="preserve">CASPASE 12 RATTUS NORVEGICUS CAPSASE-12 CAPSASE </t>
  </si>
  <si>
    <t xml:space="preserve">ANOPHELES GAMBIAE UNNAMED PRODUCT TETRAODON NIGROVIRIDIS HYPOTHETICAL LEISHMANIA MAJOR PLASMODIUM BERGHEI HOMO SAPIENS BINDING WITH HIS-THR DOMAIN MUS MUSCULUS NUCLEAR LOCALIZATION SIGNAL HIS THR </t>
  </si>
  <si>
    <t xml:space="preserve">UNNAMED PRODUCT TETRAODON NIGROVIRIDIS </t>
  </si>
  <si>
    <t xml:space="preserve">HYPOTHETICAL CRYPTOCOCCUS NEOFORMANS VAR. TOXINS RELATED CA2+-BINDING PROTEINS RALSTONIA METALLIDURANS CH34 CA2+ BINDING UNNAMED PRODUCT TETRAODON NIGROVIRIDIS GIBBERELLA ZEAE PH-1 SINGLE-STRANDED DNA-SPECIFIC EXONUCLEASE BURKHOLDERIA CEPACIA SINGLE STRANDED DNA SPECIFIC OPSIN PINEAL GLAND-SPECIFIC CHICKEN OPSP_CHICK PINOPSIN P-OPSIN GLAND P GALLUS THYROID HORMONE RECEPTOR ALPHA ANGUILLA </t>
  </si>
  <si>
    <t xml:space="preserve">HYPOTHETICAL CANDIDA ALBICANS RHODOPIRELLULA BALTICA SH 1 PIRELLULA SP. </t>
  </si>
  <si>
    <t xml:space="preserve">RELATED TO NUCLEOPORIN-INTERACTING NIC96 NEUROSPORA CRASSA NUCLEOPORIN INTERACTING </t>
  </si>
  <si>
    <t>AGMM-PLATE10_A12</t>
  </si>
  <si>
    <t>AGMM-PLATE10_B01</t>
  </si>
  <si>
    <t>AGMM-PLATE10_B02</t>
  </si>
  <si>
    <t>AGMM-PLATE10_B03</t>
  </si>
  <si>
    <t>AGMM-PLATE10_B08</t>
  </si>
  <si>
    <t>AGMM-PLATE10_C04</t>
  </si>
  <si>
    <t>AGMM-PLATE10_C05</t>
  </si>
  <si>
    <t>AGMM-PLATE10_C09</t>
  </si>
  <si>
    <t>AGMM-PLATE10_C12</t>
  </si>
  <si>
    <t>AGMM-PLATE10_E01</t>
  </si>
  <si>
    <t>AGMM-PLATE10_E05</t>
  </si>
  <si>
    <t>AGMM-PLATE10_F03</t>
  </si>
  <si>
    <t>AGMM-PLATE10_F10</t>
  </si>
  <si>
    <t>AGMM-PLATE10_F11</t>
  </si>
  <si>
    <t>AGMM-PLATE10_H01</t>
  </si>
  <si>
    <t>AGMM-PLATE11_A02</t>
  </si>
  <si>
    <t>AGMM-PLATE11_A08</t>
  </si>
  <si>
    <t>AGMM-PLATE11_A12</t>
  </si>
  <si>
    <t>AGMM-PLATE11_B01</t>
  </si>
  <si>
    <t>AGMM-PLATE11_B05</t>
  </si>
  <si>
    <t>AGMM-PLATE11_C05</t>
  </si>
  <si>
    <t>AGMM-PLATE11_C09</t>
  </si>
  <si>
    <t>AGMM-PLATE11_E05</t>
  </si>
  <si>
    <t>AGMM-PLATE11_E07</t>
  </si>
  <si>
    <t>AGMM-PLATE11_F01</t>
  </si>
  <si>
    <t>AGMM-PLATE11_F08</t>
  </si>
  <si>
    <t>AGMM-PLATE11_G09</t>
  </si>
  <si>
    <t>AGMM-PLATE11_G12</t>
  </si>
  <si>
    <t>AGMM-PLATE11_H04</t>
  </si>
  <si>
    <t>AGMM-PLATE11_H05</t>
  </si>
  <si>
    <t>AGMM-PLATE11_H08</t>
  </si>
  <si>
    <t>AGMS15</t>
  </si>
  <si>
    <t>AGMS28</t>
  </si>
  <si>
    <t>AGMS-PLATE06_A02</t>
  </si>
  <si>
    <t>AGMS-PLATE06_A05</t>
  </si>
  <si>
    <t>AGMS-PLATE06_A06</t>
  </si>
  <si>
    <t>AGMS-PLATE06_B06</t>
  </si>
  <si>
    <t>AGMS-PLATE06_B08</t>
  </si>
  <si>
    <t>AGMS-PLATE06_C06</t>
  </si>
  <si>
    <t>AGMS-PLATE06_C08</t>
  </si>
  <si>
    <t>AGMS-PLATE06_D01</t>
  </si>
  <si>
    <t>AGMS-PLATE06_D04</t>
  </si>
  <si>
    <t>AGMS-PLATE06_D06</t>
  </si>
  <si>
    <t>AGMS-PLATE06_D10</t>
  </si>
  <si>
    <t>AGMS-PLATE06_E12</t>
  </si>
  <si>
    <t>AGMS-PLATE06_F04</t>
  </si>
  <si>
    <t>AGMS-PLATE06_F10</t>
  </si>
  <si>
    <t>AGMS-PLATE06_F12</t>
  </si>
  <si>
    <t>AGMS-PLATE06_G04</t>
  </si>
  <si>
    <t>AGMS-PLATE06_G05</t>
  </si>
  <si>
    <t>AGMS-PLATE06_G10</t>
  </si>
  <si>
    <t>AGMS-PLATE06_H05</t>
  </si>
  <si>
    <t>AGMS-PLATE06_H07</t>
  </si>
  <si>
    <t>AGMS-PLATE06_H09</t>
  </si>
  <si>
    <t>AGMS-PLATE06_H10</t>
  </si>
  <si>
    <t>Assembled contig</t>
  </si>
  <si>
    <t>Length</t>
  </si>
  <si>
    <t>Percent N</t>
  </si>
  <si>
    <t>Percent AT</t>
  </si>
  <si>
    <t>PA at</t>
  </si>
  <si>
    <t>Assembler output</t>
  </si>
  <si>
    <t>Contig number</t>
  </si>
  <si>
    <t>Fasta file</t>
  </si>
  <si>
    <t>Number of sequences</t>
  </si>
  <si>
    <t>Name of larger sequence</t>
  </si>
  <si>
    <t>.</t>
  </si>
  <si>
    <t>AGMM-PLATE11_H01</t>
  </si>
  <si>
    <t>AGMM-PLATE05_G05</t>
  </si>
  <si>
    <t>AgM_P0_2G</t>
  </si>
  <si>
    <t>AGMM-PLATE03_H08</t>
  </si>
  <si>
    <t>AGMM-PLATE05_H08</t>
  </si>
  <si>
    <t>AGMM-PLATE08_H04</t>
  </si>
  <si>
    <t>AGML-PLATE01_E02</t>
  </si>
  <si>
    <t>AGMM-PLATE09_A07</t>
  </si>
  <si>
    <t>AgM_P1_E1</t>
  </si>
  <si>
    <t>AGMM-PLATE05_E09</t>
  </si>
  <si>
    <t>AGMS-PLATE12_F04</t>
  </si>
  <si>
    <t>AGML-PLATE01_E06</t>
  </si>
  <si>
    <t>AGMM-PLATE03_B07</t>
  </si>
  <si>
    <t>AgM_P0_12G</t>
  </si>
  <si>
    <t>AGMM-PLATE04_B11</t>
  </si>
  <si>
    <t>AGMM-PLATE08_F10</t>
  </si>
  <si>
    <t>AgM_P0_4D</t>
  </si>
  <si>
    <t>AgM_P2_H1</t>
  </si>
  <si>
    <t>AgM_P2_A7</t>
  </si>
  <si>
    <t>AgM_P1_B7</t>
  </si>
  <si>
    <t>AGMM-PLATE03_A07</t>
  </si>
  <si>
    <t>AGMM-PLATE04_D07</t>
  </si>
  <si>
    <t>AGMM-PLATE04_B07</t>
  </si>
  <si>
    <t>AGMS-PLATE06_B04</t>
  </si>
  <si>
    <t>AGMM-PLATE04_E07</t>
  </si>
  <si>
    <t>AgM_P0_8D</t>
  </si>
  <si>
    <t>AGMM-PLATE10_H12</t>
  </si>
  <si>
    <t>AGML-PLATE02_E11</t>
  </si>
  <si>
    <t>AgM_P0_3E</t>
  </si>
  <si>
    <t>AgM_P0_1F</t>
  </si>
  <si>
    <t>AGML-PLATE02_C04</t>
  </si>
  <si>
    <t>AGMM-PLATE09_E03</t>
  </si>
  <si>
    <t>AGMS-PLATE07_C06</t>
  </si>
  <si>
    <t>AgM_P0_6C</t>
  </si>
  <si>
    <t>AgM_P0_2H</t>
  </si>
  <si>
    <t>AgM_P0_9G</t>
  </si>
  <si>
    <t>AGMS-PLATE12_G03</t>
  </si>
  <si>
    <t>AgM_P0_6A</t>
  </si>
  <si>
    <t>AGMM27</t>
  </si>
  <si>
    <t>AGMS-PLATE06_G06</t>
  </si>
  <si>
    <t>AGMM-PLATE04_C08</t>
  </si>
  <si>
    <t>AGMM-PLATE04_F03</t>
  </si>
  <si>
    <t>AGMM-PLATE05_E08</t>
  </si>
  <si>
    <t>AgM_P0_9F</t>
  </si>
  <si>
    <t>AGMM-PLATE03_G12</t>
  </si>
  <si>
    <t>AGMS-PLATE12_C08</t>
  </si>
  <si>
    <t>AgM_P0_5E</t>
  </si>
  <si>
    <t>AGMM-PLATE10_D06</t>
  </si>
  <si>
    <t>AGMM-PLATE04_D01</t>
  </si>
  <si>
    <t>AgM_P0_6B</t>
  </si>
  <si>
    <t xml:space="preserve"> </t>
  </si>
  <si>
    <t>AGMM-PLATE09_A08</t>
  </si>
  <si>
    <t>AGML-PLATE01_D04</t>
  </si>
  <si>
    <t>AGML-PLATE01_G04</t>
  </si>
  <si>
    <t>AgM_P1_D1</t>
  </si>
  <si>
    <t>AGMM-PLATE05_D02</t>
  </si>
  <si>
    <t>AGMS-PLATE12_C02</t>
  </si>
  <si>
    <t>AGMM-PLATE10_F02</t>
  </si>
  <si>
    <t>AGMM-PLATE09_A01</t>
  </si>
  <si>
    <t>AGML-PLATE02_E09</t>
  </si>
  <si>
    <t>AGMM-PLATE05_D12</t>
  </si>
  <si>
    <t>AGMM-PLATE10_F12</t>
  </si>
  <si>
    <t>AGMS-PLATE07_A09</t>
  </si>
  <si>
    <t>AGMS-PLATE07_B03</t>
  </si>
  <si>
    <t>AGMS-PLATE07_B09</t>
  </si>
  <si>
    <t>AGMS-PLATE07_B10</t>
  </si>
  <si>
    <t>AGMS-PLATE07_C04</t>
  </si>
  <si>
    <t>AGMS-PLATE07_C10</t>
  </si>
  <si>
    <t>AGMS-PLATE07_C12</t>
  </si>
  <si>
    <t>AGMS-PLATE07_D06</t>
  </si>
  <si>
    <t>AGMS-PLATE07_D08</t>
  </si>
  <si>
    <t>AGMS-PLATE07_D09</t>
  </si>
  <si>
    <t>AGMS-PLATE07_D12</t>
  </si>
  <si>
    <t>AGMS-PLATE07_E03</t>
  </si>
  <si>
    <t>AGMS-PLATE07_E05</t>
  </si>
  <si>
    <t>AGMS-PLATE07_E08</t>
  </si>
  <si>
    <t>AGMS-PLATE07_E09</t>
  </si>
  <si>
    <t>AGMS-PLATE07_F01</t>
  </si>
  <si>
    <t>AGMS-PLATE07_F09</t>
  </si>
  <si>
    <t>AGMS-PLATE07_F11</t>
  </si>
  <si>
    <t>AGMS-PLATE07_G03</t>
  </si>
  <si>
    <t>AGMS-PLATE07_G06</t>
  </si>
  <si>
    <t>AGMS-PLATE07_G09</t>
  </si>
  <si>
    <t>AGMS-PLATE07_G11</t>
  </si>
  <si>
    <t>AGMS-PLATE12_A10</t>
  </si>
  <si>
    <t>AGMS-PLATE12_B04</t>
  </si>
  <si>
    <t>AGMS-PLATE12_B08</t>
  </si>
  <si>
    <t>AGMS-PLATE12_B10</t>
  </si>
  <si>
    <t>AGMS-PLATE12_C01</t>
  </si>
  <si>
    <t>AGMS-PLATE12_D05</t>
  </si>
  <si>
    <t>AGMS-PLATE12_D12</t>
  </si>
  <si>
    <t>AGMS-PLATE12_E01</t>
  </si>
  <si>
    <t>AGMS-PLATE12_E08</t>
  </si>
  <si>
    <t>AGMS-PLATE12_E10</t>
  </si>
  <si>
    <t>AGMS-PLATE12_F02</t>
  </si>
  <si>
    <t>AGMS-PLATE12_F06</t>
  </si>
  <si>
    <t>AGMS-PLATE12_F12</t>
  </si>
  <si>
    <t>AGMS-PLATE12_G02</t>
  </si>
  <si>
    <t>AGMS-PLATE12_G05</t>
  </si>
  <si>
    <t>AGMS-PLATE12_H03</t>
  </si>
  <si>
    <t>AGMS-PLATE12_H09</t>
  </si>
  <si>
    <t>E value</t>
  </si>
  <si>
    <t>% identity</t>
  </si>
  <si>
    <t>FOR</t>
  </si>
  <si>
    <t>REV</t>
  </si>
  <si>
    <t>% Match length</t>
  </si>
  <si>
    <t>Best match to NR protein database</t>
  </si>
  <si>
    <t xml:space="preserve">READING FRAME 251 AA MUS MUSCULUS HYPOTHETICAL PLASMODIUM FALCIPARUM 3D7 UNKNOWN FOR IMAGE XENOPUS LAEVIS SIMILAR TO PARAMECIUM TETRAURELIA. CYCLOPHILIN-RNA INTERACTING EC PEPTIDYL-PROLYL CIS- TRANS ISOMERASE PPIASE ROTAMASE DICTYOSTELIUM DISCOIDEUM CYCLOPHILIN RNA PEPTIDYL PROLYL CIS ANOPHELES GAMBIAE HYDROXYPROLINE-RICH GLYCOPROTEIN DZ-HRGP PRECURSOR CRYPTOSPORIDIUM HOMINIS HYDROXYPROLINE RICH DZ HRGP CAENORHABDITIS BRIGGSAE USTILAGO MAYDIS 521 STR. PEST UNNAMED PRODUCT TETRAODON NIGROVIRIDIS HOMO SAPIENS PREDICTED TROGLODYTES PONGO PYGMAEUS DROSOPHILA PSEUDOOBSCURA ARABIDOPSIS THALIANA IMPORTED CHABAUDI DANIO RERIO BINDING MOTIF 25 SMALL RIBONUCLEOPROTEIN 1SNRP HOMOLOG MATCH PID EUKARYOTIC TRANSLATION INITIATION FACTOR 3 SUBUNIT 10-LIKE ORYZA SATIVA JAPONICA CULTIVAR-GROUP 10 LIKE CULTIVAR GROUP SPLICING PUTATIVE </t>
  </si>
  <si>
    <t xml:space="preserve">UNNAMED PRODUCT MUS MUSCULUS HYPOTHETICAL PLASMODIUM CHABAUDI ANOPHELES GAMBIAE HOMO SAPIENS SEVEN TRANSMEMBRANE HELIX RECEPTOR FALCIPARUM 3D7 CONSERVED READING FRAME 251 AA UNKNOWN BERGHEI TCC31.4 TRYPANOSOMA CRUZI </t>
  </si>
  <si>
    <t xml:space="preserve">UNNAMED PRODUCT HOMO SAPIENS MUS MUSCULUS UNKNOWN SEVEN TRANSMEMBRANE HELIX RECEPTOR READING FRAME 251 AA HYPOTHETICAL PLASMODIUM BERGHEI RIKEN CDNA CAENORHABDITIS BRIGGSAE PREDICTED 196 CHABAUDI </t>
  </si>
  <si>
    <t xml:space="preserve">HYPOTHETICAL ARABIDOPSIS THALIANA PROLINE-RICH EXTENSIN-LIKE FAMILY PROLINE RICH EXTENSIN LIKE UNKNOWN PUTATIVE IMPORTED HOMOLOG </t>
  </si>
  <si>
    <t xml:space="preserve">HYPOTHETICAL WITH SIGNAL PEPTIDE CRYPTOSPORIDIUM PARVUM </t>
  </si>
  <si>
    <t xml:space="preserve">UNNAMED PRODUCT YARROWIA LIPOLYTICA CLIB99 HYPOTHETICAL TETRAODON NIGROVIRIDIS HYDROXYPROLINE-RICH GLYCOPROTEIN DZ-HRGP PRECURSOR CRYPTOSPORIDIUM HOMINIS HYDROXYPROLINE RICH DZ HRGP MUS MUSCULUS CAENORHABDITIS BRIGGSAE PREDICTED TROGLODYTES UNKNOWN FOR IMAGE XENOPUS LAEVIS HOMO SAPIENS SIMILAR TO GALLUS ARABIDOPSIS THALIANA IMPORTED CDC2-RELATED KINASE CDC2 RELATED ANOPHELES GAMBIAE CG9056-PA DROSOPHILA MELANOGASTER PARAMECIUM TETRAURELIA. CYCLOPHILIN-RNA INTERACTING EC PEPTIDYL-PROLYL CIS- TRANS ISOMERASE PPIASE ROTAMASE DICTYOSTELIUM DISCOIDEUM CYCLOPHILIN RNA PEPTIDYL PROLYL CIS SIMPLE REPEAT SEQUENCE-CONTAINING TRANSCRIPT T2_MOUSE OCTAPEPTIDE-REPEAT T2 MOUSE SEQUENCE CONTAINING OCTAPEPTIDE PARVUM CG7358-PA </t>
  </si>
  <si>
    <t xml:space="preserve">UNNAMED PRODUCT DEBARYOMYCES HANSENII OSJNBA0086B14.5 ORYZA SATIVA JAPONICA CULTIVAR-GROUP CULTIVAR GROUP HYPOTHETICAL CRYPTOCOCCUS NEOFORMANS VAR. EXTENSIN-LIKE ARABIDOPSIS THALIANA EXTENSIN HOMOLOG LEUCINE-RICH REPEAT FAMILY LIKE LEUCINE RICH SCHISTOSOMA JAPONICUM CG1520-PB ISOFORM B DROSOPHILA MELANOGASTER CG1520-PA CG1520-PC C PSEUDOOBSCURA RNA-BINDING PUTATIVE RNA BINDING MEMBRANE SPANNING BRUCELLA MELITENSIS 16M IMPORTED STRAIN ABR207WP ASHBYA GOSSYPII ATCC EREMOTHECIUM DIAPHANOUS HOMOLOGUE UNKNOWN NEUROSPORA CRASSA TRANSMEMBRANE KINASE CANDIDA ALBICANS XENOPUS LAEVIS OUTWARD-RECTIFYING POTASSIUM CHANNEL KCO1 OUTWARD RECTIFYING TETRAODON NIGROVIRIDIS STAGE V SPORULATION E OCEANOBACILLUS IHEYENSIS REQUIRED FOR SPORE CORTEX SYNTHESIS MAGNAPORTHE GRISEA POSSIBLE SERINE PROTEASE OUTER AUTOTRANSPORTER RHODOPSEUDOMONAS PALUSTRIS </t>
  </si>
  <si>
    <t xml:space="preserve">HYPOTHETICAL PLASMODIUM BERGHEI CHABAUDI FALCIPARUM 3D7 </t>
  </si>
  <si>
    <t xml:space="preserve">ANOPHELES GAMBIAE STR. PEST WHITE CAENORHABDITIS ELEGANS HYPOTHETICAL BRIGGSAE PREDICTED ATP-BINDING CASSETTE SUBFAMILY G MEMBER 4 PAN TROGLODYTES ATP BINDING HOMO SAPIENS HUMAN FRAGMENT SIMILAR TO TRANSPORTER SUB-FAMILY RATTUS NORVEGICUS SUB FAMILY ABG4_HUMAN SUBCLASS G4 PUTATIVE UNNAMED PRODUCT TETRAODON NIGROVIRIDIS ABCG4 MUS MUSCULUS 1 HOMOLOGUE ABG1_MOUSE HOMOLOG 8 WHITE2 ABC-TRANSPORTER ABC ISOFORM 7 G1 VARIANT III </t>
  </si>
  <si>
    <t xml:space="preserve">HYPOTHETICAL STREPTOMYCES AVERMITILIS TRANSPOSABLE ELEMENT DROSOPHILA SUBOBSCURA FRUIT FLY UNNAMED PRODUCT CANDIDA GLABRATA ENVELOPE GLYCOPROTEIN SIMIAN IMMUNODEFICIENCY VIRUS </t>
  </si>
  <si>
    <t xml:space="preserve">ANOPHELES GAMBIAE OSTREID HERPESVIRUS 1 </t>
  </si>
  <si>
    <t xml:space="preserve">UNNAMED PRODUCT TETRAODON NIGROVIRIDIS PREDICTED SIMILAR TO EPHRIN TYPE-A RECEPTOR 7 PRECURSOR TYROSINE-PROTEIN KINASE EHK-3 EPH HOMOLOGY KINASE-3 GALLUS TYPE A TYROSINE EHK 3 NOVEL MUS MUSCULUS RIKEN CDNA </t>
  </si>
  <si>
    <t xml:space="preserve">GALANIN RECEPTOR GALR1 GALR_RAT TYPE 1 GAL1-R ISOTYPE=GALR1 GAL1 MUS MUSCULUS GALR_MOUSE HYPOTHETICAL ENTAMOEBA HISTOLYTICA HM-1 IMSS HM POTENTIAL INTRA-GOLGI TRANSPORT COMPLEX SUBUNIT 4 CANDIDA ALBICANS INTRA GOLGI </t>
  </si>
  <si>
    <t xml:space="preserve">PUTATIVE OUTER MEMBRANE USHER PROBABLE FIMBRIAL ACINETOBACTER SP. ADP1 CYTOCHROME C-TYPE BIOGENESIS CCMF WOLBACHIA ENDOSYMBIONT DROSOPHILA MELANOGASTER ALPHA-L-RHAMNOSIDASE CAULOBACTER CRESCENTUS CB15 IMPORTED ALPHA L-RHAMNOSIDASE L RHAMNOSIDASE </t>
  </si>
  <si>
    <t xml:space="preserve">SIMILAR TO RATTUS NORVEGICUS PREDICTED HYPOTHETICAL TROGLODYTES MUSCULUS PARTIAL GALLUS </t>
  </si>
  <si>
    <t xml:space="preserve">LEUCINE RICH REPEAT GENE FAMILY SIMILAR TO AMSACTA MOOREI ENTOMOPOXVIRUS Q3 SW MELANOPLUS SANGUINIPES HYPOTHETICAL ORF10 STRAIN TUSCON </t>
  </si>
  <si>
    <t xml:space="preserve">UNKNOWN ARABIDOPSIS THALIANA CATION HYDROGEN EXCHANGER PUTATIVE CHX23 HYPOTHETICAL IMPORTED SIMILAR TO NA H ANTIPORTER PROTEINS </t>
  </si>
  <si>
    <t xml:space="preserve">HYPOTHETICAL THERMUS THERMOPHILUS HB8 CONSERVED </t>
  </si>
  <si>
    <t xml:space="preserve">HYPOTHETICAL AGARICUS BISPORUS </t>
  </si>
  <si>
    <t xml:space="preserve">HYPOTHETICAL PLASMODIUM FALCIPARUM 3D7 ENTAMOEBA HISTOLYTICA HM-1 IMSS HM 1 </t>
  </si>
  <si>
    <t xml:space="preserve">ENDONUCLEASE DOMAIN METHYLOCOCCUS CAPSULATUS STR. BATH HYPOTHETICAL ORYZA SATIVA JAPONICA CULTIVAR-GROUP CULTIVAR GROUP NODULATION NOLL BRADYRHIZOBIUM SP. USDA PREDICTED SIMILAR TO SODIUM HYDROGEN EXCHANGER 4 NA + H NHE-4 GALLUS NHE </t>
  </si>
  <si>
    <t xml:space="preserve">ATPASE SUBUNIT 6 MESOCESTOIDES CORTI </t>
  </si>
  <si>
    <t xml:space="preserve">OXIDOREDUCTASE GFO IDH MOCA FAMILY BRUCELLA SUIS 1330 DIMERIC DIHYDRODIOL DEHYDROGENASE MELITENSIS 16M TRANS-1 2-DIHYDROBENZENE-1 2-DIOL IMPORTED STRAIN TRANS 1 2 DIHYDROBENZENE-1 DIHYDROBENZENE DIOL </t>
  </si>
  <si>
    <t xml:space="preserve">SYNTHASE BETA SUBUNIT ORCHIDANTHA SIAMENSIS FIMBRIATA </t>
  </si>
  <si>
    <t xml:space="preserve">HYPOTHETICAL PLASMODIUM YOELII </t>
  </si>
  <si>
    <t xml:space="preserve">ANAEROBIC C4-DICARBOXYLATE TRANSPORTER ERWINIA CAROTOVORA SUBSP. ATROSEPTICA DICARBOXYLATE </t>
  </si>
  <si>
    <t xml:space="preserve">CRYPTOPSORIDIAL MUCIN LARGE THR STRETCH SIGNAL PEPTIDE SEQUENCE TRANSCRIPTS IDENTIFIED BY EST CRYPTOSPORIDIUM PARVUM </t>
  </si>
  <si>
    <t xml:space="preserve">DROSOPHILA MELANOGASTER </t>
  </si>
  <si>
    <t xml:space="preserve">TRANSCRIPTIONAL REGULATOR HEAT SHOCK GENE LEUCONOSTOC MESENTEROIDES SUBSP. ATCC 8293 </t>
  </si>
  <si>
    <t xml:space="preserve">MAJOR LIPOPROTEIN PRECURSOR MYCOPLASMA MYCOIDES SUBSP. LC </t>
  </si>
  <si>
    <t xml:space="preserve">PREDICTED CDS ENDONUCLEASE EXONUCLEASE PHOSPHATASE FAMILY RNA-DIRECTED DNA POLYMERASE XR69 CAENORHABDITIS ELEGANS HYPOTHETICAL DIRECTED </t>
  </si>
  <si>
    <t xml:space="preserve">THREONINE SYNTHASE THRC BRADYRHIZOBIUM JAPONICUM HYPOTHETICAL CANDIDA ALBICANS </t>
  </si>
  <si>
    <t xml:space="preserve">PREDICTED SIMILAR TO ZINC FINGER 91 HPF7 HTF10 TROGLODYTES HYPOTHETICAL PLASMODIUM BERGHEI </t>
  </si>
  <si>
    <t xml:space="preserve">SIMILAR TO ABDOMINAL-B APIS MELLIFERA ABDOMINAL B SIGMA54-DEPENDENT TRANSCRIPTION REGULATOR CONTAINING AN AAA-TYPE ATPASE DOMAIN A DNA-BINDING POLAROMONAS SP. SIGMA54 DEPENDENT AAA TYPE DNA BINDING </t>
  </si>
  <si>
    <t>GLUTATHIONE S-TRANSFERASE</t>
  </si>
  <si>
    <t>GSG5 PROTEIN</t>
  </si>
  <si>
    <t>RIBOSOMAL PROTEIN L11</t>
  </si>
  <si>
    <t>CASEIN KINASE 1 GAMMA 3</t>
  </si>
  <si>
    <t>GSG2-LIKE</t>
  </si>
  <si>
    <t>ribosomal protein L25</t>
  </si>
  <si>
    <t>Cytochrome c oxidase subunit VIIa-related protein</t>
  </si>
  <si>
    <t>LYSOZYME PRECURSOR</t>
  </si>
  <si>
    <t>Protein transport protein Sec24B</t>
  </si>
  <si>
    <t>Periodic tryptophan protein 2 homolog</t>
  </si>
  <si>
    <t>WW DOMAIN BINDING PROTEIN 11</t>
  </si>
  <si>
    <t>RIBOSOMAL PROTEIN L39</t>
  </si>
  <si>
    <t>RIBOSOMAL PROTEIN S12</t>
  </si>
  <si>
    <t>identical to ENSANGP00000022108 which is not on recent proteome - ferritin</t>
  </si>
  <si>
    <t>Vacuolar ATP synthase subunit B</t>
  </si>
  <si>
    <t>Calmodulin-related protein NB-1</t>
  </si>
  <si>
    <t xml:space="preserve">RATTUS NORVEGICUS UNNAMED PRODUCT HOMO SAPIENS HYPOTHETICAL PLASMODIUM BERGHEI METHANOSARCINA ACETIVORANS C2A CONSERVED STR. TETRAODON NIGROVIRIDIS FALCIPARUM 3D7 CG2839-PA DROSOPHILA MELANOGASTER CAENORHABDITIS BRIGGSAE PREDICTED SIMILAR TO SPLICING FACTOR ARGININE SERINE-RICH 12 SERINE-ARGININE-RICH REGULATORY 86 SRRP86 SR-RELATED KDA GALLUS SERINE RICH ARGININE-RICH SR RELATED PSEUDOOBSCURA YH17_YEAST 17.1 IN PUR5 3'REGION YHR217C YEAST SACCHAROMYCES CEREVISIAE YHR217CP XENOPUS LAEVIS SNRNP AFRICAN CLAWED FROG RU17_XENLA SMALL NUCLEAR RIBONUCLEOPROTEIN 70 SNRNP70 ENCEPHALITOZOON CUNICULI GB-M1 Q8STA9 Y5G8_ENCCU CRYPTOCOCCUS NEOFORMANS VAR. DANIO RERIO UNKNOWN FOR IMAGE </t>
  </si>
  <si>
    <t xml:space="preserve">ANOPHELES GAMBIAE PHOTORECEPTOR-HISTIDINE KINASE BPHP PSEUDOMONAS SYRINGAE PHOTORECEPTOR HISTIDINE </t>
  </si>
  <si>
    <t xml:space="preserve">SIMILAR TO SNF2-RELATED CBP ACTIVATOR RATTUS NORVEGICUS SNF2 RELATED AGGLUTININ CHLAMYDOMONAS REINHARDTII PUTATIVE PROLINE-RICH VERPROLIN POSSIBLY INVOLVED IN CYTOSKELETAL ORGANIZATION CELLULAR GROWTH ACTIN CYTOSKELETON-ASSIOCIATED SCHIZOSACCHAROMYCES POMBE SPBC13E7.09 PROLINE RICH CYTOSKELETON ASSIOCIATED HYPOTHETICAL CAENORHABDITIS BRIGGSAE UNKNOWN ORYZA SATIVA JAPONICA CULTIVAR-GROUP CULTIVAR GROUP MINUS ACROSIN EC PRECURSOR RABBIT PREPROACROSIN PREPRO-ACROSIN ACRO_RABIT PREPRO HYDROXYPROLINE-RICH GLYCOPROTEIN-LIKE HYDROXYPROLINE GLYCOPROTEIN LIKE RIKEN CDNA MUSCULUS ARABINOGALACTAN-PROTEIN AGP19 ARABIDOPSIS THALIANA ARABINOGALACTAN IMPORTED SAPIENS HOMO UNNAMED PRODUCT HUMAN PROACROSIN ACRO_HUMAN BRADYRHIZOBIUM JAPONICUM USDA 110 PREDICTED GALLUS </t>
  </si>
  <si>
    <t xml:space="preserve">ANOPHELES GAMBIAE STR. PEST HYPOTHETICAL TRYPANOSOMA BRUCEI </t>
  </si>
  <si>
    <t xml:space="preserve">ANOPHELES GAMBIAE STR. PEST RIBOSOMAL L31 AEDES ALBOPICTUS AEGYPTI RL31_AEDAE DROSOPHILA VIRILIS RL31_DROVI SIMILAR TO MELANOGASTER YAKUBA RPL31 CG1821-PC ISOFORM C CG1821-PA CG1821-PB RL31_DROME PC PA PB PSEUDOOBSCURA APIS MELLIFERA GIARDIA LAMBLIA ATCC RATTUS NORVEGICUS UNKNOWN FOR MGC MUSCULUS PREDICTED PAN TROGLODYTES SAPIENS UNNAMED PRODUCT CYTOSOLIC RAT HUMAN RL31_MOUSE RL31_HUMAN RL31_RAT RL31_PIG HYPOTHETICAL PONGO PYGMAEUS MUS HOMO GALLUS BRE2P SACCHAROMYCES CEREVISIAE YL1R_YEAST 58.3 KDA IN PPR1-SNF7 INTERGENIC REGION ORFX YLR015W YEAST PPR1 SNF7 FIMBRIAL ASSEMBLY BDELLOVIBRIO BACTERIOVORUS IMMEDIATELY UPSTREAM </t>
  </si>
  <si>
    <t xml:space="preserve">ANOPHELES GAMBIAE STR. PEST RIBOSOMAL S21 BOMBYX MORI SPODOPTERA FRUGIPERDA SIMILAR TO DROSOPHILA MELANOGASTER OHO23B YAKUBA CG2986-PD ISOFORM D CG2986-PB CG2986-PA CG2986-PC PLUTELLA XYLOSTELLA CERATITIS CAPITATA PSEUDOOBSCURA XENOPUS TROPICALIS RPS21-PROV LAEVIS RPS21 PREDICTED 40S GALLUS RATTUS NORVEGICUS CYTOSOLIC VALIDATED RAT RS21_RAT HOMO SAPIENS HUMAN RS21_HUMAN RS21_PIG UNKNOWN FOR MGC MUSCULUS Q9CQR2 RS21_MOUSE UNNAMED PRODUCT PAN TROGLODYTES ICTALURUS PUNCTATUS HYPOTHETICAL CAENORHABDITIS ELEGANS SMALL SUBUNIT 9.7 KD RPS-21 RS21_CAEEL TETRAODON NIGROVIRIDIS MUS DANIO RERIO BRANCHIOSTOMA BELCHERI TSINGTAUNESE BRIGGSAE PECTINARIA GOULDII </t>
  </si>
  <si>
    <t xml:space="preserve">PUTATIVE HUMAN PAPILLOMAVIRUS TYPE 36 PHOSPHATE REPRESSIBLE PERMEASE EMILIANIA HUXLEYI ANOPHELES GAMBIAE STR. PEST PREDICTED SIMILAR TO CELL DIVISION CYCLE 2-LIKE ISOFORM 1 CDC2-RELATED KINASE GALLUS 2 LIKE CDC2 RELATED BZIP-LIKE ORYZA SATIVA JAPONICA CULTIVAR-GROUP BZIP CULTIVAR GROUP HYDROXYPROLINE-RICH GLYCOPROTEIN DZ-HRGP VOLVOX CARTERI F. NAGARIENSIS HYDROXYPROLINE RICH DZ HRGP HYPOTHETICAL ZGC DANIO RERIO SHANK2 MUS MUSCULUS SHANK2E RATTUS NORVEGICUS PROLINE SYNAPSE ASSOCIATED E SHK2_RAT SH3 MULTIPLE ANKYRIN REPEAT DOMAINS PROLINE-RICH PROSAP1 CORTACTIN-BINDING CORTBP1 GKAP SAPAP INTERACTING SPANK-3 CORTACTIN BINDING SPANK 3 RAT PREPROACROSIN SUS SCROFA 1868 SP. UNKNOWN SOLUTE CARRIER FAMILY 21 MEMBER 11 SODIUM-INDEPENDENT ORGANIC ANION TRANSPORTER D TRANSPORTING POLYPEPTIDE OATP-D OATP-RP3 OATPRP3 PGE1 ... PAN TROGLODYTES SODIUM INDEPENDENT OATP RP3 PHAGE-RELATED TAIL COMPONENT MAGNETOSPIRILLUM MAGNETOTACTICUM MS-1 PHAGE MS OSJNBA0016I09.7 GLUTAMATE-1-SEMIALDEHYDE AMINOTRANSFERASE GLUTAMATE 1-SEMIALDEHYDE SEMIALDEHYDE </t>
  </si>
  <si>
    <t xml:space="preserve">UNNAMED PRODUCT HOMO SAPIENS CDC2-RELATED KINASE CRYPTOSPORIDIUM HOMINIS CDC2 RELATED UNKNOWN FOR IMAGE XENOPUS LAEVIS HYPOTHETICAL PONGO PYGMAEUS PREDICTED SIMILAR TO GALLUS HYDROXYPROLINE-RICH GLYCOPROTEIN DZ-HRGP PRECURSOR HYDROXYPROLINE RICH DZ HRGP ORYZA SATIVA JAPONICA CULTIVAR-GROUP CULTIVAR GROUP CRYPTOCOCCUS NEOFORMANS VAR. ARABIDOPSIS THALIANA HELICASE PUTATIVE HELICASES ANOPHELES GAMBIAE TETRAODON NIGROVIRIDIS XYLELLA FASTIDIOSA 9A5C IMPORTED STRAIN MAGNAPORTHE GRISEA STR. PEST CAENORHABDITIS BRIGGSAE MUS MUSCULUS NOVEL LUC7A </t>
  </si>
  <si>
    <t xml:space="preserve">ANOPHELES GAMBIAE RIBOSOMAL S27A AEDES ALBOPICTUS AEGYPTI UNKNOWN CULICOIDES SONORENSIS ACETYL-COA CARBOXYLASE BRASSICA NAPUS ACETYL COA FRAGMENT 1 ACC1 ARABIDOPSIS THALIANA AC-COA AC IMPORTED PUTATIVE PROBABLE 9984 2 R27A_DROME SIMILAR TO DROSOPHILA MELANOGASTER RPS27A YAKUBA CG5271-PA UQFFR7 UBIQUITIN FRUIT FLY UBIQUITIN-HYBRID PRECURSOR HYBRID FADE31 MYCOBACTERIUM AVIUM SUBSP. PARATUBERCULOSIS STR. K10 UNCHARACTERIZED CONSERVED RALSTONIA METALLIDURANS CH34 EC SOYBEAN PPZ2P SACCHAROMYCES CEREVISIAE SERINE THREONINE SPECIFIC PHOSPHATASE YDR436W PHOSPHOPROTEIN YEAST PPZ2_YEAST PP-Z2 1-RELATED RELATED NUCLEAR DNA-BINDING MAREK'S DISEASE VIRUS BINDING PROTIEN HYPOTHETICAL STREPTOMYCES COELICOLOR A3 SC6G9.08C MEDICAGO SATIVA ALFALFA TUBERCULOSIS H37RV ACYL-COA DEHYDROGENASE BOVIS STRAIN GP5.1-LIKE ENTEROBACTERIA PHAGE JS98 GP5.1 </t>
  </si>
  <si>
    <t xml:space="preserve">PREDICTED NEUROSPORA CRASSA SIMILAR TO PLASMODIUM FALCIPARUM ISOLATE 3D7 . HYPOTHETICAL DICTYOSTELIUM DISCOIDEUM UNNAMED PRODUCT HOMO SAPIENS TETRAODON NIGROVIRIDIS XYLELLA FASTIDIOSA 9A5C IMPORTED STRAIN BERGHEI ANOPHELES GAMBIAE HUMAN FRAGMENT BACTEROIDES FRAGILIS YCH46 LOPHURAE. HISTIDINE-RICH GLYCOPROTEIN PRECURSOR HISTIDINE RICH MUS MUSCULUS RATTUS NORVEGICUS MAGNAPORTHE GRISEA STREPTOMYCES GRISEORUBER SEVEN TRANSMEMBRANE HELIX RECEPTOR KGZQHL LOPHURAE 9999 HRPX_PLALO MELLIFERA DROSOPHILA MELANOGASTER CHABAUDI </t>
  </si>
  <si>
    <t xml:space="preserve">ANOPHELES GAMBIAE STR. PEST PREDICTED MAGNAPORTHE GRISEA HYPOTHETICAL CAULOBACTER CRESCENTUS CB15 IMPORTED RIBOSOMAL L36 CULICOIDES SONORENSIS CAENORHABDITIS BRIGGSAE DROSOPHILA MELANOGASTER SIMILAR TO 60S MUS MUSCULUS RATTUS NORVEGICUS ICTALURUS PUNCTATUS TROGLODYTES CYTOSOLIC VALIDATED RL36_RAT RPL36 PAN SAPIENS PONGO PYGMAEUS HUMAN RL36_HUMAN UNNAMED PRODUCT UNKNOWN FOR MGC XENOPUS TROPICALIS LAEVIS GALLUS LAPEMIS HARDWICKII HOMO TETRAODON NIGROVIRIDIS 9451 MINI-COLLAGEN HYDRA SP. COLLAGEN-RELATED 3 PRECURSOR MAGNIPAPILLATA MINI COLLAGEN RELATED BOMBYX MORI </t>
  </si>
  <si>
    <t xml:space="preserve">PUTATIVE INDOLE-3-GLYCEROL PHOSPHATE SYNTHASE ORYZA SATIVA JAPONICA CULTIVAR-GROUP INDOLE 3-GLYCEROL GLYCEROL CULTIVAR GROUP EXPRESSED UNNAMED PRODUCT HYPOTHETICAL TETRAODON NIGROVIRIDIS ALKALINE EXONUCLEASE MELEAGRID HERPESVIRUS 1 PYROBACULUM AEROPHILUM STR. IM2 CONSERVED DNASE UNCHARACTERIZED MAGNETOCOCCUS SP. MC-1 MC GUANINE NUCLEOTIDE EXCHANGE FACTOR GEF MUS MUSCULUS MOUSE PODOSPORA ANSERINA MAGNAPORTHE GRISEA </t>
  </si>
  <si>
    <t>conserved membrane protein</t>
  </si>
  <si>
    <t>3p of Vacuolar H+-ATPase V0 sector, subunit d</t>
  </si>
  <si>
    <t>3p of Multifunctional chaperone (14-3-3 family)</t>
  </si>
  <si>
    <t>3p of glucose dehydrogenase</t>
  </si>
  <si>
    <t>3p of Sorting nexin SNX6/TFAF2, contains PX domain</t>
  </si>
  <si>
    <t>40S ribosomal protein S23</t>
  </si>
  <si>
    <t>conserved unknown</t>
  </si>
  <si>
    <t xml:space="preserve"> F1-ATPASE EPSILON-SUBUNIT</t>
  </si>
  <si>
    <t>Cytochrome P450 CYP3/CYP5/CYP6/CYP9 subfamilies</t>
  </si>
  <si>
    <t>Phosphatidylethanolamine binding protein</t>
  </si>
  <si>
    <t>ribosomal protein L17A</t>
  </si>
  <si>
    <t>Serine/threonine phosphatase 2C containing leucine-rich repeats, similar to SCN circadian oscillatory protein (SCOP)</t>
  </si>
  <si>
    <t>Predicted alanine-glyoxylate aminotransferase</t>
  </si>
  <si>
    <t>h/metabolism amino acid</t>
  </si>
  <si>
    <t>Vacuolar H+-ATPase V0 sector, accessory subunit S1</t>
  </si>
  <si>
    <t>Vesicle coat protein clathrin, heavy chain</t>
  </si>
  <si>
    <t>Signal recognition particle, subunit Srp72</t>
  </si>
  <si>
    <t>hitone h3</t>
  </si>
  <si>
    <t>h/nuclear regulation</t>
  </si>
  <si>
    <t>40S ribosomal protein S21</t>
  </si>
  <si>
    <t>Prolyl 4-hydroxylase alpha subunit</t>
  </si>
  <si>
    <t>3p of ENSANGP00000018748 - putative secreted peptide</t>
  </si>
  <si>
    <t>3p of tetraspanin</t>
  </si>
  <si>
    <t>40S ribosomal protein S30</t>
  </si>
  <si>
    <t>3p of malate dehydrogenase (oxaloacetate-decarboxylating) (NADP+) activity</t>
  </si>
  <si>
    <t>h/metabolism intermediate</t>
  </si>
  <si>
    <t>ubiquinol-cytochrome-c reductase activity||hydrogen ion transporter activity||monovalent inorganic cation transporter activity||cation transporter activity||ion transporter activity||transporter activity</t>
  </si>
  <si>
    <t>cytochrome c</t>
  </si>
  <si>
    <t>Transcription initiation factor TFIID, subunit TAF9</t>
  </si>
  <si>
    <t>h/trancription machinery</t>
  </si>
  <si>
    <t xml:space="preserve">Structural maintenance of chromosome protein 3 </t>
  </si>
  <si>
    <t>Very-long-chain acyl-CoA dehydrogenase</t>
  </si>
  <si>
    <t xml:space="preserve">ANOPHELES GAMBIAE STR. PEST GSG2-LIKE GSG2 LIKE HYPOTHETICAL SALIVARY SG2A STEPHENSI PUTATIVE GQP-RICH CULEX PIPIENS QUINQUEFASCIATUS GQP RICH CRYPTOCOCCUS NEOFORMANS VAR. UNKNOWN ARABIDOPSIS THALIANA IMPORTED AFR701CP ASHBYA GOSSYPII ATCC EREMOTHECIUM NOCARDIA FARCINICA IFM ISOFORM B DROSOPHILA MELANOGASTER A UNNAMED PRODUCT CANDIDA GLABRATA CAENORHABDITIS BRIGGSAE XENOPUS LAEVIS KERATIN-LIKE PRECURSOR FAMILY MEMBER 72.1 KD ELEGANS KERATIN PSEUDOOBSCURA LPXTG-MOTIF CELL WALL ANCHOR DOMAIN BACILLUS ANTHRACIS STERNE LPXTG MOTIF DEBARYOMYCES HANSENII PODOSPORA ANSERINA GYCLINE HOMO SAPIENS SPIDROIN 2 DRAGLINE SILK FIBROIN ORB SPIDER NEPHILA CLAVIPES FRAGMENT SPD2_NEPCL PRODUCT-RELATED PLASMODIUM YOELII RELATED PERICARDINE 'AMES ANCESTOR' </t>
  </si>
  <si>
    <t xml:space="preserve">ANOPHELES GAMBIAE PUTATIVE 19.1 KDA SALIVARY SG3 STEPHENSI SECRETED ANTIGEN SAGBB ENTEROCOCCUS HIRAE COLLAGEN-BINDING ADHESIN STREPTOCOCCUS MUTANS COLLAGEN BINDING DROSOPHILA MELANOGASTER WITH 2 COILED COIL-4 DOMAINS XJ70 CAENORHABDITIS ELEGANS DUMPY SHORTER THAN WILD-TYPE 6 COIL 4 WILD TYPE HYPOTHETICAL GIBBERELLA ZEAE PH-1 INSECT INTESTINAL MUCIN IIM14 TRICHOPLUSIA NI IIM22 RAT FRAGMENT BRIGGSAE MUC1_XENLA INTEGUMENTARY C.1 FIM-C.1 AFRICAN CLAWED FROG PRODUCT FIM CRYPTOSPORIDIUM HOMINIS ISOFORM A CRYPTOPSORIDIAL LARGE THR STRETCH SIGNAL PEPTIDE SEQUENCE TRANSCRIPTS IDENTIFIED BY EST PARVUM 3 MUS MUSCULUS STR. PEST MUCIN-LIKE GLYCOPROTEIN LIKE OR EXTRACELLULAR PRECURSOR </t>
  </si>
  <si>
    <t xml:space="preserve">ANOPHELES GAMBIAE STR. PEST SIMILAR TO MELLIFERA CG4457-PA DROSOPHILA MELANOGASTER PSEUDOOBSCURA SIGNAL RECOGNITION PARTICLE 19 KDA SR19_DROME SRP19 UNNAMED PRODUCT TETRAODON NIGROVIRIDIS BRANCHIOSTOMA BELCHERI TSINGTAUNESE DANIO RERIO UNKNOWN FOR MGC XENOPUS TROPICALIS HYPOTHETICAL CAENORHABDITIS BRIGGSAE PONGO PYGMAEUS 19KDA SAPIENS HUMAN SR19_HUMAN LAEVIS RIBONUCLEOPROTEIN COMPLEX SRP COMPONENT ELEGANS SR19_CAEEL PROBABLE MUSCULUS RATTUS NORVEGICUS MUS CHAIN WITH HELIX 6 RNA SR19_MOUSE STRUCTURE INTERACTING ELONGATION-ARRESTED RIBOSOME CRYSTAL ANALYSIS A TERNARY S-DOMAIN ELONGATION ARRESTED S DOMAIN SUBUNIT ORYZA SATIVA JAPONICA CULTIVAR-GROUP K RICE SR19_ORYSA CULTIVAR GROUP </t>
  </si>
  <si>
    <t xml:space="preserve">ANOPHELES GAMBIAE HYPOTHETICAL STR. PEST PUTATIVE THREONINE SERINE-RICH MUCIN CULEX PIPIENS QUINQUEFASCIATUS SERINE RICH ACINETOBACTER CALCOACETICUS GLUTAMINASE-ASPARAGINASE E.C.3.5.1.1 ASPQ_ACIGL L-ASPARAGINE L-GLUTAMINE AMIDOHYDROLASE L-ASNASE L-GLNASE GLUTAMINASE ASPARAGINASE L ASPARAGINE GLUTAMINE ASNASE GLNASE SP. ADP1 41.9 KDA BASIC SALIVARY NEISSERIA MENINGITIDIS PGA=TETRAMERIC BACTERIAL PSEUDOMONAS 7A PEPTIDE 337 AA CHAIN ASPQ_PSES7 PGA TOXINS RELATED CA2+-BINDING PROTEINS MAGNETOSPIRILLUM MAGNETOTACTICUM MS-1 CA2+ BINDING MS 1 MICROBULBIFER DEGRADANS 2-40 2 40 GIBBERELLA ZEAE PH-1 UNNAMED PRODUCT KLUYVEROMYCES LACTIS MANNHEIMIA SUCCINICIPRODUCENS MBEL55E UNKNOWN L-ASPARAGINASE II ERWINIA CAROTOVORA SUBSP. ATROSEPTICA ISOFORM A DROSOPHILA MELANOGASTER D PLASMODIUM FALCIPARUM 3D7 PREDICTED NEUROSPORA CRASSA 41 SECRETED AEDES ALBOPICTUS </t>
  </si>
  <si>
    <t xml:space="preserve">ANOPHELES GAMBIAE STR. PEST GSG2-LIKE GSG2 LIKE HYPOTHETICAL SALIVARY SG2A STEPHENSI PUTATIVE GQP-RICH CULEX PIPIENS QUINQUEFASCIATUS GQP RICH CG5700-PB DROSOPHILA MELANOGASTER UNKNOWN ARABIDOPSIS THALIANA IMPORTED NOCARDIA FARCINICA IFM MOLECULAR WEIGHT GLUTENIN SUBUNIT AEGILOPS TAUSCHII HIGH-MOLECULAR-WEIGHT TRITICUM AESTIVUM HIGH MOLECULAR-WEIGHT TRUNCATED HMW 1DX CYLINDRICA UNNAMED PRODUCT CANDIDA GLABRATA 5 GLT5_WHEAT DX5 PRECURSOR 1SX-2.5B BICORNIS 1SX 2.5B DTX1.5 HMW-GLUTENIN TAENIATHERUM CAPUT-MEDUSAE CAPUT MEDUSAE PSEUDOOBSCURA AFR701CP ASHBYA GOSSYPII ATCC EREMOTHECIUM X COMOSA PERICARDINE 1SX-3.0B 3.0B </t>
  </si>
  <si>
    <t xml:space="preserve">ANOPHELES GAMBIAE STR. PEST DROSOPHILA PSEUDOOBSCURA CG6343-PB ISOFORM B MELANOGASTER CG6343-PA NUDM_DROME NADH-UBIQUINONE OXIDOREDUCTASE 42 KDA SUBUNIT MITOCHONDRIAL PRECURSOR COMPLEX I-42KD CI-42KD UBIQUINONE I 42KD CI PUTATIVE SECRETED OXIREDUCTASE IXODES SCAPULARIS NADH HYPOTHETICAL GALLUS UNKNOWN FOR MGC DANIO RERIO XENOPUS LAEVIS KINEOCOCCUS RADIOTOLERANS IMAGE TROPICALIS DEHYDROGENASE 1 ALPHA SUBCOMPLEX 10 42KDA TAURUS NUDM_BOVIN NADH2 CHAIN BOVINE 230 SALIVARY GLUE SGS-3 FRUIT FLY ERECTA SGS3_DROER SGS HUMAN ADENOVIRUS 2 SLC4A11 SAPIENS PENICILLIN-BINDING DEINOCOCCUS RADIODURANS R1 STRAIN PENICILLIN BINDING ORYZA SATIVA JAPONICA CULTIVAR-GROUP CULTIVAR GROUP STREPTOMYCES AVERMITILIS </t>
  </si>
  <si>
    <t>giveup</t>
  </si>
  <si>
    <t>intron of ENSANGP00000015228 - RNA binding protein</t>
  </si>
  <si>
    <t>intron of Splicing factor U2AF, large subunit (RRM superfamily)</t>
  </si>
  <si>
    <t>3p of Vacuolar ATP synthase catalytic subunit A</t>
  </si>
  <si>
    <t>3p of gSG9</t>
  </si>
  <si>
    <t>s/g9</t>
  </si>
  <si>
    <t>gyy salivary peptide former ENSANGP00000017724 Gly rich</t>
  </si>
  <si>
    <t>3p of Homologue of FlyBase CG18389. It encodes a product with DNA binding involved in salivary gland cell death which is a component of the polytene chromosome ;</t>
  </si>
  <si>
    <t>INTRON OF ENSANGP000000022447 =- Actin filament-coating protein tropomyosin</t>
  </si>
  <si>
    <t>3p of GLUCOSAMINE-FRUCTOSE-6-PHOSPHATE AMINOTRANSFERASE</t>
  </si>
  <si>
    <t>3p of Cholesterol transport protein (Niemann-Pick C disease protein) 5p reverse of 54 kDa salivary ptoein</t>
  </si>
  <si>
    <t xml:space="preserve">HYPOTHETICAL PLASMODIUM BERGHEI XYLELLA FASTIDIOSA 9A5C IMPORTED STRAIN READING FRAME 251 AA MUS MUSCULUS UNNAMED PRODUCT TETRAODON NIGROVIRIDIS PREDICTED SIMILAR TO POTENTIAL PHOSPHOLIPID-TRANSPORTING ATPASE IIB HUSSY-20 TROGLODYTES PHOSPHOLIPID TRANSPORTING HUSSY 20 HOMO SAPIENS DROSOPHILA PSEUDOOBSCURA PONGO PYGMAEUS NEUROSPORA CRASSA CAENORHABDITIS BRIGGSAE YOELII ANOPHELES GAMBIAE RNPC7 XENOPUS LAEVIS SPLICING FACTOR PUTATIVE FALCIPARUM 3D7 </t>
  </si>
  <si>
    <t xml:space="preserve">HYPOTHETICAL GIBBERELLA ZEAE PH-1 GLUTATHIONE S-TRANSFERASE GST 16 LIKE ORYZA SATIVA JAPONICA CULTIVAR-GROUP TRANSFERASE CULTIVAR GROUP UNNAMED PRODUCT ARABIDOPSIS THALIANA ACTIN BINDING HYDROXYPROLINE-RICH GLYCOPROTEIN FAMILY HYDROXYPROLINE RICH PREDICTED SIMILAR TO SRP25 NUCLEAR GALLUS NEUROSPORA CRASSA FORKHEAD BOX G1B HOMO SAPIENS CDS PUTATIVE CAENORHABDITIS ELEGANS TETRAODON NIGROVIRIDIS MYELOID LYMPHOID OR MIXED-LINEAGE LEUKEMIA 5 MIXED LINEAGE AFR669WP ASHBYA GOSSYPII ATCC EREMOTHECIUM PLASMODIUM CHABAUDI Y50E8A.I MAGNAPORTHE GRISEA ASPERGILLUS NIDULANS FGSC A4 FORMIN HOMOLOGY A DICTYOSTELIUM DISCOIDEUM CHLOROFLEXUS AURANTIACUS DESULFITOBACTERIUM HAFNIENSE DCB-2 DCB DEHYDROGENASE SUBUNIT 2 ALEURODICUS DUGESII </t>
  </si>
  <si>
    <t xml:space="preserve">UNNAMED PRODUCT HOMO SAPIENS MUS MUSCULUS SEVEN TRANSMEMBRANE HELIX RECEPTOR UNKNOWN HYPOTHETICAL HHV6GP101 HUMAN HERPESVIRUS 6 TETRAODON NIGROVIRIDIS RIKEN CDNA PLASMODIUM CHABAUDI HC1 MOUSE FRAGMENT PAPILLOMAVIRUS TYPE 81 ANOPHELES GAMBIAE FALCIPARUM 3D7 6B IMPORTED STRAIN Z29 </t>
  </si>
  <si>
    <t xml:space="preserve">TRACTIN MEDICINAL LEECH HIRUDO MEDICINALIS FLAGELLIFORM SILK NEPHILA MADAGASCARIENSIS CLAVIPES SIMILAR TO HYPOTHETICAL CRYPTOSPORIDIUM PARVUM ORF107R SINGAPORE GROUPER IRIDOVIRUS UNKNOWN ESPF-LIKE ESCHERICHIA COLI O157 H7 IMPORTED STRAIN SUBSTRAIN RIMD PUTATIVE SECRETED ENCODED BY CRYPTIC PROPHAGE CP-933M CP 933M </t>
  </si>
  <si>
    <t xml:space="preserve">UNNAMED PRODUCT TETRAODON NIGROVIRIDIS HYPOTHETICAL BACTEROIDES FRAGILIS YCH46 ANOPHELES GAMBIAE USTILAGO MAYDIS 521 MUS MUSCULUS BINDING WITH HIS-THR DOMAIN NUCLEAR LOCALIZATION SIGNAL HIS THR RATTUS NORVEGICUS PLASMODIUM CHABAUDI BERGHEI PUTATIVE GTPASES G3E FAMILY ANABAENA VARIABILIS ATCC SEVEN TRANSMEMBRANE HELIX RECEPTOR HOMO SAPIENS </t>
  </si>
  <si>
    <t xml:space="preserve">UNNAMED PRODUCT TETRAODON NIGROVIRIDIS HOMO SAPIENS ASPERGILLUS FUMIGATUS HYPOTHETICAL BACTEROIDES FRAGILIS YCH46 RIKEN CDNA MUSCULUS RATTUS NORVEGICUS ANOPHELES GAMBIAE UNKNOWN MUS </t>
  </si>
  <si>
    <t xml:space="preserve">PREDICTED MAGNAPORTHE GRISEA UNNAMED PRODUCT SACCHAROMYCES CEREVISIAE HYPOTHETICAL YKL030W YEAST YKD0_YEAST 23.0 KDA IXR1-TFA1 INTERGENIC REGION IXR1 TFA1 TRYPANOSOMA BRUCEI MUS MUSCULUS YERSINIA PESTIS KIM REPEAT ORGANELLAR PLASMODIUM YOELII ORYZA SATIVA JAPONICA CULTIVAR-GROUP CULTIVAR GROUP TRANSDUCIN FAMILY WD-40 ARABIDOPSIS THALIANA WD 40 UNKNOWN UNLIKELY SULFOLOBUS SP. NOB8H2 PLASMID PNOB8 BACILLUS LICHENIFORMIS ATCC WILLEBRAND FACTOR HELIOTHIS ZEA VIRUS 1 ANOPHELES GAMBIAE CAENORHABDITIS ELEGANS SIMILAR TO DICTYOSTELIUM DISCOIDEUM SLIME MOLD . NUCLEOTIDE EXCHANGE RASGEF P FALCIPARUM 3D7 ISLANDICUS MEMBRANE PUTATIVE ANTHRACIS STR. STERNE ASPARAGINE ASPARTATE RICH WITH THR STRETCHES POSSIBLE MUCIN CRYPTOSPORIDIUM PARVUM </t>
  </si>
  <si>
    <t xml:space="preserve">HYPOTHETICAL HHV6GP101 HUMAN HERPESVIRUS 6 UNNAMED PRODUCT HOMO SAPIENS TETRAODON NIGROVIRIDIS UNKNOWN MUS MUSCULUS ANTIGEN LEISHMANIA DONOVANI RIKEN CDNA DANIO RERIO </t>
  </si>
  <si>
    <t xml:space="preserve">PUTATIVE SALIVARY CULICOIDES SONORENSIS HYPOTHETICAL PYROCOCCUS ABYSSI GE5 IMPORTED CHLAMYDIA MURIDARUM STRAIN NIGG AEROPYRUM PERNIX K1 BACILLUS MEGATERIUM RP3 ZEA MAYS </t>
  </si>
  <si>
    <t xml:space="preserve">HYPOTHETICAL NEUROSPORA CRASSA PREDICTED SIMILAR TO MYELOID LYMPHOID OR MIXED-LINEAGE LEUKEMIA 5 MUS MUSCULUS MIXED LINEAGE PHYSCOMITRELLA PATENS ORYZA SATIVA JAPONICA CULTIVAR-GROUP CULTIVAR GROUP EXTENSIN SOLANUM TUBEROSUM EXTENSIN-LIKE PRECURSOR POTATO LIKE PUTATIVE CAENORHABDITIS ELEGANS OMEGA GLIADIN TRITICUM AESTIVUM BRIGGSAE PROLIN RICH ZEA MAYS HYBRID PROLINE-RICH MAIZE PROLINE TRANSCRIPTION FACTOR SOX18 TAKIFUGU RUBRIPES CRYPTOCOCCUS NEOFORMANS VAR. LYCOPERSICON ESCULENTUM TPRP-F1 TOMATO PRF1_LYCES 36.4 TPRP ASPERGILLUS NIDULANS FGSC A4 ARABIDOPSIS THALIANA IMPORTED FAMILY DROSOPHILA MELANOGASTER BREVIDENS CG5225-PA GASTRIC MUCIN SUS SCROFA DOMESTICA UNNAMED PRODUCT HOMO SAPIENS UNKNOWN POLLEN OLE E 1 ALLERGEN THIOL-DISULFIDE ISOMERASE THIOREDOXINS XYLELLA FASTIDIOSA ANN-1 THIOL DISULFIDE ANN PSITTACID HERPESVIRUS ECTROMELIA VIRUS </t>
  </si>
  <si>
    <t xml:space="preserve">SERINE ARGININE REPETITIVE MATRIX 2 MUS MUSCULUS UNNAMED PRODUCT BINDING HOMO SAPIENS SPLICING COACTIVATOR SUBUNIT SRRM2 PREDICTED SIMILAR TO RIKEN CDNA GALLUS HYPOTHETICAL UNKNOWN FOR MGC RATTUS NORVEGICUS RNA-BINDING REGION CONTAINING LIKE 64.9 KD CAENORHABDITIS ELEGANS Y55F3AM.3A STREPTOMYCES COELICOLOR A3 SC7H2.07C FACTOR SERINE-RICH 4 ISOFORM 3 RICH 1 Q6PFR5 TR2A_MOUSE TRANSFORMER-2 HOMOLOG TRA-2 ALPHA TRANSFORMER TRA DROSOPHILA PSEUDOOBSCURA TETRAODON NIGROVIRIDIS SIGNAL PEPTIDE PARALOG CRYPTOSPORIDIUM-SPECIFIC SKSR FAMILY CRYPTOSPORIDIUM PARVUM SPECIFIC HANP1 </t>
  </si>
  <si>
    <t xml:space="preserve">HYPOTHETICAL PLASMODIUM BERGHEI UNNAMED PRODUCT HOMO SAPIENS XYLELLA FASTIDIOSA 9A5C IMPORTED STRAIN SPOT2 MUS MUSCULUS BINDING WITH HIS-THR DOMAIN HIS THR TETRAODON NIGROVIRIDIS CRYPTOSPORIDIUM PARVUM ANOPHELES GAMBIAE BACTEROIDES FRAGILIS YCH46 SEVEN TRANSMEMBRANE HELIX RECEPTOR ISOFORM A DROSOPHILA MELANOGASTER </t>
  </si>
  <si>
    <t xml:space="preserve">HYPOTHETICAL HHV6GP101 HUMAN HERPESVIRUS 6 UNNAMED PRODUCT TETRAODON NIGROVIRIDIS RIKEN CDNA MUSCULUS UNKNOWN MUS HOMO SAPIENS SEVEN TRANSMEMBRANE HELIX RECEPTOR ADHESIN FHAB BORDETELLA AVIUM RATTUS NORVEGICUS PAPILLOMAVIRUS TYPE 81 ANOPHELES GAMBIAE CRYPTOSPORIDIUM PARVUM </t>
  </si>
  <si>
    <t xml:space="preserve">ANOPHELES GAMBIAE DROSOPHILA MELANOGASTER PSEUDOOBSCURA CCFFDM CYTOCHROME C DC4 FRUIT FLY 7783 UNNAMED PRODUCT CYC2_DROME C-2 C-PROXIMAL CYC2_CERCA PROXIMAL CCFFCM MEDITERRANEAN CYC_SARPE BOETTCHERISCA PEREGRINA CYC_LUCCU CCHFGB GREENBOTTLE LUCILIA CUPRINA TENTATIVE SEQUENCE CYC_HAEIR CCFHHF HORN CYC_MANSE SIMILAR TO MITOCHONDRIAL APIS MELLIFERA LIGUSTICA CYC_APIME VALIDATED HONEYBEE CCWOT TOBACCO HORNWORM CYC_SCHGR DESERT LOCUST CYC_SAMCY AILANTHUS SILKMOTH CYC_VARVA IXODES PACIFICUS CYC_ASTRU STARFISH ASTERIAS RUBENS SCHISTOSOMA JAPONICUM CYC_DRONO EMU CYC_RABIT RABBIT CYC_ANAPL CYC_STRCA OSTRICH CYC_APTPA PENGUIN </t>
  </si>
  <si>
    <t xml:space="preserve">FE-S-CLUSTER-CONTAINING HYDROGENASE COMPONENTS 1 BURKHOLDERIA FUNGORUM S-CLUSTER-CONTAINING S CLUSTER-CONTAINING CLUSTER CONTAINING CEPACIA IRON-SULFUR PSEUDOMALLEI SULFUR CLUSTER-BINDING MALLEI ATCC BINDING MAGNETOSPIRILLUM MAGNETOTACTICUM MS-1 FE MS RUBRIVIVAX GELATINOSUS PM1 HYPOTHETICAL KINEOCOCCUS RADIOTOLERANS LEISHMANIA MAJOR CONSERVED UNKNOWN ORYZA SATIVA JAPONICA CULTIVAR-GROUP CULTIVAR GROUP AZOARCUS SP. EBN1 STREPTOMYCES AVERMITILIS PUTATIVE GLYCERATE KINASE PHOTOBACTERIUM PROFUNDUM SS9 ORF_06L HERPES SIMPLEX VIRUS STRAIN R-15 R 15 NEUROSPORA CRASSA PREDICTED TROGLODYTES DROSOPHILA PSEUDOOBSCURA RAD3-RELATED DNA HELICASES RELATED MYCOBACTERIUM SMEGMATIS </t>
  </si>
  <si>
    <t xml:space="preserve">MUCIN-LIKE ANOPHELES GAMBIAE MUCIN LIKE PUTATIVE 13.5 KDA SALIVARY STEPHENSI SECRETED ACID PHOSPHATASE 2 PRECURSOR IMPORTED LEISHMANIA MEXICANA HYPOTHETICAL SULFOLOBUS SOLFATARICUS P2 EXCRETORY SECRETORY MUC-2 TOXOCARA CANIS MUC MUC-4 4 WITH THR STRETCHES POSSIBLE CRYPTOSPORIDIUM PARVUM HOMINIS CAENORHABDITIS BRIGGSAE STR. PEST DROSOPHILA MELANOGASTER ASPERGILLUS NIDULANS FGSC A4 PREDICTED CDS FAMILY MEMBER ELEGANS SIMILAR TO 5 RATTUS NORVEGICUS 19.1 SG3 MBCTL1 MONOSIGA BREVICOLLIS TRYPANOSOMA CRUZI ENDO-BETA-D-1 4-GLUCANASE PHYCOMYCES NITENS ENDO BETA-D-1 BETA D-1 GLUCANASE AGA1P SACCHAROMYCES CEREVISIAE AGA1_YEAST A-AGGLUTININ ATTACHMENT SUBUNIT YEAST AGGLUTININ OIKOPLEURA DIOICA 003 31 SIGNAL PEPTIDE PLUS HIS REPEATS TRANSMEMBRANE DOMAIN OR GPI ANCHOR </t>
  </si>
  <si>
    <t xml:space="preserve">ANOPHELES GAMBIAE STR. PEST 7117 RIBOSOMAL YL10 HOMOLOGUE CHIRONOMUS TENTANS L15.E MIDGE RL15_CHITE RL10 RL15_ANOGA SIMILAR TO DROSOPHILA MELANOGASTER RPL15 YAKUBA L15 RL15_DROME BOMBYX MORI SPODOPTERA FRUGIPERDA PLUTELLA XYLOSTELLA ACIPENSER GUELDENSTAEDTII SCHRENCKII SINENSIS APIS MELLIFERA ANGUILLA JAPONICA RL15_ANGJA RPL15-PROV XENOPUS LAEVIS SINIPERCA KNERI RL15_SINKN MONOPTERUS ALBUS RL15_MONAL BOS TAURUS RIKEN CDNA SAPIENS RL15_PIG SYNTHETIC CONSTRUCT PREDICTED PAN TROGLODYTES MUS MUSCULUS RATTUS NORVEGICUS HYPOTHETICAL PONGO PYGMAEUS CYTOSOLIC VALIDATED RAT L10 ENCODED BY GENBANK ACCESSION NUMBER Q9CZM2 RL15_MOUSE RL15_HUMAN RL15_RAT UNNAMED PRODUCT LATEOLABRAX JAPONICUS ICTALURUS PUNCTATUS RL15_ICTPU </t>
  </si>
  <si>
    <t xml:space="preserve">ANOPHELES GAMBIAE STR. PEST CG9032-PA ISOFORM A DROSOPHILA MELANOGASTER CG9032-PB B PSEUDOOBSCURA F1-ATPASE EPSILON-SUBUNIT IPOMOEA BATATAS ATP5_IPOBA ATP SYNTHASE EPSILON CHAIN MITOCHONDRIAL H+-TRANSPORTING TWO-SECTOR ATPASE EC SWEET POTATO F1 SUBUNIT H+ TRANSPORTING TWO SECTOR ANANAS COMOSUS ARABIDOPSIS THALIANA IMPORTED ATP5_ARATH HYM-323 HYDRA MAGNIPAPILLATA HYM 323 LIKE CAENORHABDITIS ELEGANS HYPOTHETICAL HOMOLOG GIBBERELLA ZEAE PH-1 MAIZE ATP5_MAIZE PUTATIVE ORYZA SATIVA JAPONICA CULTIVAR-GROUP CULTIVAR GROUP BRIGGSAE PREDICTED NEUROSPORA CRASSA RELATED TO CICER ARIETINUM MAGNAPORTHE GRISEA 5.9 KD ATPE_CAEEL UNNAMED PRODUCT KLUYVEROMYCES LACTIS BOVINE INHIBITED BY DCCD DICYCLOHEXYLCARBODIIMIDE ADP.ALF4 ADP.SO4 ALL THREE CATALYTIC SITES OCCUPIED </t>
  </si>
  <si>
    <t xml:space="preserve">ANOPHELES GAMBIAE STR. PEST GSG2-LIKE GSG2 LIKE UNNAMED PRODUCT HOMO SAPIENS HYPOTHETICAL SALIVARY SG2A STEPHENSI MUS MUSCULUS UNKNOWN PLASMODIUM BERGHEI CHABAUDI SEVEN TRANSMEMBRANE HELIX RECEPTOR RIKEN CDNA ANTIGEN LEISHMANIA DONOVANI </t>
  </si>
  <si>
    <t xml:space="preserve">PUTATIVE SALIVARY SECRETED SERINE PROTEASE INHIBITOR ANOPHELES STEPHENSI HYPOTHETICAL CAENORHABDITIS BRIGGSAE GAMBIAE STR. PEST CYSTEINE-RICH VENOM 6 PIMPLA HYPOCHONDRIACA CVP6_PIMHY PRECURSOR CYSTEINE RICH ELEGANS PREDICTED CDS TRYPSIN INHIBITOR-LIKE TIL REGION FAMILY MEMBER LIKE IMMUNE REACTIVE PRINH6 GLOSSINA MORSITANS ANTICOAGULANT C4 ANCYLOSTOMA CANINUM 46.7 KD 77.8 84.9 CULEX PIPIENS QUINQUEFASCIATUS TRYPSIN-LIKE OESOPHAGOSTOMUM DENTATUM IXCI_BOOMI CHYMOTRYPSIN-ELASTASE IXODIDIN CHYMOTRYPSIN ELASTASE WILLEBRAND FACTOR BOS TAURUS VWF_BOVIN VWF SIMILAR TO CG4720-PA MELLIFERA </t>
  </si>
  <si>
    <t xml:space="preserve">ANTIGEN 5-RELATED ANOPHELES GAMBIAE 5 RELATED STR. PEST SALIVARY DIRUS B PUTATIVE GVAG PRECURSOR ANTIGEN-5 STEPHENSI SECRETED AEDES AEGYPTI AG5-4 ALBOPICTUS AG5 4 DARLINGI AG5-1 1 DROSOPHILA MELANOGASTER CULICOIDES SONORENSIS PSEUDOOBSCURA CG9822-PA </t>
  </si>
  <si>
    <t xml:space="preserve">COX1_ANOGA CYTOCHROME C OXIDASE POLYPEPTIDE I SUBUNIT ANOPHELES GAMBIAE CYTOCHROME-C EC CHAIN AFRICAN MALARIA MOSQUITO MITOCHONDRION FRAGMENT 1 QUADRIMACULATUS A SIMILARITY SUBUNIT=1 COX1_ANOQU MELANOON MACULIPENNIS MESSEAE MARTINIUS AEDES AEGYPTI ARABIENSIS CULICIFACIES PSEUDOPUNCTIPENNIS PUNCTIMACULA SUNDAICUS SUBPICTUS TRIANNULATUS NUNEZTOVARI MARAJOARA DARLINGI ALBITARSIS ALBIMANUS EISENI DIRUS INTERMEDIUS FARAUTI RONDONI CULEX PIPIENS MOLESTUS </t>
  </si>
  <si>
    <t xml:space="preserve">ANOPHELES GAMBIAE TOPOISOMERASE IV SUBUNIT A MYCOPLASMA MYCOIDES SUBSP. SC STR. PG1 PREDICTED GIBBERELLA ZEAE PH-1 </t>
  </si>
  <si>
    <t xml:space="preserve">ANOPHELES GAMBIAE PUTATIVE SALIVARY SG2B STEPHENSI STR. PEST GSG2-LIKE GSG2 LIKE UNNAMED PRODUCT YARROWIA LIPOLYTICA CLIB99 HYPOTHETICAL PREDICTED NEUROSPORA CRASSA RUBROBACTER XYLANOPHILUS DSM 9941 TETRAODON NIGROVIRIDIS CATHEPSIN B MRNA 3'-UNTRANSLATED-REGION-BINDING FLESH FLY SARCOPHAGA PEREGRINA UNTRANSLATED-REGION-BINDING UNTRANSLATED REGION-BINDING REGION BINDING GIBBERELLA ZEAE PH-1 DYNEIN HEAVY CHAIN LETHAL LET-354 DHC-1 CAENORHABDITIS ELEGANS DYHC_CAEEL CYTOSOLIC DYHC LET 354 DHC LACTOCOCCUS LACTIS SUBSP. IMPORTED STRAIN SYNECHOCYSTIS SP. PCC 6803 SHOCK UNCULTURED ARCHAEON </t>
  </si>
  <si>
    <t xml:space="preserve">HISTONE FAMILY 3A FELIS CATUS SIMILAR TO H3 3B MUS MUSCULUS 3.3A CHICKEN H3F3B RATTUS NORVEGICUS XENOPUS LAEVIS H3F3B-PROV DROSOPHILA MELANOGASTER HIS3.3A YAKUBA CG8989-PC ISOFORM C CG8989-PB CG5825-PA CG8989-PA ANOPHELES GAMBIAE PREDICTED PAN TROGLODYTES SAPIENS UNKNOWN FOR MGC DANIO RERIO 3 HIS-71 CAENORHABDITIS ELEGANS HYPOTHETICAL H33_CAEEL HOMO PONGO PYGMAEUS BOS TAURUS H3.3 GALLUS BRIGGSAE 15.4 KD HIS-72 TRICHINELLA PSEUDOSPIRALIS Q8WSF1 H33_TRIPS H3.3B CHINCHILLA LANIGERA PUTATIVE PARACENTROTUS LIVIDUS URCHIN 3.3 15.3 PLATICHTHYS FLESUS </t>
  </si>
  <si>
    <t xml:space="preserve">UNNAMED PRODUCT HOMO SAPIENS YARROWIA LIPOLYTICA CLIB99 HYPOTHETICAL PLASMODIUM BERGHEI AMINO ACID TRANSPORTERS RICKETTSIA AKARI STR. HARTFORD CANDIDA ALBICANS PREDICTED CHABAUDI ANOPHELES GAMBIAE WRY FAMILY 5 FRAGMENT TROGLODYTES MUS MUSCULUS XYLELLA FASTIDIOSA 9A5C IMPORTED STRAIN UNKNOWN ENTEROCOCCUS FAECALIS SHIGELLA SONNEI ESCHERICHIA COLI SHEWANELLA ONEIDENSIS MR-1 4 TRYPANOSOMA BRUCEI MITOCHONDRION READING FRAME 251 AA MOUSE XIST_MOUSE X INACTIVE SPECIFIC TRANSCRIPT CAENORHABDITIS BRIGGSAE ADENOSINE TRIPHOSPHATASE 6 APIS MELLIFERA LIGUSTICA ATP6_APILI ATP SYNTHASE A CHAIN ATPASE SUBUNIT H+-TRANSPORTING TWO-SECTOR EC HONEYBEE TRANSPORTING TWO SECTOR STREPTOCOCCUS AGALACTIAE </t>
  </si>
  <si>
    <t xml:space="preserve">antisense of ENSANGP00000022582 </t>
  </si>
  <si>
    <t>3p of Endocytosis/signaling protein EHD1</t>
  </si>
  <si>
    <t>3p of adhesion protein with WW and PDZ domains</t>
  </si>
  <si>
    <t>not near any predicted protein</t>
  </si>
  <si>
    <t>3p of protein with coil-coil domain involved in tracheal development</t>
  </si>
  <si>
    <t>unknown low complexity</t>
  </si>
  <si>
    <t>3p of glucose transporter</t>
  </si>
  <si>
    <t>Ca dependent protein kinase</t>
  </si>
  <si>
    <t>3p of RNA-binding protein Sam68 and related KH domain proteins</t>
  </si>
  <si>
    <t>h/trascription machinery</t>
  </si>
  <si>
    <t>3p of carbohydrate transporter</t>
  </si>
  <si>
    <t>3p of farnesyltransferase</t>
  </si>
  <si>
    <t>3p or RNA binding protein</t>
  </si>
  <si>
    <t>h/transcription machinery</t>
  </si>
  <si>
    <t>3p of mRNA cleavage and polyadenylation factor I/II complex, subunit Pcf11</t>
  </si>
  <si>
    <t>3p of reticulon protein</t>
  </si>
  <si>
    <t>3p of chaperone AAA ATPase</t>
  </si>
  <si>
    <t>ribosomal protein L14</t>
  </si>
  <si>
    <t>ADP-ribosylation factor</t>
  </si>
  <si>
    <t>small nuclear RNA associated protein</t>
  </si>
  <si>
    <t>3p of transcription factor</t>
  </si>
  <si>
    <t>h/transcripton factor</t>
  </si>
  <si>
    <t xml:space="preserve">DROSOPHILA PSEUDOOBSCURA HYPOTHETICAL ASPERGILLUS NIDULANS FGSC A4 PUTATIVE TRANSCRIPTION FACTOR RLMA EMERICELLA MELANOGASTER MUCIN-LIKE TRYPANOSOMA CRUZI MUCIN LIKE UNNAMED PRODUCT HOMO SAPIENS XENOPUS LAEVIS POTENTIAL FUNGAL ZINC CLUSTER CANDIDA ALBICANS MAGNAPORTHE GRISEA RHESUS MACAQUE FRAGMENT CG3950-PA BRAIN-2 GENE ANOLIS CAROLINENSIS BRAIN 2 APOPROTEIN MUC-LOC5 MUC LOC5 CAENORHABDITIS ELEGANS KGZQHL HISTIDINE-RICH GLYCOPROTEIN PRECURSOR PLASMODIUM LOPHURAE 9999 HRPX_PLALO HISTIDINE C-TYPE LECTIN FAMILY MEMBER </t>
  </si>
  <si>
    <t xml:space="preserve">HYPOTHETICAL ASPERGILLUS NIDULANS FGSC A4 POTENTIAL ZINC-IRON PERMEASE CANDIDA ALBICANS ISOFORM A DROSOPHILA MELANOGASTER E SHORT STOP KAKAPO LONG GENE FRUIT FLY FRAGMENT OSJNBB0024F06.8 ORYZA SATIVA JAPONICA CULTIVAR-GROUP CULTIVAR GROUP UNNAMED PRODUCT TETRAODON NIGROVIRIDIS SAPIENS HUMAN UNKNOWN CAENORHABDITIS BRIGGSAE LYASE NAEGLERIA GRUBERI BICOID MUSCA DOMESTICA PUTATIVE WIP1 ANOPHELES GAMBIAE FTZ-F1 ACANTHOPAGRUS SCHLEGELII FTZ F1 GIBBERELLA ZEAE PH-1 KAHRP PLASMODIUM FALCIPARUM KNOB-ASSOCIATED HISTIDINE-RICH PRECURSOR MALARIA PARASITE STRAIN NF7 GHANA KNOB_PLAFN KNOB ASSOCIATED HISTIDINE RICH TACHYKININ-LIKE RECEPTOR STOMOXYS CALCITRANS TACHYKININ LIKE HISTONE-LYSINE N-METHYLTRANSFERASE HISTONE LYSINE N METHYLTRANSFERASE </t>
  </si>
  <si>
    <t xml:space="preserve">UNNAMED PRODUCT TETRAODON NIGROVIRIDIS ANOPHELES GAMBIAE SAPIENS RIKEN CDNA MUSCULUS ASPERGILLUS FUMIGATUS HYPOTHETICAL BACTEROIDES FRAGILIS YCH46 RATTUS NORVEGICUS UNKNOWN FOR IMAGE DANIO RERIO PLASMODIUM BERGHEI </t>
  </si>
  <si>
    <t xml:space="preserve">UNNAMED PRODUCT MUS MUSCULUS HYPOTHETICAL BRADYRHIZOBIUM JAPONICUM USDA 110 YARROWIA LIPOLYTICA CLIB99 KINEOCOCCUS RADIOTOLERANS </t>
  </si>
  <si>
    <t xml:space="preserve">HYPOTHETICAL CANDIDA ALBICANS PLASMODIUM FALCIPARUM 3D7 KINASE SH2 MOTIF FAMILY MEMBER KIN-21 CAENORHABDITIS ELEGANS CORRESPONDING SEQUENCE KIN 21 SECRETED PHOSPHOPROTEIN 2 24KDA TAURUS PRECURSOR BOVINE SP24_BOVIN SPP-24 24 OVIS ARIES DOMAIN-CONTAINING HELICASE ARABIDOPSIS THALIANA DOMAIN CONTAINING PERMEASES MAJOR FACILITATOR SUPERFAMILY CLOSTRIDIUM THERMOCELLUM ATCC DPAGT1 LIKE N-ACETYLGLUCOSAMINE-1-PHOSPHATE TRANSFERASE CRYPTOSPORIDIUM PARVUM N ACETYLGLUCOSAMINE-1-PHOSPHATE ACETYLGLUCOSAMINE 1-PHOSPHATE PHOSPHATE UNNAMED PRODUCT HOMINIS CYTOCHROME B NECATOR AMERICANUS H+-TRANSPORTING ATP SYNTHASE 6 HOMOLOG LEISHMANIA TARENTOLAE MITOCHONDRION ATPASE MURF4 TRANSPORTING SERPENTINE RECEPTOR CLASS U SRU-28 DEHYDROGENASE SUBUNIT 1 TRIATOMA DIMIDIATA CRYPTOGENE G4 STRAIN TRANSPORT MACHINERY OCEANOBACILLUS IHEYENSIS COMPETENCE IMPORTED </t>
  </si>
  <si>
    <t xml:space="preserve">PREDICTED SIMILAR TO UROPLAKIN IIIB HOMO SAPIENS CG6340-PB ISOFORM B DROSOPHILA MELANOGASTER HYPOTHETICAL PLASMODIUM FALCIPARUM 3D7 ENTAMOEBA HISTOLYTICA HM-1 IMSS HM 1 UNKNOWN ORYZA SATIVA JAPONICA CULTIVAR-GROUP CULTIVAR GROUP ANOPHELES GAMBIAE CONSERVED RATTUS NORVEGICUS LEISHMANIA MAJOR BRAIN-SPECIFIC ANGIOGENESIS INHIBITOR PRECURSOR FAMILY MEMBER CAENORHABDITIS ELEGANS BRAIN SPECIFIC TROGLODYTES DICTYOSTELIUM DISCOIDEUM UNNAMED PRODUCT SERINE THREONINE PHOSPHATASE NOSTOC PUNCTIFORME PCC TRYPANOSOMA BRUCEI GALLUS T-LYMPHOCYTE SURFACE ANTIGEN CD2 HOMOLOG AFRICAN SWINE FEVER VIRUS T LYMPHOCYTE </t>
  </si>
  <si>
    <t xml:space="preserve">UNNAMED PRODUCT MUS MUSCULUS READING FRAME 251 AA HYPOTHETICAL PLASMODIUM CHABAUDI </t>
  </si>
  <si>
    <t xml:space="preserve">UNNAMED PRODUCT TETRAODON NIGROVIRIDIS ANOPHELES GAMBIAE STR. PEST HYPOTHETICAL HHV6GP101 HUMAN HERPESVIRUS 6 MUS MUSCULUS </t>
  </si>
  <si>
    <t xml:space="preserve">PHEROPHORIN-DZ1 VOLVOX CARTERI F. NAGARIENSIS PHEROPHORIN DZ1 HYPOTHETICAL PROLINE-RICH 1 POLYCHAETE OWENIA FUSIFORMIS FRAGMENT YPRO_OWEFU PROLINE RICH ORYZA SATIVA JAPONICA CULTIVAR-GROUP CULTIVAR GROUP SIMILAR TO NAGARIENSIS. PRECURSOR DICTYOSTELIUM DISCOIDEUM UNNAMED PRODUCT ARABIDOPSIS THALIANA NEUROSPORA CRASSA PROBABLE CYTOKINESIS SEPA NUCLEAR EBNA2 ADHESIN FHAB BORDETELLA AVIUM PHEROPHORIN-S S HUMAN HERPESVIRUS 4 EBNA-2 EBN2_EBV ANABAENA VARIABILIS ATCC XANTHOMONAS AXONOPODIS PV. CITRI STR. 306 SAPIENS HOMO FAMILY CAULOBACTER CRESCENTUS CB15 IMPORTED PUTATIVE FORMIN I2I ISOFORM DROSOPHILA MELANOGASTER EXTENSIN PROTEIN-LIKE LEUCINE-RICH REPEAT LIKE LEUCINE FORMIN-LIKE 2 B D C A ACROSIN EC RABBIT PREPROACROSIN PREPRO-ACROSIN ACRO_RABIT PREPRO PREDICTED </t>
  </si>
  <si>
    <t xml:space="preserve">HYPOTHETICAL PLASMODIUM YOELII UNNAMED PRODUCT MUS MUSCULUS MOUSE XIST_MOUSE X INACTIVE SPECIFIC TRANSCRIPT HUMAN PAPILLOMAVIRUS TYPE 81 UNKNOWN MATURASE CHRYSOSPLENIUM TOSAENSE RELATED DROSOPHILA MELANOGASTER CHLOROFLEXUS AURANTIACUS FALCIPARUM 3D7 MALARIA PARASITE KLUYVEROMYCES LACTIS </t>
  </si>
  <si>
    <t xml:space="preserve">HYPOTHETICAL PLASMODIUM FALCIPARUM 3D7 CONSERVED CRYPTOSPORIDIUM HOMINIS </t>
  </si>
  <si>
    <t xml:space="preserve">UNNAMED PRODUCT TETRAODON NIGROVIRIDIS HYPOTHETICAL DEINOCOCCUS RADIODURANS R1 CONSERVED STRAIN SIMILAR TO P140MDIA RATTUS NORVEGICUS UNKNOWN ORYZA SATIVA JAPONICA CULTIVAR-GROUP CULTIVAR GROUP ASPERGILLUS NIDULANS FGSC A4 SURVIVAL MOTOR NEURON BOS TAURUS 1 TELOMERIC SMN_BOVIN MUSCULUS DROSOPHILA MELANOGASTER BARDET-BIEDL SYNDROME 2 LIKE CAENORHABDITIS ELEGANS BARDET BIEDL CG4316-PA PSEUDOOBSCURA PUTATIVE WITH REGION CYCLIN-DEPENDENT KINASE PROTEINS CYCLIN DEPENDENT </t>
  </si>
  <si>
    <t xml:space="preserve">UNNAMED PRODUCT HOMO SAPIENS HYPOTHETICAL PLASMODIUM BERGHEI RIKEN CDNA MUSCULUS MUS TETRAHYMENA PYRIFORMIS READING FRAME 251 AA BKM-LIKE SEX-DETERMINING REGION FRUIT FLY DROSOPHILA MELANOGASTER FRAGMENT BKM LIKE SEX DETERMINING YOELII MYPU_1910 MYCOPLASMA PULMONIS UAB CTIP UNKNOWN PREDICTED CODING IMPORTED STRAIN FALCIPARUM 3D7 ANOPHELES GAMBIAE TRIOSE OR HEXOSE PHOSPHATE TRANSLOCATOR PUTATIVE DEHYDROGENASE SUBUNIT 4 PHYTOMONAS SERPENS PC-FAM-1 CHABAUDI PC FAM-1 FAM KRUEPPEL-LIKE KRUEPPEL SIMILAR TO TETRASPANIN SIMILIAR UROPLAKIN 1 PAN TROGLODYTES TCC31.4 TRYPANOSOMA CRUZI LYASE NAEGLERIA GRUBERI </t>
  </si>
  <si>
    <t xml:space="preserve">RHOMBOID FAMILY PORPHYROMONAS GINGIVALIS W83 HYPOTHETICAL PLASMODIUM FALCIPARUM 3D7 DEHYDROGENASE SUBUNIT 1 DAKTULOSPHAIRA VITIFOLIAE CHABAUDI ORF-6 LEISHMANIA TARENTOLAE MITOCHONDRION ORF 6 CONSERVED INTEGRAL MEMBRANE BORRELIA BURGDORFERI B31 DISEASE SPIROCHETE PARAMECIUM AURELIA INSERTED AFTER NT 369 =NT GENOMIC SEQUENCE CORRECT -1 FRAMESHIFT PROBABLY DUE GEL COMPRESSION TETRACYCLINE PUMP TETA 31 AEROMONAS SALMONICIDA UNNAMED PRODUCT 4 TETRAURELIA YM04_PARTE MUS MUSCULUS ARABIDOPSIS THALIANA DOMAIN-CONTAINING DOMAIN CONTAINING PUTATIVE SALMONELLA ENTERICA SUBSP. SEROVAR PARATYPI A STR. ATCC 9150 TRYPANOSOMA BRUCEI CANDIDA ALBICANS SYNTHASE VASDAVIDIUS CONCURSUS CHLOROFLEXUS AURANTIACUS PREDICTED SIMILAR TO GALLUS CAENORHABDITIS BRIGGSAE CRITHIDIA FASCICULATA </t>
  </si>
  <si>
    <t>possible Dynein heavy chain at 62B</t>
  </si>
  <si>
    <t>NADH DEHYDROGENASE</t>
  </si>
  <si>
    <t>BETA-AMYLOID-LIKE PROTEIN PRECURSOR</t>
  </si>
  <si>
    <t>3p of 26S proteasome regulatory complex, subunit RPN1/PSMD2</t>
  </si>
  <si>
    <t>h/proteasome machinery</t>
  </si>
  <si>
    <t>cAMP-dependent protein kinase types I and II, regulatory subunit - GO involved in circadian cycle</t>
  </si>
  <si>
    <t>SIMILAR TO TRANSPORT PROTEIN SEC61</t>
  </si>
  <si>
    <t>Differentiation-related gene 1 protein (NDR1 protein)</t>
  </si>
  <si>
    <t>ATP-BINDING CASSETTE SUB-FAMILY</t>
  </si>
  <si>
    <t>3p of conserved protein</t>
  </si>
  <si>
    <t>arginine kinase activity - phosphorylation</t>
  </si>
  <si>
    <t>3p of PROGRAMMED CELL DEATH 10</t>
  </si>
  <si>
    <t>V-ATPASE C-SUBUNIT</t>
  </si>
  <si>
    <t>ZINC FINGER PROTEIN 39</t>
  </si>
  <si>
    <t>Ubiquitin activating enzyme UBA1</t>
  </si>
  <si>
    <t>s/immunity</t>
  </si>
  <si>
    <t xml:space="preserve">ANOPHELES GAMBIAE STR. PEST DEFENSIN A PROTOPHORMIA TERRAENOVAE PRECURSOR NESTLING-SUCKING BLOWFLY DEFI_PROTE PHORMICIN INSECT DEFENSINS B NESTLING SUCKING MUSCA DOMESTICA NMR 10 STRUCTURES 1 STOMOXYS CALCITRANS SAPC_SARPE SAPECIN C C=ANTIBACTERIAL SARCOPHAGA PEREGRINA=FLESH FLIES NIH-SAPE-4 EMBRYONIC CELL LINE PEPTIDE 40 AA FLESH FLY PEREGRINA NIH SAPE-4 SAPE DEFI_PHLDU ISOFORM B2 AEDES AEGYPTI B1 SAPE_SARPE 5 A4 A2 A1 DEFA_AEDAE AADEF AADEFA1 DEFB_AEDAE AEGYPTI=MOSQUITOES LIVERPOOL CHAIN SOLUTION STRUCTURE CULEX PIPIENS B=4.1 ANTIBIOTIC AEGYPTI=YELLOW FEVER MOSQUITOES 1A DEF1_STOCA D ALBOPICTUS DEFI_ANOGA ZOPHOBAS ATRATUS 43 BEETLE </t>
  </si>
  <si>
    <t xml:space="preserve">ANOPHELES GAMBIAE FLAGELLIFORM SILK NEPHILA CLAVIPES CIRCADIAN RNA-BINDING CHLAMY 1 SUBUNIT C1 CHLAMYDOMONAS REINHARDTII RNA BINDING PUTATIVE GLYCINE RICH ORYZA SATIVA JAPONICA CULTIVAR-GROUP CULTIVAR GROUP DROSOPHILA MELANOGASTER CG5070-PA MADAGASCARIENSIS PREDICTED HYPOTHETICAL GALLUS CG8157-PA KERATIN ASSOCIATED 6-2 MUS MUSCULUS HIGH-GLYCINE TYROSINE TYPE II.4 6 2 HIGH 16-7 KERATIN-ASSOCIATED 16.7 16 7 21-1 UNNAMED PRODUCT 21 CG7296-PA CG7539-PA CUP9_DROME PUPAL CUTICLE EDG-91 PRECURSOR ECDYSONE-DEPENDENT 91 ECDYSONE DEPENDENT CYTOKERATIN-LIKE FRUIT FLY CYTOKERATIN LIKE EDG XYLELLA FASTIDIOSA TEMECULA1 CONSERVED SULFUR GLOBULE CV1 ALLOCHROMATIUM VINOSUM SGP1_CHRVI GLYCINE-RICH GRP2_ORYSA CELL WALL STRUCTURAL KNRZG2 RICE </t>
  </si>
  <si>
    <t xml:space="preserve">HYPOTHETICAL MAGNAPORTHE GRISEA UNNAMED PRODUCT MUS MUSCULUS YERSINIA PESTIS KIM PLASMODIUM FALCIPARUM 3D7 MALARIA PARASITE PUTATIVE GLYCINE-RICH CELL WALL STRUCTURAL ORYZA SATIVA JAPONICA CULTIVAR-GROUP GLYCINE RICH CULTIVAR GROUP PREDICTED ARABIDOPSIS THALIANA PROLINE-RICH EXTENSIN-LIKE FAMILY PROLINE EXTENSIN LIKE CRYPTOSPORIDIUM PARVUM DROSOPHILA MELANOGASTER IMMUNOGLOBULIN HEAVY CHAIN VARIABLE REGION HOMO SAPIENS CDS CAENORHABDITIS ELEGANS BACILLUS ANTHRACIS STR. MEMBRANE 'AMES ANCESTOR' GAMMA ATPASES INVOLVED IN CHROMOSOME PARTITIONING THERMOANAEROBACTER TENGCONGENSIS MB4 </t>
  </si>
  <si>
    <t>Comments</t>
  </si>
  <si>
    <t>CYTOCHROME C OXIDASE POLYPEPTIDE VB</t>
  </si>
  <si>
    <t>unknown</t>
  </si>
  <si>
    <t>ribosomal protein L36</t>
  </si>
  <si>
    <t>mitochondrial product</t>
  </si>
  <si>
    <t>Transposase</t>
  </si>
  <si>
    <t>AGMM-PLATE09_B05</t>
  </si>
  <si>
    <t>AGMM-PLATE11_C08</t>
  </si>
  <si>
    <t>AgM_P0_12A</t>
  </si>
  <si>
    <t>AgM_P0_1A</t>
  </si>
  <si>
    <t>AgM_P0_1D</t>
  </si>
  <si>
    <t>AgM_P0_2C</t>
  </si>
  <si>
    <t>AgM_P0_3H</t>
  </si>
  <si>
    <t>AgM_P0_4B</t>
  </si>
  <si>
    <t>AgM_P0_4C</t>
  </si>
  <si>
    <t>AgM_P0_4E</t>
  </si>
  <si>
    <t>AgM_P0_4F</t>
  </si>
  <si>
    <t>AgM_P0_6D</t>
  </si>
  <si>
    <t>AgM_P0_9E</t>
  </si>
  <si>
    <t>AgM_P1_A11</t>
  </si>
  <si>
    <t>AgM_P1_C11</t>
  </si>
  <si>
    <t>AgM_P1_C6</t>
  </si>
  <si>
    <t>AgM_P1_C7</t>
  </si>
  <si>
    <t>AgM_P1_D11</t>
  </si>
  <si>
    <t>AgM_P1_F7</t>
  </si>
  <si>
    <t>AGML-PLATE01_G07</t>
  </si>
  <si>
    <t>AgM_P1_H1</t>
  </si>
  <si>
    <t>AgM_P1_H7</t>
  </si>
  <si>
    <t>AGML-PLATE02_A04</t>
  </si>
  <si>
    <t>AgM_P2_A5</t>
  </si>
  <si>
    <t>AgM_P2_C12</t>
  </si>
  <si>
    <t>AGML-PLATE02_D02</t>
  </si>
  <si>
    <t>AGMM-PLATE05_G11</t>
  </si>
  <si>
    <t>AGML-PLATE01_F01</t>
  </si>
  <si>
    <t>AGML-PLATE02_F06</t>
  </si>
  <si>
    <t>AGMM-PLATE09_F02</t>
  </si>
  <si>
    <t>AGMM-PLATE08_H06</t>
  </si>
  <si>
    <t>AGMM-PLATE10_G02</t>
  </si>
  <si>
    <t>AGMM-PLATE04_C09</t>
  </si>
  <si>
    <t>AGMM-PLATE08_H03</t>
  </si>
  <si>
    <t>AGMM-PLATE05_E02</t>
  </si>
  <si>
    <t>AGMM-PLATE09_F03</t>
  </si>
  <si>
    <t>AGMM-PLATE09_C08</t>
  </si>
  <si>
    <t>AGMM-PLATE08_E05</t>
  </si>
  <si>
    <t>AGMM-PLATE08_E09</t>
  </si>
  <si>
    <t>AGMM-PLATE10_B09</t>
  </si>
  <si>
    <t>AGMM-PLATE11_D01</t>
  </si>
  <si>
    <t>AGMS-PLATE07_C01</t>
  </si>
  <si>
    <t>AGMS03</t>
  </si>
  <si>
    <t>AgM_P0_10B</t>
  </si>
  <si>
    <t>AgM_P0_10D</t>
  </si>
  <si>
    <t>AgM_P0_10F</t>
  </si>
  <si>
    <t>AgM_P0_10G</t>
  </si>
  <si>
    <t>AgM_P0_10H</t>
  </si>
  <si>
    <t>AgM_P0_11B</t>
  </si>
  <si>
    <t>AgM_P0_11C</t>
  </si>
  <si>
    <t>AgM_P0_11D</t>
  </si>
  <si>
    <t>AgM_P0_11E</t>
  </si>
  <si>
    <t>AgM_P0_11F</t>
  </si>
  <si>
    <t>AgM_P0_11G</t>
  </si>
  <si>
    <t>AgM_P0_12B</t>
  </si>
  <si>
    <t>AgM_P0_12E</t>
  </si>
  <si>
    <t>AgM_P0_12H</t>
  </si>
  <si>
    <t>AgM_P0_1C</t>
  </si>
  <si>
    <t>AgM_P0_1G</t>
  </si>
  <si>
    <t>AgM_P0_2A</t>
  </si>
  <si>
    <t>AgM_P0_2E</t>
  </si>
  <si>
    <t>AgM_P0_2F</t>
  </si>
  <si>
    <t>AgM_P0_3B</t>
  </si>
  <si>
    <t>AgM_P0_3G</t>
  </si>
  <si>
    <t>AgM_P0_4A</t>
  </si>
  <si>
    <t>AgM_P0_4G</t>
  </si>
  <si>
    <t>AgM_P0_5B</t>
  </si>
  <si>
    <t>AgM_P0_5C</t>
  </si>
  <si>
    <t>AgM_P0_5D</t>
  </si>
  <si>
    <t>AgM_P0_5F</t>
  </si>
  <si>
    <t>AgM_P0_5G</t>
  </si>
  <si>
    <t>AgM_P0_5H</t>
  </si>
  <si>
    <t>AgM_P0_6E</t>
  </si>
  <si>
    <t>AgM_P0_6F</t>
  </si>
  <si>
    <t>AgM_P0_6G</t>
  </si>
  <si>
    <t>AgM_P0_7A</t>
  </si>
  <si>
    <t>AgM_P0_7B</t>
  </si>
  <si>
    <t>AgM_P0_7C</t>
  </si>
  <si>
    <t>AgM_P0_7D</t>
  </si>
  <si>
    <t>AgM_P0_7E</t>
  </si>
  <si>
    <t>AgM_P0_7F</t>
  </si>
  <si>
    <t>AgM_P0_7G</t>
  </si>
  <si>
    <t>AgM_P0_7H</t>
  </si>
  <si>
    <t>AgM_P0_8A</t>
  </si>
  <si>
    <t>AgM_P0_8B</t>
  </si>
  <si>
    <t>AgM_P0_8C</t>
  </si>
  <si>
    <t>AgM_P0_8F</t>
  </si>
  <si>
    <t>AgM_P0_8G</t>
  </si>
  <si>
    <t>AgM_P0_8H</t>
  </si>
  <si>
    <t>AgM_P0_9B</t>
  </si>
  <si>
    <t>AgM_P0_9C</t>
  </si>
  <si>
    <t>AgM_P0_9D</t>
  </si>
  <si>
    <t>AgM_P0_9H</t>
  </si>
  <si>
    <t>AgM_P1_F12</t>
  </si>
  <si>
    <t>AgM_P1_H9</t>
  </si>
  <si>
    <t>AgM_P2_A9</t>
  </si>
  <si>
    <t>AGML07</t>
  </si>
  <si>
    <t>AGML13</t>
  </si>
  <si>
    <t>AGML-PLATE01_B11</t>
  </si>
  <si>
    <t>AGML-PLATE01_B12</t>
  </si>
  <si>
    <t>AGML-PLATE01_C10</t>
  </si>
  <si>
    <t>AGML-PLATE01_D02</t>
  </si>
  <si>
    <t>AGML-PLATE01_E11</t>
  </si>
  <si>
    <t>AGML-PLATE01_H06</t>
  </si>
  <si>
    <t>AGML-PLATE02_B03</t>
  </si>
  <si>
    <t>AGML-PLATE02_B07</t>
  </si>
  <si>
    <t>AGML-PLATE02_C01</t>
  </si>
  <si>
    <t>AGML-PLATE02_D01</t>
  </si>
  <si>
    <t>AGML-PLATE02_D03</t>
  </si>
  <si>
    <t>AGML-PLATE02_D06</t>
  </si>
  <si>
    <t>AGML-PLATE02_D09</t>
  </si>
  <si>
    <t>AGML-PLATE02_E12</t>
  </si>
  <si>
    <t>AGML-PLATE02_G01</t>
  </si>
  <si>
    <t>AGML-PLATE02_G05</t>
  </si>
  <si>
    <t>AGML-PLATE02_G12</t>
  </si>
  <si>
    <t>AGML-PLATE02_H12</t>
  </si>
  <si>
    <t>AGMM20</t>
  </si>
  <si>
    <t>AGMM24</t>
  </si>
  <si>
    <t>AGMM-PLATE03_A02</t>
  </si>
  <si>
    <t>AGMM-PLATE03_A11</t>
  </si>
  <si>
    <t>AGMM-PLATE03_B12</t>
  </si>
  <si>
    <t>AGMM-PLATE03_C07</t>
  </si>
  <si>
    <t>AGMM-PLATE03_D02</t>
  </si>
  <si>
    <t>AGMM-PLATE03_E09</t>
  </si>
  <si>
    <t>AGMM-PLATE03_E10</t>
  </si>
  <si>
    <t>AGMM-PLATE03_F09</t>
  </si>
  <si>
    <t>AGMM-PLATE03_G09</t>
  </si>
  <si>
    <t>AGMM-PLATE03_G11</t>
  </si>
  <si>
    <t>AGMM-PLATE03_H01</t>
  </si>
  <si>
    <t>AGMM-PLATE03_H06</t>
  </si>
  <si>
    <t>AGMM-PLATE03_H09</t>
  </si>
  <si>
    <t>AGMM-PLATE03_H11</t>
  </si>
  <si>
    <t>AGMM-PLATE04_A10</t>
  </si>
  <si>
    <t>AGMM-PLATE04_B02</t>
  </si>
  <si>
    <t>AGMM-PLATE04_B10</t>
  </si>
  <si>
    <t>AGMM-PLATE04_C01</t>
  </si>
  <si>
    <t>AGMM-PLATE04_C04</t>
  </si>
  <si>
    <t>AGMM-PLATE04_E04</t>
  </si>
  <si>
    <t>AGMM-PLATE04_E12</t>
  </si>
  <si>
    <t>AGMM-PLATE04_F01</t>
  </si>
  <si>
    <t>AGMM-PLATE04_F07</t>
  </si>
  <si>
    <t>AGMM-PLATE04_F11</t>
  </si>
  <si>
    <t>AGMM-PLATE04_F12</t>
  </si>
  <si>
    <t>AGMM-PLATE04_G01</t>
  </si>
  <si>
    <t>AGMM-PLATE04_G02</t>
  </si>
  <si>
    <t>AGMM-PLATE04_G04</t>
  </si>
  <si>
    <t>AGMM-PLATE04_G12</t>
  </si>
  <si>
    <t>AGMM-PLATE04_H03</t>
  </si>
  <si>
    <t>AGMM-PLATE05_A01</t>
  </si>
  <si>
    <t>AGMM-PLATE05_A09</t>
  </si>
  <si>
    <t>AGMM-PLATE05_B07</t>
  </si>
  <si>
    <t>AGMM-PLATE05_B12</t>
  </si>
  <si>
    <t>AGMM-PLATE05_C04</t>
  </si>
  <si>
    <t>AGMM-PLATE05_C05</t>
  </si>
  <si>
    <t>AGMM-PLATE05_C08</t>
  </si>
  <si>
    <t>AGMM-PLATE05_C12</t>
  </si>
  <si>
    <t>AGMM-PLATE05_D07</t>
  </si>
  <si>
    <t>AGMM-PLATE05_D08</t>
  </si>
  <si>
    <t>AGMM-PLATE05_D11</t>
  </si>
  <si>
    <t>AGMM-PLATE05_E05</t>
  </si>
  <si>
    <t>AGMM-PLATE05_E06</t>
  </si>
  <si>
    <t>AGMM-PLATE05_F07</t>
  </si>
  <si>
    <t>AGMM-PLATE05_H01</t>
  </si>
  <si>
    <t>AGMM-PLATE05_H02</t>
  </si>
  <si>
    <t>AGMM-PLATE05_H04</t>
  </si>
  <si>
    <t>AGMM-PLATE05_H05</t>
  </si>
  <si>
    <t>AGMM-PLATE05_H09</t>
  </si>
  <si>
    <t>AGMM-PLATE05_H11</t>
  </si>
  <si>
    <t>AGMM-PLATE08_A01</t>
  </si>
  <si>
    <t>AGMM-PLATE08_A07</t>
  </si>
  <si>
    <t>AGMM-PLATE08_A08</t>
  </si>
  <si>
    <t>AGMM-PLATE08_A11</t>
  </si>
  <si>
    <t>AGMM-PLATE08_B08</t>
  </si>
  <si>
    <t>AGMM-PLATE08_B09</t>
  </si>
  <si>
    <t>AGMM-PLATE08_B11</t>
  </si>
  <si>
    <t>AGMM-PLATE08_B12</t>
  </si>
  <si>
    <t>AGMM-PLATE08_C02</t>
  </si>
  <si>
    <t>AGMM-PLATE08_D01</t>
  </si>
  <si>
    <t>AGMM-PLATE08_D06</t>
  </si>
  <si>
    <t>AGMM-PLATE08_D07</t>
  </si>
  <si>
    <t>AGMM-PLATE08_D10</t>
  </si>
  <si>
    <t>AGMM-PLATE08_D11</t>
  </si>
  <si>
    <t>AGMM-PLATE08_E06</t>
  </si>
  <si>
    <t>AGMM-PLATE08_E11</t>
  </si>
  <si>
    <t>AGMM-PLATE08_F03</t>
  </si>
  <si>
    <t>AGMM-PLATE08_F04</t>
  </si>
  <si>
    <t>AGMM-PLATE08_F06</t>
  </si>
  <si>
    <t>AGMM-PLATE08_F09</t>
  </si>
  <si>
    <t>AGMM-PLATE08_F11</t>
  </si>
  <si>
    <t>AGMM-PLATE08_G07</t>
  </si>
  <si>
    <t>AGMM-PLATE08_G08</t>
  </si>
  <si>
    <t>AGMM-PLATE08_G10</t>
  </si>
  <si>
    <t>AGMM-PLATE08_G12</t>
  </si>
  <si>
    <t>AGMM-PLATE08_H02</t>
  </si>
  <si>
    <t>AGMM-PLATE08_H08</t>
  </si>
  <si>
    <t>AGMM-PLATE08_H11</t>
  </si>
  <si>
    <t>AGMM-PLATE09_A02</t>
  </si>
  <si>
    <t>AGMM-PLATE09_A03</t>
  </si>
  <si>
    <t>AGMM-PLATE09_A04</t>
  </si>
  <si>
    <t>AGMM-PLATE09_B04</t>
  </si>
  <si>
    <t>AGMM-PLATE09_B08</t>
  </si>
  <si>
    <t>AGMM-PLATE09_C02</t>
  </si>
  <si>
    <t>AGMM-PLATE09_C04</t>
  </si>
  <si>
    <t>AGMM-PLATE09_D02</t>
  </si>
  <si>
    <t>AGMM-PLATE09_D03</t>
  </si>
  <si>
    <t>AGMM-PLATE09_E11</t>
  </si>
  <si>
    <t>AGMM-PLATE09_G01</t>
  </si>
  <si>
    <t>AGMM-PLATE09_G02</t>
  </si>
  <si>
    <t>AGMM-PLATE09_G04</t>
  </si>
  <si>
    <t>AGMM-PLATE09_G10</t>
  </si>
  <si>
    <t>AGMM-PLATE09_G11</t>
  </si>
  <si>
    <t>AGMM-PLATE09_H09</t>
  </si>
  <si>
    <t>AGMM-PLATE10_A02</t>
  </si>
  <si>
    <t>AGMM-PLATE10_A03</t>
  </si>
  <si>
    <t>AGMM-PLATE10_A10</t>
  </si>
  <si>
    <t xml:space="preserve">3-OXOACYL-ACYL-CARRIER REDUCTASE PRECURSOR PLASMODIUM YOELII 3 OXOACYL-ACYL-CARRIER OXOACYL ACYL-CARRIER ACYL CARRIER HYPOTHETICAL CANDIDA ALBICANS ORYZA SATIVA JAPONICA CULTIVAR-GROUP CULTIVAR GROUP FALCIPARUM 3D7 SMALL HEAT SHOCK VENTURIA CANESCENS TRYPANOSOMA BRUCEI PUTATIVE KINASE CAENORHABDITIS ELEGANS UNNAMED PRODUCT TETRAODON NIGROVIRIDIS SACCHAROMYCES CEREVISIAE PROBABLE MEMBRANE YDL172C YEAST X-LINKED RETINOPATHY C-TERMINAL CLONE XEH.8C HUMAN FRAGMENT SAPIENS X LINKED C TERMINAL ENDO-1 4-BETA-GLUCANASE ARABIDOPSIS THALIANA GLYCOSYL HYDROLASE FAMILY 9 ENDO 1 4 BETA-GLUCANASE BETA GLUCANASE MUS MUSCULUS CHLORELLA VULGARIS 41C CHLOROPLAST ORF41C PLEKHH2 HOMO SIMILAR TO ZEA MAYS PERMEASE IMPORTED EXOSTOSIN </t>
  </si>
  <si>
    <t xml:space="preserve">UNNAMED PRODUCT TETRAODON NIGROVIRIDIS MUS MUSCULUS UNKNOWN HOMO SAPIENS RIKEN CDNA HYPOTHETICAL LEISHMANIA MAJOR NITRIC-OXIDE REDUCTASE SUBUNIT B PROPIONIBACTERIUM ACNES NITRIC OXIDE SYC1311_D SYNECHOCOCCUS ELONGATUS PCC 6301 PREDICTED MEMBRANE 7942 </t>
  </si>
  <si>
    <t xml:space="preserve">HYPOTHETICAL PLASMODIUM FALCIPARUM 3D7 CONSERVED UNNAMED PRODUCT ARABIDOPSIS THALIANA HOMO SAPIENS CAENORHABDITIS BRIGGSAE PREDICTED NEUROSPORA CRASSA BERGHEI UNKNOWN FOR MGC DANIO RERIO RATTUS NORVEGICUS AA2 245 CHABAUDI TAOK2 ENTAMOEBA HISTOLYTICA HM-1 IMSS HM 1 RBBP6 GIBBERELLA ZEAE PH-1 AB1 042 013 </t>
  </si>
  <si>
    <t xml:space="preserve">SUPER CYSTEINE RICH SCRP HOMO SAPIENS HYPOTHETICAL CANDIDA ALBICANS CTG26 ALTERNATE OPEN READING FRAME </t>
  </si>
  <si>
    <t>ribosomal YL10 protein homologue</t>
  </si>
  <si>
    <t xml:space="preserve">TRANSLATION INITIATION FACTOR 5A </t>
  </si>
  <si>
    <t>NADH:ubiquinone oxidoreductase, NDUFA10/42kDa subuni</t>
  </si>
  <si>
    <t xml:space="preserve">3p of Carbonic anhydrase </t>
  </si>
  <si>
    <t>3p of profilin</t>
  </si>
  <si>
    <t>h/metabolism, carbohydrate</t>
  </si>
  <si>
    <t>h/metabolism, energy metabolism</t>
  </si>
  <si>
    <t>h/metabolism, oxidant metabolism</t>
  </si>
  <si>
    <t>unknown conserved</t>
  </si>
  <si>
    <t>former ENSANGP00000020786 - check</t>
  </si>
  <si>
    <t>transposase</t>
  </si>
  <si>
    <t>te</t>
  </si>
  <si>
    <t>iron-sulfur cluster-binding protein</t>
  </si>
  <si>
    <t>s/hyp10</t>
  </si>
  <si>
    <t>3p of GSG6 PROTEIN</t>
  </si>
  <si>
    <t>s/mucin g3</t>
  </si>
  <si>
    <t xml:space="preserve">s/mucin   </t>
  </si>
  <si>
    <t xml:space="preserve">ANOPHELES GAMBIAE STR. PEST CG6963-PE ISOFORM E DROSOPHILA MELANOGASTER CG6963-PB CG6963-PD D UNNAMED PRODUCT TETRAODON NIGROVIRIDIS GIARDIA LAMBLIA ATCC NODULIN-20 GLYCINE MAX PRECURSOR SOYBEAN NO20_SOYBN NODULIN 20 N-20 N HYPOTHETICAL GLOEOBACTER VIOLACEUS PCC 7421 MAGNAPORTHE GRISEA SIMILAR TO SNAP-25-INTERACTING RATTUS NORVEGICUS SNAP 25-INTERACTING INTERACTING DICTYOSTELIUM DISCOIDEUM SLIME MOLD . PHOSPHATIDYLINOSITOL 3-KINASE PI3-KINASE PTDINS-3-KINASE PI3K KINASE PI3 PTDINS POSSIBLE 6-PHOSPHOFRUCTO-2-KINASE FRUCTOSE-2 6-BISPHOSPHATASE LEISHMANIA MAJOR 6 PHOSPHOFRUCTO-2-KINASE PHOSPHOFRUCTO 2-KINASE FRUCTOSE BISPHOSPHATASE SCARECROW IMPORTED ARABIDOPSIS THALIANA PUTATIVE SCARECROW1 TRANSCRIPTION FACTOR SICKLE TAIL-A MUS MUSCULUS TAIL A TAIL-B B PREDICTED TROGLODYTES DOPAMINE RECEPTOR D4 GALLUS </t>
  </si>
  <si>
    <t xml:space="preserve">ANOPHELES GAMBIAE </t>
  </si>
  <si>
    <t xml:space="preserve">ANOPHELES GAMBIAE PUTATIVE POLYPROTEIN ORYZA SATIVA </t>
  </si>
  <si>
    <t xml:space="preserve">TRANSPOSASE INACTIVATED DERIVATIVES TNPA FAMILY BURKHOLDERIA CEPACIA PSEUDOMONAS PUTIDA SP. AERUGINOSA UCBPP-PA14 UCBPP PA14 PUTATIVE RESINOVORANS POLAROMONAS HUTTIENSIS RALSTONIA EUTROPHA XANTHOMONAS AXONOPODIS PV. CITRI STR. 306 ISSOD9 SHEWANELLA ONEIDENSIS MR-1 CAMPESTRIS VESICATORIA ATCC ALCALIGENES FAECALIS METHYLOBACILLUS FLAGELLATUS KT FLUORESCENS METALLIDURANS CH34 </t>
  </si>
  <si>
    <t xml:space="preserve">VACUOLAR ATPASE M9 AEDES ALBOPICTUS ANOPHELES GAMBIAE STR. PEST SUBUNIT M9.7 MANDUCA SEXTA CG7625-PA DROSOPHILA MELANOGASTER PSEUDOOBSCURA CG1268-PA ACYL-COA SYNTHETASES AMP-FORMING AMP-ACID LIGASES II AZOTOBACTER VINELANDII ACYL COA AMP FORMING ACID HYPOTHETICAL RHODOPIRELLULA BALTICA SH 1 PIRELLULA SP. </t>
  </si>
  <si>
    <t xml:space="preserve">ANOPHELES GAMBIAE STR. PEST CG6020-PA DROSOPHILA MELANOGASTER PSEUDOOBSCURA HYPOTHETICAL IMPORTED NEUROSPORA CRASSA CRYPTOCOCCUS NEOFORMANS VAR. PUTATIVE SERINE THREONINE-SPECIFIC KINASE ORYZA SATIVA JAPONICA CULTIVAR-GROUP THREONINE SPECIFIC CULTIVAR GROUP LEPA PREDICTED SIMILAR TO TRANSCRIPT EXPRESSED DURING HEMATOPOIESIS 2 GALLUS BZIP ARABIDOPSIS THALIANA TROGLODYTES READING FRAME 19 MUS MUSCULUS KINEOCOCCUS RADIOTOLERANS MULTI RESISTANCE ABC TRANSPORTER NDA </t>
  </si>
  <si>
    <t xml:space="preserve">HYPOTHETICAL HHV6GP101 HUMAN HERPESVIRUS 6 UNNAMED PRODUCT HOMO SAPIENS RIKEN CDNA MUSCULUS UNKNOWN MUS XYLELLA FASTIDIOSA 9A5C IMPORTED STRAIN SEVEN TRANSMEMBRANE HELIX RECEPTOR PROBABLE INTEGRAL MEMBRANE MALARIA PARASITE PLASMODIUM FALCIPARUM 3D7 TETRAODON NIGROVIRIDIS BERGHEI HC1 MOUSE FRAGMENT </t>
  </si>
  <si>
    <t xml:space="preserve">ANOPHELES GAMBIAE PUTATIVE SALIVARY SG2B STEPHENSI STR. PEST HYPOTHETICAL MAGNAPORTHE GRISEA GSG2-LIKE GSG2 LIKE ENVELOPE GLYCOPROTEIN HUMAN IMMUNODEFICIENCY VIRUS TYPE 1 ORYZA SATIVA JAPONICA CULTIVAR-GROUP CULTIVAR GROUP </t>
  </si>
  <si>
    <t xml:space="preserve">ANOPHELES GAMBIAE STR. PEST ISOFORM B DROSOPHILA MELANOGASTER G F C A STRETCHIN-MLCK STRETCHIN MLCK MYOSIN LIGHT CHAIN KINASE ISOFORM-II II ISOFORM-I I NEURONAL 1 UNNAMED PRODUCT TETRAODON NIGROVIRIDIS KMLS_BOVIN SMOOTH MUSCLE CONTAINS TELOKIN MYOSIN-LIGHT-CHAIN EC BOVINE HOMOLOG BOS TAURUS LIGHT-CHAIN LIGNT POLYPEPTIDE HOMO SAPIENS 2 SIMILAR TO MYLK RATTUS NORVEGICUS MUS MUSCULUS PREDICTED RELATED PAN TROGLODYTES 5 3B 3A </t>
  </si>
  <si>
    <t xml:space="preserve">UNNAMED PRODUCT TETRAODON NIGROVIRIDIS ANOPHELES GAMBIAE STR. PEST DANIO RERIO MUS MUSCULUS </t>
  </si>
  <si>
    <t xml:space="preserve">ANOPHELES GAMBIAE STR. PEST UNKNOWN ORYZA SATIVA JAPONICA CULTIVAR-GROUP CULTIVAR GROUP PREDICTED SIMILAR TO 60S RIBOSOMAL L7 HOMO SAPIENS HYPOTHETICAL SULFOLOBUS TOKODAII 7 </t>
  </si>
  <si>
    <t xml:space="preserve">ANOPHELES GAMBIAE CG6610-PA DROSOPHILA MELANOGASTER PSEUDOOBSCURA HOMOLOG U6 SMALL NUCLEAR RNA ASSOCIATED MUS MUSCULUS CEREVISIAE HOMO SAPIENS PREDICTED SIMILAR TO PAN TROGLODYTES SNRNA-ASSOCIATED SM-LIKE 5 HYPOTHETICAL PONGO PYGMAEUS LSM5_HUMAN LSM5_MOUSE UNNAMED PRODUCT SNRNA SM LIKE XENOPUS LAEVIS LSM5 GALLUS TETRAODON NIGROVIRIDIS APIS MELLIFERA RIKEN CDNA RATTUS NORVEGICUS CAENORHABDITIS BRIGGSAE STR. PEST PUTATIVE ORYZA SATIVA JAPONICA CULTIVAR-GROUP CULTIVAR GROUP 5Q51+LSM-4 ELEGANS 5Q51+LSM PROTEIN-LIKE ARABIDOPSIS THALIANA RIBONUCLEOPROTEIN SNRNP USTILAGO MAYDIS 521 MAGNAPORTHE GRISEA PROBABLE NEUROSPORA CRASSA CONSERVED GIBBERELLA ZEAE PH-1 ASPERGILLUS NIDULANS FGSC A4 LSM5. DOMAIN CRYPTOSPORIDIUM PARVUM RECEPTOR-LIKE KINASE RECEPTOR RIBONUCLEAR PLASMODIUM CHABAUDI HOMINIS TAU-TUBULIN FAMILY MEMBER YMX8_CAEEL SERINE THREONINE-PROTEIN TUBULIN THREONINE </t>
  </si>
  <si>
    <t xml:space="preserve">ANOPHELES GAMBIAE STR. PEST RIBOSOMAL S4 SPODOPTERA FRUGIPERDA BOMBYX MORI FRUIT FLY DROSOPHILA MELANOGASTER RS4_DROME 40S ISOFORM A PSEUDOOBSCURA ICTALURUS PUNCTATUS RS4_ICTPU UNNAMED PRODUCT TETRAODON NIGROVIRIDIS IXODES PACIFICUS UNKNOWN FOR MGC XENOPUS LAEVIS MUSCULUS CAT FRAGMENT GALLUS CYTOSOLIC CHICKEN RS4_CHICK MUS X-LINKED RATTUS NORVEGICUS HOMO SAPIENS MESOCRICETUS SP. R3HU4X HUMAN R3RT4 VALIDATED RAT HAMSTER WESTERN WILD MOUSE RPS4X MACACA FUSCATA CERCOPITHECUS AETHIOPS RS4X_FELCA RS4X_MESAU PREDICTED SIMILAR TO X PAN TROGLODYTES RIKEN CDNA DANIO RERIO TROPICALIS CRICETULUS GRISEUS RS4_CRIGR Y MONODELPHIS DOMESTICA RS4Y_MONDO </t>
  </si>
  <si>
    <t>Mitochondrial</t>
  </si>
  <si>
    <t>3p</t>
  </si>
  <si>
    <t>5p</t>
  </si>
  <si>
    <t>Direct CDS hit</t>
  </si>
  <si>
    <t>hypothetical protein 10</t>
  </si>
  <si>
    <t>hyp 8.2</t>
  </si>
  <si>
    <t>GSG9 PROTEIN family based on female EST match</t>
  </si>
  <si>
    <t>calreticulin based on ag-cds</t>
  </si>
  <si>
    <t>s/8.2</t>
  </si>
  <si>
    <t>G9 family</t>
  </si>
  <si>
    <t>Mucins</t>
  </si>
  <si>
    <t>Maltase</t>
  </si>
  <si>
    <t>Immunity</t>
  </si>
  <si>
    <t>Calreticulin</t>
  </si>
  <si>
    <t>Antigen 5 family</t>
  </si>
  <si>
    <t>Probable immunity-related peptides</t>
  </si>
  <si>
    <t>hyp12</t>
  </si>
  <si>
    <t xml:space="preserve">SURFACE ANTIGEN N2-DIMETHYLGUANOSINE TRNA METHYLTRANSFERASE-LIKE MUS MUSCULUS DIMETHYLGUANOSINE METHYLTRANSFERASE LIKE SIMILAR TO C1ORF25 RATTUS NORVEGICUS HYPOTHETICAL ORYZA SATIVA JAPONICA CULTIVAR-GROUP CULTIVAR GROUP AGGLUTININ-LIKE SEQUENCE 3 CANDIDA ALBICANS AGGLUTININ ALS3-LIKE FRAGMENT DROSOPHILA PSEUDOOBSCURA CRYPTOSPORIDIUM HOMINIS WITH DIVERGENT HOMOLOG ONLY IN PLASMODIUM PARVUM PREDICTED CDS PUTATIVE CAENORHABDITIS ELEGANS Y38F2AR.6 TOXR-REGULATED LIPOPROTEIN PHOTOBACTERIUM PROFUNDUM SS9 REGULATED DNA REPAIR ORF1 STREPTOMYCES HYGROSCOPICUS ALPHA COLLAGEN FAMILY MEMBER IMPORTED UTY-PROV XENOPUS LAEVIS UTY PROV UNKNOWN ARABIDOPSIS THALIANA EXPRESSED VIRF-INTERACTING FIP1 DOMAIN-CONTAINING VIRF INTERACTING DOMAIN CONTAINING MUCIN 5 HOMO SAPIENS AMINO ACID TRANSPORTERS RALSTONIA EUTROPHA UNNAMED PRODUCT TETRAODON NIGROVIRIDIS </t>
  </si>
  <si>
    <t xml:space="preserve">OLFACTORY RECEPTOR 63 MUS MUSCULUS ODORANT M4 OLFR63 Q8VBW9 OL63_MOUSE RATTUS NORVEGICUS HYPOTHETICAL ENTAMOEBA HISTOLYTICA HM-1 IMSS HM 1 UNNAMED PRODUCT PREDICTED SIMILAR TO 10H3 PAN TROGLODYTES XENOPUS LAEVIS AFRICAN CLAWED FROG . DNA LIGASE I EC POLYDEOXYRIBONUCLEOTIDE SYNTHASE ATP DICTYOSTELIUM DISCOIDEUM CANDIDA ALBICANS POTENTIAL REGULATOR SALT TOLERANCE CAENORHABDITIS BRIGGSAE PLASMODIUM BERGHEI COMPONENT SMALL RIBOSOMAL SUBUNIT SSU PROCESSOSOME THAT CONTAINS U3 SNORNA MICROTUBULE BINDING PROTEINS SACCHAROMYCES CEREVISIAE SIK1_YEAST SIK1 NUCLEOLAR NOP56 SIK1P YLR197W YEAST DROSOPHILA MELANOGASTER ARABIDOPSIS THALIANA CAX4P 3 SHORT STRETCHES AMINO ACIDS ARE CHARACTERISTIC FOR A WIDE VARIETY PHOSPHATASES INCLUDING LIPID PHOSPHATASE. PROBABLE MEMBRANE YGR036C CAX4_YEAST DOLICHYLDIPHOSPHATASE DOLICHYL PYROPHOSPHATE PHOSPHATASE PUTATIVE POLYPHOSPHATE SYNTHETASE TOXOPLASMA GONDII OPACITY OPAB PRECURSOR NEISSERIA GONORRHOEAE STRAIN MS11 FRAGMENTS ELEGANS MAGNAPORTHE GRISEA MICROTUBULE-ASSOCIATED 1B ISOFORM HOMO SAPIENS MAPB_HUMAN MAP MAP1 LIGHT CHAIN LC1 ASSOCIATED 2 TROPICALIS </t>
  </si>
  <si>
    <t xml:space="preserve">HYPOTHETICAL PLASMODIUM FALCIPARUM 3D7 CYTOCHROME-C OXIDASE EC CHAIN III HERPETOMONAS MUSCARUM MITOCHONDRION CYTOCHROME C SUBUNIT MEGASELIAE FERROPLASMA ACIDARMANUS MARIADEANEI RHODOPSIN-LIKE GPCR SUPERFAMILY CAENORHABDITIS ELEGANS RHODOPSIN LIKE PUTATIVE UNC50 ORYZA SATIVA JAPONICA CULTIVAR-GROUP CULTIVAR GROUP MJECL39 METHANOCALDOCOCCUS JANNASCHII DSM 2661 PREDICTED CODING REGION YZ39_METJA METHANOCOCCUS PLASMID PURB800 TRANSKETOLASE RALSTONIA METALLIDURANS CH34 WITH SIGNAL PEPTIDE CRYPTOSPORIDIUM PARVUM BRIGGSAE </t>
  </si>
  <si>
    <t xml:space="preserve">PUTATIVE TRANSLATION FACTOR SUA5 MAGNETOSPIRILLUM MAGNETOTACTICUM MS-1 MS 1 PROBABLE MEMBRANE MYCOBACTERIUM TUBERCULOSIS H37RV BOVIS HYPOTHETICAL STRAIN POLYCYSTIN-1 RATTUS NORVEGICUS POLYCYSTIN FUMARATE REDUCTASE FLAVOPROTEIN SUBUNIT SHEWANELLA ONEIDENSIS MR-1 </t>
  </si>
  <si>
    <t xml:space="preserve">SAPIENS CG10958-LIKE UNNAMED PRODUCT HYPOTHETICAL HOMO PREDICTED TROGLODYTES </t>
  </si>
  <si>
    <t xml:space="preserve">PUTATIVE PLASMODIUM CHABAUDI DOLICHOL-PHOSPHATE MANNOSE MANNOSYLTRANSFERASE ENCEPHALITOZOON CUNICULI GB-M1 DOLICHOL PHOSPHATE M1 BERGHEI FALCIPARUM CG1 PROTEIN-RELATED YOELII RELATED CALPAIN 1 FAMILY MEMBER CAENORHABDITIS ELEGANS IMPORTED </t>
  </si>
  <si>
    <t xml:space="preserve">HEAVY CHAIN VDJ1 HYPOTHETICAL RATTUS NORVEGICUS DEVELOPMENTALLY REGULATED TPO1 GIARDIA LAMBLIA ATCC </t>
  </si>
  <si>
    <t xml:space="preserve">DROSOPHILA PSEUDOOBSCURA HYPOTHETICAL CRYPTOCOCCUS NEOFORMANS VAR. OLFACTORY RECEPTOR 21 ALLIGATOR MISSISSIPPIENSIS PREDICTED MAGNAPORTHE GRISEA CAENORHABDITIS BRIGGSAE YHL008CP SACCHAROMYCES CEREVISIAE YHL008C YEAST YHA8_YEAST 70.0 KDA PRPS4-STE20 INTERGENIC REGION PRPS4 STE20 UNKNOWN ORYZA SATIVA JAPONICA CULTIVAR-GROUP CULTIVAR GROUP UNLIKELY TRYPANOSOMA BRUCEI GIBBERELLA ZEAE PH-1 ANOPHELES GAMBIAE ENCEPHALITOZOON CUNICULI GB-M1 DICTYOSTELIUM DISCOIDEUM SEED-BORNE MOSAIC VIRUS SEED BORNE </t>
  </si>
  <si>
    <t xml:space="preserve">CYTOCHROME C OXIDASE SUBUNIT II ANOPHELES PULLUS LESTERI SINENSIS JN03 1 MINIMUS VARUNA A ACONITUS CF. RIVULORUM CHAGASIA BATHANA ACANTHOTORYNUS PSEUDOPUNCTIPENNIS PUNCTIPENNIS FREEBORNI EISENI COUSTANI ATROPOS STEPHENSI SUNDAICUS SUBPICTUS FUNESTUS FARAUTI DIRUS </t>
  </si>
  <si>
    <t xml:space="preserve">YMF77 TETRAHYMENA THERMOPHILA HYPOTHETICAL LACTOBACILLUS GASSERI PREDICTED METAL-DEPENDENT RNASE CONSISTS A METALLO-BETA-LACTAMASE DOMAIN AN RNA-BINDING KH PEDIOCOCCUS PENTOSACEUS ATCC METAL DEPENDENT METALLO BETA-LACTAMASE BETA LACTAMASE RNA BINDING STREPTOCOCCUS SUIS 89 1591 </t>
  </si>
  <si>
    <t xml:space="preserve">REPEAT MOTIF BDRA6- BORRELIA TURICATAE BDRA6 BETA-PRIME SUBUNIT RNA POLYMERASE CANDIDATUS CARSONELLA RUDDII BETA PRIME </t>
  </si>
  <si>
    <t xml:space="preserve">UNNAMED PRODUCT HOMO SAPIENS HYPOTHETICAL PLASMODIUM BERGHEI MUS MUSCULUS NODULE EXTENSIN PISUM SATIVUM UNKNOWN YH17_YEAST 17.1 KDA IN PUR5 3'REGION YHR217C YEAST SACCHAROMYCES CEREVISIAE YHR217CP TETRAODON NIGROVIRIDIS PROBABLE MEMBRANE YDR544C YDR544CP PUTATIVE ZF-HD HOMEOBOX ORYZA SATIVA JAPONICA CULTIVAR-GROUP ZF HD CULTIVAR GROUP DROSOPHILA PSEUDOOBSCURA </t>
  </si>
  <si>
    <t xml:space="preserve">UNNAMED PRODUCT HOMO SAPIENS ANTIGEN LEISHMANIA DONOVANI TETRAODON NIGROVIRIDIS MUS MUSCULUS ASPERGILLUS FUMIGATUS UNKNOWN ANOPHELES GAMBIAE ISOFORM B DROSOPHILA MELANOGASTER </t>
  </si>
  <si>
    <t xml:space="preserve">UNNAMED PRODUCT YARROWIA LIPOLYTICA CLIB99 HYPOTHETICAL CHLOROFLEXUS AURANTIACUS PLASMODIUM YOELII SHRIMP WHITE SPOT SYNDROME VIRUS WSSV375 Y50E8A.I CAENORHABDITIS ELEGANS SUCCINYL-COA SYNTHETASE ALPHA SUBUNIT PUTATIVE FALCIPARUM 3D7 SUCCINYL COA ASPERGILLUS NIDULANS FGSC A4 BERGHEI SCHIZOSACCHAROMYCES POMBE SPAC17A2.10C FISSION YEAST HOMO SAPIENS CANDIDA ALBICANS H+-TRANSPORTING ATP SYNTHASE 6 HOMOLOG TRYPANOSOMA BRUCEI MITOCHONDRION H+ TRANSPORTING THERMOBIFIDA FUSCA EUKARYOTIC RIBOSOMAL L18 </t>
  </si>
  <si>
    <t xml:space="preserve">HYPOTHETICAL PLASMODIUM FALCIPARUM 3D7 MALARIA PARASITE EXTENSIN-LIKE COWPEA FRAGMENT EXTENSIN LIKE PRODUCT CRYPTOSPORIDIUM PARVUM PREDICTED SAPIENS IMPORTED WINTER SQUASH CUCURBITA MAXIMA KINASE PUTATIVE UNNAMED TETRAODON NIGROVIRIDIS IMMUNOGLOBULIN HEAVY CHAIN VARIABLE REGION HOMO CANDIDA ALBICANS TRYPANOSOMA BRUCEI REPEAT ORGANELLAR YOELII MAGNAPORTHE GRISEA BARTONELLA HENSELAE STR. HOUSTON-1 HOUSTON 1 YARROWIA LIPOLYTICA CLIB99 LIGAND-INDEPENDENT ACTIVATING MOLECULE FOR ESTROGEN RECEPTOR RATTUS NORVEGICUS LIGAND INDEPENDENT GAMMA SIMILAR TO BRN-3B PAN TROGLODYTES BRN 3B </t>
  </si>
  <si>
    <t xml:space="preserve">ANOPHELES GAMBIAE STR. PEST DROSOPHILA MELANOGASTER RS1B_DROME 40S RIBOSOMAL S15AB SIMILAR TO YAKUBA CG2033-PE ISOFORM E CG2033-PC CG2033-PA CG2033-PD PSEUDOOBSCURA 15A SUBUNIT RS1A_DROME S15AA CYTOSOLIC FRUIT FLY PE PC PA PD S15A BOMBYX MORI S15AE BIPHYLLUS LUNATUS S15 CULICOIDES SONORENSIS STRONGYLOCENTROTUS PURPURATUS SPS24 S15A.E URCHIN RS1A_STRPU S24 SPODOPTERA FRUGIPERDA PARACENTROTUS LIVIDUS RS1A_PARLI MARSUPENAEUS JAPONICUS SMALL 14.7 KD RPS-22 CAENORHABDITIS ELEGANS HYPOTHETICAL BRIGGSAE IMPORTED RPS BRANCHIOSTOMA BELCHERI TSINGTAUNESE TAENIA SOLIUM SAGINATA HOMOLOGOUS YEAST HOMO SAPIENS RPS15A UNKNOWN FOR MGC MUSCULUS RATTUS NORVEGICUS BOS TAURUS VALIDATED RAT RS1A_MOUSE RS1A_HUMAN RS1A_RAT UNNAMED PRODUCT HIPPOCAMPUS COMES PARALICHTHYS OLIVACEUS PREDICTED TROGLODYTES DANIO RERIO PAGRUS MAJOR TETRAODON NIGROVIRIDIS </t>
  </si>
  <si>
    <t xml:space="preserve">UNNAMED PRODUCT HOMO SAPIENS HYPOTHETICAL PLASMODIUM BERGHEI MUS MUSCULUS UNKNOWN T-CELL RECEPTOR BETA CHAIN RABBIT FRAGMENT T CELL PREDICTED XYLELLA FASTIDIOSA 9A5C IMPORTED STRAIN TETRAODON NIGROVIRIDIS RIKEN CDNA </t>
  </si>
  <si>
    <t>similar to defensin A, no signal peptide</t>
  </si>
  <si>
    <t xml:space="preserve">UNNAMED PRODUCT TETRAODON NIGROVIRIDIS SIMILAR TO PLASMODIUM LOPHURAE. HISTIDINE-RICH GLYCOPROTEIN PRECURSOR DICTYOSTELIUM DISCOIDEUM HYPOTHETICAL HISTIDINE RICH KGZQHL LOPHURAE 9999 HRPX_PLALO PUTATIVE RING ZINC FINGER ARABIDOPSIS THALIANA C3HC4-TYPE FAMILY C3HC4 ORYZA SATIVA JAPONICA CULTIVAR-GROUP CULTIVAR GROUP RNA-BINDING 6 TRYPANOSOMA CRUZI RNA BINDING ANOPHELES GAMBIAE PECTINESTERASE PROBABLE IMPORTED PREDICTED STEROID THYROID ORPHAN RECEPTOR HOMOLOG GENE PAN TROGLODYTES HOMO SAPIENS NUCLEAR SUBFAMILY 4 A MEMBER 3 ISOFORM B NR43_HUMAN NR4A3 HORMONE NOR-1 NEURON-DERIVED 1 MITOGEN INDUCED NOR NEURON DERIVED HUMAN C KINASE DHKM USTILAGO MAYDIS 521 GIBBERELLA ZEAE PH-1 </t>
  </si>
  <si>
    <t xml:space="preserve">PREDICTED HYPOTHETICAL TROGLODYTES TRANSCRIPTION-REPAIR COUPLING FACTOR SUPERFAMILY II HELICASE GEOBACTER METALLIREDUCENS GS-15 TRANSCRIPTION REPAIR GS 15 MAGNAPORTHE GRISEA </t>
  </si>
  <si>
    <t xml:space="preserve">HYPOTHETICAL UNLIKELY TRYPANOSOMA BRUCEI HUMAN HERPESVIRUS 5 STRAIN MERLIN </t>
  </si>
  <si>
    <t xml:space="preserve">TRANSPOSASE UNCULTURED BACTERIUM </t>
  </si>
  <si>
    <t xml:space="preserve">HYPOTHETICAL PLASMODIUM CHABAUDI </t>
  </si>
  <si>
    <t xml:space="preserve">HYPOTHETICAL MOUSE UNNAMED PRODUCT MUS MUSCULUS XIST_MOUSE X INACTIVE SPECIFIC TRANSCRIPT PLASMODIUM CHABAUDI CONSERVED BERGHEI BACILLUS SPHAERICUS </t>
  </si>
  <si>
    <t xml:space="preserve">UNNAMED PRODUCT MUS MUSCULUS HOMO SAPIENS RATTUS NORVEGICUS AB1 013 042 YHR131CP SACCHAROMYCES CEREVISIAE YHT1_YEAST HYPOTHETICAL 95.1 KDA IN ACT5-YCK1 INTERGENIC REGION YHR131C YEAST ACT5 YCK1 PROTAMINE I AMERICAN ALLIGATOR TETRAODON NIGROVIRIDIS PREDICTED SIMILAR TO TROGLODYTES </t>
  </si>
  <si>
    <t xml:space="preserve">CONSERVED HYPOTHETICAL PLASMODIUM BERGHEI CYTOCHROME B LEPILEMUR DORSALIS </t>
  </si>
  <si>
    <t xml:space="preserve">VAP-PEPTIDE BOMBYX MORI VAP PEPTIDE DROSOPHILA MELANOGASTER CG8942-PA SYMBOL=BG CDNA=METHOD ''SIM4'' SCORE LARVAE-EARLY PUPAE POT2 CDNA CLONE 5PRIME MRNA SEQUENCE PREDICTION=METHOD ''GENSCAN'' VERSION ''1.0 25-JAN-99 MATCH=METHOD ''BLASTX'' ''2.0A19MP-WASHU BUILD SOL2.5-ULTRA ''398.0'' ''TREMBL TENASCIN X. ORGANISM MUS MUSCULUS MOUSE . DBXREF GENBANK LARVAE EARLY 25 JAN-99 ''2.0A19MP WASHU 05 SOL2.5 ULTRA HYPOTHETICAL PORPHYROMONAS GINGIVALIS W83 </t>
  </si>
  <si>
    <t xml:space="preserve">ANOPHELES GAMBIAE PUTATIVE SALIVARY SG2B STEPHENSI STR. PEST HYPOTHETICAL SG2A GSG2-LIKE GSG2 LIKE UNKNOWN ORYZA SATIVA JAPONICA CULTIVAR-GROUP CULTIVAR GROUP BRADYRHIZOBIUM JAPONICUM USDA 110 WASL_RAT NEURAL WISKOTT-ALDRICH SYNDROME N-WASP RATTUS WISKOTT ALDRICH N WASP EPA3P CANDIDA GLABRATA SECRETORY PATHWAY COMPONENT HOFQ ANABAENA VARIABILIS ATCC TRANSCRIPTION ACTIVATOR ARABIDOPSIS THALIANA IMPORTED EXPRESSED HISTONE ACETYLTRANSFERASE MONOCYTIC LEUKEMIA 3 DANIO RERIO FINGER MYST3 MUSCULUS MUS PREDICTED MAGNAPORTHE GRISEA DNAJ SHOCK N-TERMINAL DOMAIN-CONTAINING TERMINAL DOMAIN CONTAINING MYOSIN HEAVY CHAIN CAENORHABDITIS ELEGANS MYSB_CAEEL B MHC BINDING 1 HOMO SAPIENS ADIPOCYTE ENHANCER PRECURSOR AORTIC CARBOXYPEPTIDASE-LIKE ACLP CARBOXYPEPTIDASE </t>
  </si>
  <si>
    <t xml:space="preserve">ANOPHELES GAMBIAE STR. PEST PROBABLE SALIVARY MALTASE PRECURSOR AEDES ALBOPICTUS ALPHA-GLUCOSIDASE HOMOLOG YELLOW FEVER MOSQUITO MALT_AEDAE ALPHA-1 4-GLUCOSIDASE ALPHA GLUCOSIDASE 1 MUCIN 7 HUMAN HOMO SAPIENS VIRION CORE ORF VIRUS HYPOTHETICAL BRADYRHIZOBIUM JAPONICUM USDA 110 USTILAGO MAYDIS 521 RIBONUCLEASE E XANTHOMONAS AXONOPODIS PV. CITRI 306 IMPORTED ARABIDOPSIS THALIANA PROLINE-RICH FAMILY PROLINE RICH PUTATIVE POLYGALACTURONASE PG2 ORYZA SATIVA JAPONICA CULTIVAR-GROUP CULTIVAR GROUP WP6 CHLAMYDOMONAS EUGAMETOS AMINO ACID FEATURE N-GLYCOSYLATION SITES AA 41 .. 43 46 48 51 53 72 74 107 109 128 130 132 134 158 160 163 165 ROD DOMAIN 169 340 GLOBULAR 32 168 N GLYCOSYLATION SPLICING FACTOR GLUTAMINE POLYPYRIMIDINE TRACT BINDING ASSOCIATED MUS MUSCULUS PTB-ASSOCIATED PTB MUC1_HUMAN MUC-1 POLYMORPHIC EPITHELIAL PEM PEMT EPISIALIN TUMOR-ASSOCIATED CARCINOMA-ASSOCIATED MEMBRANE ANTIGEN EMA H23AG PEANUT-REACTIVE URINARY PUM BREAST DF3 TUMOR CARCINOMA PEANUT REACTIVE BETA-1 4-MANNAN SYNTHASE MANNAN UNNAMED PRODUCT REPETITIVE SPLICE FORM A VALIDATED CAENORHABDITIS BRIGGSAE MYXOCOCCUS XANTHUS ALANINE-RICH REPETETIVE ANCHORED TROPHERYMA WHIPPLEI TW08 27 ALANINE </t>
  </si>
  <si>
    <t xml:space="preserve">ANOPHELES GAMBIAE STR. PEST DROSOPHILA PSEUDOOBSCURA SIMILAR TO MELANOGASTER YAKUBA CG9796-PA UNNAMED PRODUCT TETRAODON NIGROVIRIDIS GAMMA-INTERFERON INDUCIBLE LYSOSOMAL THIOL REDUCTASE AMBLYOMMA AMERICANUM GAMMA INTERFERON 30 DANIO RERIO PREDICTED PRECURSOR GAMMA-INTERFERON-INDUCIBLE IP-30 GALLUS INTERFERON-INDUCIBLE IP PUTATIVE LEGUMATURAIN ORYZA SATIVA JAPONICA CULTIVAR-GROUP CULTIVAR GROUP IP30 MUS MUSCULUS TYROSINE INTEGRASE STREPTOCOCCUS THERMOPHILUS CO ZN CD CATION TRANSPORTERS METHANOSARCINA BARKERI FUSARO HYPOTHETICAL CAENORHABDITIS ELEGANS </t>
  </si>
  <si>
    <t xml:space="preserve">CYTOCHROME C OXIDASE SUBUNIT II ANOPHELES MINIMUS A 2 QUADRIMACULATUS COX2_ANOQU POLYPEPTIDE CYTOCHROME-C EC CHAIN MITOCHONDRION SUBUNIT=2 COX2_ANOGA GAMBIAE AFRICAN MALARIA MOSQUITO VARUNA HILLI JEYPORIENSIS FLUVIATILIS U E SUBPICTUS ANNULARIS FLAVIROSTRIS NOVAGUINENSIS </t>
  </si>
  <si>
    <t xml:space="preserve">ANOPHELES GAMBIAE PUTATIVE 19.1 KDA SALIVARY SG3 STEPHENSI SECRETED ANTIGEN SAGBB ENTEROCOCCUS HIRAE COLLAGEN-BINDING ADHESIN STREPTOCOCCUS MUTANS COLLAGEN BINDING DROSOPHILA MELANOGASTER WITH 2 COILED COIL-4 DOMAINS XJ70 CAENORHABDITIS ELEGANS DUMPY SHORTER THAN WILD-TYPE 6 COIL 4 WILD TYPE HYPOTHETICAL GIBBERELLA ZEAE PH-1 INSECT INTESTINAL MUCIN IIM14 TRICHOPLUSIA NI IIM22 MUC1_XENLA INTEGUMENTARY C.1 FIM-C.1 AFRICAN CLAWED FROG FRAGMENT PRODUCT FIM CRYPTOPSORIDIAL LARGE THR STRETCH SIGNAL PEPTIDE SEQUENCE TRANSCRIPTS IDENTIFIED BY EST CRYPTOSPORIDIUM PARVUM RAT PAPILIN STR. PEST HOMINIS BRIGGSAE 3 MUS MUSCULUS PROBABLE PRONOUNCED REPEAT 308 ISOFORM A </t>
  </si>
  <si>
    <t xml:space="preserve">DEHYDROGENASE UBIQUINONE CHAIN 4 CERATITIS CAPITATA SUBUNIT NU4M_CERCA NADH-UBIQUINONE OXIDOREDUCTASE NADH BACTROCERA OLEAE PTERONARCYS PRINCEPS ANOPHELES SUNDAICUS QUADRIANNULATUS MERUS MELAS GAMBIAE ARABIENSIS NU4M_ANOAR NADH2 EC MITOCHONDRION FRAGMENT STRAIN BREFET BWAMBAE NU4M_ANOGA AFRICAN MALARIA MOSQUITO ARZAG V12 QUADRIMACULATUS A NU4M_ANOQU SIMILARITY SUBUNIT=4 PENAEUS MONODON EUPHAUSIA SUPERBA PAGURUS LONGICARPUS DROSOPHILA IMMIGRANS NASUTA F J NEONASUTA ALBOMICANS PULAUA PALLIDIFRONS KOHKOA KEPULAUANA CHRYSOMYA PUTORIA </t>
  </si>
  <si>
    <t xml:space="preserve">ANOPHELES GAMBIAE STR. PEST RIBOSOMAL L9 CULICOIDES SONORENSIS DROSOPHILA PSEUDOOBSCURA CG6141-PB ISOFORM B MELANOGASTER CG6141-PA RL9_DROME 60S FRUIT FLY SIMILAR TO RPL9 YAKUBA 13 LONOMIA OBLIQUA BOMBYX MORI SPODOPTERA FRUGIPERDA RL9_SPOFR ICTALURUS PUNCTATUS RL9_ICTPU PREDICTED PAN TROGLODYTES HOMO SAPIENS NPC-A-16 HOMOLOGUE RL9_HUMAN GALLUS CYTOSOLIC HUMAN PAGRUS MAJOR DANIO RERIO RATTUS NORVEGICUS UNNAMED PRODUCT R5RT9 VALIDATED RAT RL9_RAT HYPOTHETICAL PONGO PYGMAEUS MUS MUSCULUS RL9_MOUSE TETRAODON NIGROVIRIDIS RPL9-PROV XENOPUS LAEVIS PROV UNKNOWN FOR MGC </t>
  </si>
  <si>
    <t xml:space="preserve">DEHYDROGENASE SUBUNIT 1 ANOPHELES GAMBIAE NADH2 UBIQUINONE EC CHAIN AFRICAN MALARIA MOSQUITO MITOCHONDRION NU1M_ANOGA NADH-UBIQUINONE OXIDOREDUCTASE QUADRIMACULATUS A NU1M_ANOQU SUBUNIT=1 PTERONARCYS PRINCEPS COCHLIOMYIA HOMINIVORAX CHRYSOMYA PUTORIA DERMATOBIA HOMINIS UNNAMED PRODUCT LOCUSTA MIGRATORIA MIGRATORY LOCUST NU1M_LOCMI CERATITIS CAPITATA PERIPLANETA FULIGINOSA DROSOPHILA MALERKOTLIANA MELANOGASTER ANANASSAE SECHELLIA SIMULANS EUGRACILIS FICUSPHILA AURARIA SUBOBSCURA NU1M_DROSU NADH ELEGANS </t>
  </si>
  <si>
    <t xml:space="preserve">COX1_ANOGA CYTOCHROME C OXIDASE POLYPEPTIDE I SUBUNIT ANOPHELES GAMBIAE CYTOCHROME-C EC CHAIN AFRICAN MALARIA MOSQUITO MITOCHONDRION FRAGMENT 1 TRICHOLEPIDION GERTSCHI AEDES AEGYPTI THERMOBIA DOMESTICA QUADRIMACULATUS A SIMILARITY SUBUNIT=1 COX1_ANOQU COX1_DROYA ODFF1Y FRUIT FLY DROSOPHILA YAKUBA SUBQUINARIA RECENS </t>
  </si>
  <si>
    <t xml:space="preserve">AVIRULENCE XANTHOMONAS AXONOPODIS PV. CITRI STR. 306 </t>
  </si>
  <si>
    <t>s/ggy</t>
  </si>
  <si>
    <t>Best match to An. gambiae female salivary gland EST database</t>
  </si>
  <si>
    <t>Best match to An. gambiae genome</t>
  </si>
  <si>
    <t>Best match to Anopheles gambiae 3' gene database</t>
  </si>
  <si>
    <t>Best match to Anopheles gambiae 5' gene database</t>
  </si>
  <si>
    <t>Best match to An. gambiae protein database</t>
  </si>
  <si>
    <t>Best match to Anopheles gambiae CDS database</t>
  </si>
  <si>
    <t>whattodo</t>
  </si>
  <si>
    <t>count</t>
  </si>
  <si>
    <t>166 (45)</t>
  </si>
  <si>
    <t>176 (16)</t>
  </si>
  <si>
    <t>147 (40)</t>
  </si>
  <si>
    <t>244 (23)</t>
  </si>
  <si>
    <t>E value and link to Anobase</t>
  </si>
  <si>
    <t>E value and link to Ensemble</t>
  </si>
  <si>
    <t xml:space="preserve">UNNAMED PRODUCT HOMO SAPIENS HYPOTHETICAL LEISHMANIA MAJOR CHAIN CRYSTAL STRUCTURE HSLV CLPQ AT 3.8 ANGSTROMS RESOLUTION PREDICTED MUCIN 6 GASTRIC PLASMODIUM BERGHEI TETRAODON NIGROVIRIDIS MUS MUSCULUS DROSOPHILA MELANOGASTER SIMILAR TO POTENTIAL PHOSPHOLIPID-TRANSPORTING ATPASE IIB HUSSY-20 TROGLODYTES PHOSPHOLIPID TRANSPORTING HUSSY 20 USTILAGO MAYDIS 521 HYDROXYPROLINE-RICH GLYCOPROTEIN DZ-HRGP PRECURSOR CRYPTOSPORIDIUM HOMINIS HYDROXYPROLINE RICH DZ HRGP CAPSID BOVINE HERPESVIRUS 4 NI2+-BINDING GTPASE INVOLVED IN REGULATION EXPRESSION MATURATION UREASE HYDROGENASE ANABAENA VARIABILIS ATCC BINDING UNKNOWN ARABIDOPSIS THALIANA IMPORTED CAENORHABDITIS BRIGGSAE </t>
  </si>
  <si>
    <t xml:space="preserve">VITELLOGENIN 2 ANGUILLA JAPONICA SIMILAR TO PLASMODIUM FALCIPARUM. HYPOTHETICAL DICTYOSTELIUM DISCOIDEUM BERGHEI CAENORHABDITIS BRIGGSAE CHABAUDI ANOPHELES GAMBIAE UNNAMED PRODUCT MUS MUSCULUS CANDIDA GLABRATA KRUEPPEL-LIKE FALCIPARUM 3D7 KRUEPPEL LIKE PUTATIVE 80.3 KD ELEGANS Y39B6B.GG IMPORTED CRYPTOSPORIDIUM HOMINIS MID-TWO 1 ACTS IN CONCERT WITH MID2P TRANSDUCE CELL WALL STRESS SIGNALS SACCHAROMYCES CEREVISIAE PROBABLE MEMBRANE YGR023W YEAST YG1F_YEAST 57.5 KDA VMA7-RPS25A INTERGENIC REGION MID TWO VMA7 RPS25A ISOFORM A DROSOPHILA MELANOGASTER LONER ISO2 SCHIZOSACCHAROMYCES POMBE TRANSMEMBRANE RECEPTOR ACTIVITY PREDICTED SERINE-RICH WSC DOMAIN CARBOHYDRATE BINDING PROTEOPHOSPHOGLYCAN INVOLVED SIGNAL TRANSDUCTION RESPONSE RHO LOCALIZATION PLASMA S. YOR008C YNL283C YOL105C YHL028W N-TERMINAL SEQUENCE INFERRED FROM CONTEXT SERINE RICH N TERMINAL TETRAHYMENA PYRIFORMIS EPA5P SPBC30B4.01C YB1E_SCHPO PRECURSOR FISSION FRAGMENT </t>
  </si>
  <si>
    <t xml:space="preserve">UNNAMED PRODUCT TETRAODON NIGROVIRIDIS CHROMOSOME 10 OPEN READING FRAME 71 HOMO SAPIENS </t>
  </si>
  <si>
    <t xml:space="preserve">HYPOTHETICAL 10 ANOPHELES GAMBIAE </t>
  </si>
  <si>
    <t xml:space="preserve">ANOPHELES GAMBIAE UNNAMED PRODUCT TETRAODON NIGROVIRIDIS HYPOTHETICAL DANIO RERIO MUS MUSCULUS RATTUS NORVEGICUS HOMO SAPIENS HUNCHBACK DROSOPHILA SP. 'WHITE TIP SCUTELLUM' TUMOR DIFFERENTIATION FACTOR CAENORHABDITIS BRIGGSAE </t>
  </si>
  <si>
    <t xml:space="preserve">HYPOTHETICAL HHV6GP101 HUMAN HERPESVIRUS 6 BACTEROIDES FRAGILIS YCH46 UNNAMED PRODUCT TETRAODON NIGROVIRIDIS PLASMODIUM BERGHEI MUS MUSCULUS ANOPHELES GAMBIAE RATTUS NORVEGICUS UNKNOWN STR. PEST CHABAUDI </t>
  </si>
  <si>
    <t xml:space="preserve">HYPOTHETICAL MOUSE UNNAMED PRODUCT MUS MUSCULUS XIST_MOUSE X INACTIVE SPECIFIC TRANSCRIPT GIARDIA LAMBLIA ATCC READING FRAME 251 AA LIPOLYTIC ENZYME G-D-S-L FAMILY 54.6 KD CAENORHABDITIS ELEGANS D-S-L D S-L S L SOLUTE CARRIER ORGANIC ANION TRANSPORTER MEMBER 1B3 HOMO SAPIENS OATP8 Q9NPD5 S218_HUMAN TRANSPORTING POLYPEPTIDE LIVER-SPECIFIC 2 LST-2 LIVER LST MACACA MULATTA FASCICULARIS 8 UNKNOWN FOR IMAGE </t>
  </si>
  <si>
    <t xml:space="preserve">HYPOTHETICAL NOSTOC SP. PCC 7120 IMPORTED STRAIN CANDIDA ALBICANS SUPER CYSTEINE RICH SCRP HOMO SAPIENS METALLOTHIONEIN-LIKE JASUS EDWARDSII METALLOTHIONEIN LIKE DROSOPHILA MELANOGASTER PREDICTED SIMILAR TO SOLUTE CARRIER FAMILY 34 SODIUM PHOSPHATE MEMBER 2 TYPE II SODIUM-DEPENDENT TRANSPORTER 3B PAN TROGLODYTES DEPENDENT UNNAMED PRODUCT TETRAODON NIGROVIRIDIS ISOFORM B CAENORHABDITIS BRIGGSAE MUS MUSCULUS A PUTATIVE SECRETED OR EXTRACELLULAR PRECURSOR ELEGANS UNKNOWN FOR MGC XENOPUS LAEVIS DNAJ HOMOLOG SUBFAMILY C 5 STRING CSP GALLUS SERYL-TRNA SYNTHETASE MYCOPLASMA MOBILE 163K SERYL TRNA DICTYOSTELIUM DISCOIDEUM CYSTEINE-STRING CSP_XENLA XCSP PSEUDOOBSCURA </t>
  </si>
  <si>
    <t xml:space="preserve">UNNAMED PRODUCT TETRAODON NIGROVIRIDIS HOMO SAPIENS TRANSCRIPTION FACTOR KNI FRUIT FLY DROSOPHILA VIRILIS KNIR_DROVI ZYGOTIC GAP KNIRPS DNA-BINDING DNA BINDING MUS MUSCULUS TRANSCRIPTIONAL REGULATOR LYSR FAMILY SILICIBACTER POMEROYI DSS-3 HYPOTHETICAL PLASMODIUM BERGHEI BACTEROIDES FRAGILIS YCH46 ANTIGEN LEISHMANIA DONOVANI </t>
  </si>
  <si>
    <t>VACUOLAR ATPASE, SUBUNIT M9.7</t>
  </si>
  <si>
    <t>RIBOSOMAL PROTEIN L13.E</t>
  </si>
  <si>
    <t>ADP/ATP TRANSLOCASE</t>
  </si>
  <si>
    <t>RIBOSOMAL PROTEIN S26</t>
  </si>
  <si>
    <t>Match</t>
  </si>
  <si>
    <t>Key words</t>
  </si>
  <si>
    <t xml:space="preserve">ANOPHELES GAMBIAE PREDICTED SIMILAR TO MKIAA3023 PARTIAL GALLUS 5-AMP-ACTIVATED KINASE GAMMA-2 SUBUNIT AMPK CHAIN GAMMA2 TROGLODYTES 5 AMP-ACTIVATED AMP ACTIVATED GAMMA 2 HYPOTHETICAL NEUROSPORA CRASSA ISOCHORISMATE SYNTHASE THERMOBIFIDA FUSCA WINGED-HELIX TRANSCRIPTION FACTOR WINGED HELIX RHAMNOGALACTURONAN LYASE CELLVIBRIO JAPONICUS ORYZA SATIVA JAPONICA CULTIVAR-GROUP CULTIVAR GROUP G-PROTEIN SIGNALLING MODULATOR 3 AGS3-LIKE ELEGANS CHROMOSOME 6 OPEN READING FRAME 9 G AGS3 LIKE HEPATIC ACTIVATOR DBP RAT ALBUMIN PROMOTER BINDING MUS MUSCULUS DBP_MOUSE D-SITE-BINDING BOX-BINDING SITE-BINDING BOX RATTUS NORVEGICUS TRANSCRIPTIONAL DBP_RAT 1 D-BOX DOMESTICUS HOMO SAPIENS PUTATIVE 17.9 KDA GPSM3 GAMETE-SPECIFIC HYDROXYPROLINE-RICH GLYCOPROTEIN A2 CHLAMYDOMONAS REINHARDTII GAMETE SPECIFIC HYDROXYPROLINE RICH HOMOLOG REGULATORY EMERICELLA NIDULANS ASPERGILLUS FGSC A4 SYMBIOBACTERIUM THERMOPHILUM IAM RIKEN CDNA UNNAMED PRODUCT MELLIFERA CAENORHABDITIS BRIGGSAE SLIT </t>
  </si>
  <si>
    <t xml:space="preserve">PHEROPHORIN-DZ1 VOLVOX CARTERI F. NAGARIENSIS PHEROPHORIN DZ1 ADHESIN FHAB BORDETELLA AVIUM ORYZA SATIVA JAPONICA CULTIVAR-GROUP CULTIVAR GROUP HYPOTHETICAL PROLINE-RICH 1 POLYCHAETE OWENIA FUSIFORMIS FRAGMENT YPRO_OWEFU PROLINE RICH SIMILAR TO NAGARIENSIS. PRECURSOR DICTYOSTELIUM DISCOIDEUM CHLOROFLEXUS AURANTIACUS W4WL5 HUMAN PAPILLOMAVIRUS TYPE 5 VE4_HPV05 PROBABLE E4 UNNAMED PRODUCT ARABIDOPSIS THALIANA POLYPROTEIN TOMATO RINGSPOT VIRUS GNVVTR GENOME 2 STRAIN RASPBERRY POL2_TORVR RNA2 CONTAINS X3 X4 MOVEMENT MP COAT CP PEPTIDE HYDROXYPROLINE-RICH GLYCOPROTEIN DZ-HRGP HYDROXYPROLINE DZ HRGP EXTENSIN PROTEIN-LIKE LEUCINE-RICH REPEAT FAMILY LIKE LEUCINE CAULOBACTER CRESCENTUS CB15 IMPORTED NEUROSPORA CRASSA PREDICTED PHEROPHORIN-S S KLUYVEROMYCES LACTIS BINDING 1A CAENORHABDITIS ELEGANS TEMPORARILY ASSIGNED GENE NAME 168 DOPAMINE RECEPTOR D4 PHASIANUS COLCHICUS GALLUS FORKHEAD BOX G1B HOMO SAPIENS XANTHOMONAS AXONOPODIS PV. CITRI STR. 306 </t>
  </si>
  <si>
    <t xml:space="preserve">NOVEL SIMILAR TO HUMAN CALSEQUESTRIN 1 CASQ1 DANIO RERIO ASPARTIC ACID-RICH ASPOLIN2-2 CYPRINUS CARPIO ACID RICH ASPOLIN2 THERAGRA CHALCOGRAMMA ASPOLIN2-1 HYPOTHETICAL ENTAMOEBA HISTOLYTICA HM-1 IMSS HM ASPOLIN1 UNNAMED PRODUCT TETRAODON NIGROVIRIDIS HOMO SAPIENS PLASMODIUM LOPHURAE. HISTIDINE-RICH GLYCOPROTEIN PRECURSOR DICTYOSTELIUM DISCOIDEUM HISTIDINE ASPH-PROV XENOPUS LAEVIS ASPH PROV REGULATORY SUBUNIT PPZ1P WHICH IS AN ISOFORM SERINE THREONINE PHOSPHATASE Z INVOLVED IN REGULATION POTASSIUM TRANSPORT OVEREXPRESSION SUPPRESSES SYNTHETIC LETHALITY HAL3 SIT4 DOUBLE MUTATION SACCHAROMYCES CEREVISIAE PROBABLE MEMBRANE YOR054C YEAST VHS3_YEAST VHS3 VIABLE A BACKGROUND 3 YOR29 RANA ESCULENTA CAQ1_RANES SKELETAL MUSCLE EDIBLE FROG DEBARYOMYCES HANSENII CONTAINS F-BOX DOMAIN PF ARABIDOPSIS THALIANA IMPORTED FAMILY F BOX 2 CARDIAC TROPICALIS UNKNOWN ATRINA RIGIDA CANDIDA ALBICANS HOMOLOGUE GALLUS AA-19 CAQ1_CHICK ASPARTACTIN LAMININ-BINDING CHICKEN AA 19 LAMININ BINDING ORYZA SATIVA JAPONICA CULTIVAR-GROUP INDICA CULTIVAR GROUP LOPHURAE FRAGMENT COWPOX VIRUS CPXV159 </t>
  </si>
  <si>
    <t xml:space="preserve">HYPOTHETICAL PLASMODIUM FALCIPARUM 3D7 HISTIDINE KINASE DHKM DICTYOSTELIUM DISCOIDEUM CANDIDA ALBICANS MURID HERPESVIRUS 2 CYTOMEGALOVIRUS MAASTRICHT MYH9_7 ARABIDOPSIS THALIANA NUCLEAR MATRIX PROTEIN-RELATED RELATED UNNAMED PRODUCT KGZQHL HISTIDINE-RICH GLYCOPROTEIN PRECURSOR LOPHURAE 9999 HRPX_PLALO TAF9-LIKE RNA POLYMERASE II TATA BOX BINDING TBP -ASSOCIATED FACTOR 31KDA RATTUS NORVEGICUS TAF9_RAT TRANSCRIPTION INITIATION TFIID SUBUNIT 9 31 KDA TAFII-31 TAFII-32 TAFII32 NEURONAL CELL DEATH GENE IN NEURON 7 DN-7 TATA-BINDING PROTEIN-ASSOCIATED RAT INDUCED UPON PROGRAMMED NEURONALLY DIFFERENTIATED PC12 CELLS TAF9 LIKE ASSOCIATED TAFII 32 DN RAD57 IMPORTED NEUROSPORA CRASSA TO AZOTOBACTER VINELANDII RNFH_AZOVI UNCHARACTERIZED CONSERVED BACTERIA CRYPTOSPORIDIUM PARVUM ORYZA SATIVA JAPONICA CULTIVAR-GROUP CULTIVAR GROUP YOELII DROSOPHILA PSEUDOOBSCURA ASPERGILLUS NIDULANS FGSC A4 HELICASE WITH SNF2 DOMAIN 1 MUS MUSCULUS MKIAA1564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</si>
</sst>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quot;Yes&quot;;&quot;Yes&quot;;&quot;No&quot;"/>
    <numFmt numFmtId="166" formatCode="&quot;True&quot;;&quot;True&quot;;&quot;False&quot;"/>
    <numFmt numFmtId="167" formatCode="&quot;On&quot;;&quot;On&quot;;&quot;Off&quot;"/>
    <numFmt numFmtId="168" formatCode="[$€-2]\ #,##0.00_);[Red]\([$€-2]\ #,##0.00\)"/>
  </numFmts>
  <fonts count="6">
    <font>
      <sz val="8"/>
      <name val="Arial"/>
      <family val="0"/>
    </font>
    <font>
      <b/>
      <sz val="8"/>
      <color indexed="12"/>
      <name val="Arial"/>
      <family val="2"/>
    </font>
    <font>
      <u val="single"/>
      <sz val="8"/>
      <color indexed="36"/>
      <name val="Arial"/>
      <family val="0"/>
    </font>
    <font>
      <u val="single"/>
      <sz val="8"/>
      <color indexed="12"/>
      <name val="Arial"/>
      <family val="0"/>
    </font>
    <font>
      <b/>
      <u val="single"/>
      <sz val="8"/>
      <color indexed="12"/>
      <name val="Arial"/>
      <family val="2"/>
    </font>
    <font>
      <b/>
      <i/>
      <sz val="8"/>
      <color indexed="12"/>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5">
    <border>
      <left/>
      <right/>
      <top/>
      <bottom/>
      <diagonal/>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horizontal="center"/>
    </xf>
    <xf numFmtId="0" fontId="0" fillId="2" borderId="1" xfId="0" applyFill="1" applyBorder="1" applyAlignment="1">
      <alignment/>
    </xf>
    <xf numFmtId="0" fontId="1" fillId="2" borderId="2" xfId="0" applyFont="1" applyFill="1" applyBorder="1" applyAlignment="1">
      <alignment horizontal="center" wrapText="1"/>
    </xf>
    <xf numFmtId="164" fontId="0" fillId="0" borderId="0" xfId="0" applyNumberFormat="1" applyAlignment="1">
      <alignment horizontal="center"/>
    </xf>
    <xf numFmtId="0" fontId="1" fillId="3" borderId="2" xfId="0" applyFont="1" applyFill="1" applyBorder="1" applyAlignment="1">
      <alignment horizontal="center" wrapText="1"/>
    </xf>
    <xf numFmtId="0" fontId="0" fillId="3" borderId="1" xfId="0" applyFill="1" applyBorder="1" applyAlignment="1">
      <alignment/>
    </xf>
    <xf numFmtId="0" fontId="0" fillId="3" borderId="1" xfId="0" applyFill="1" applyBorder="1" applyAlignment="1">
      <alignment horizontal="center"/>
    </xf>
    <xf numFmtId="0" fontId="0" fillId="3" borderId="1" xfId="0" applyFill="1" applyBorder="1" applyAlignment="1">
      <alignment horizontal="left"/>
    </xf>
    <xf numFmtId="0" fontId="0" fillId="0" borderId="0" xfId="0" applyAlignment="1">
      <alignment shrinkToFit="1"/>
    </xf>
    <xf numFmtId="0" fontId="0" fillId="0" borderId="0" xfId="0" applyAlignment="1">
      <alignment horizontal="right"/>
    </xf>
    <xf numFmtId="164" fontId="1" fillId="2" borderId="2" xfId="0" applyNumberFormat="1" applyFont="1" applyFill="1" applyBorder="1" applyAlignment="1">
      <alignment horizontal="center" wrapText="1"/>
    </xf>
    <xf numFmtId="0" fontId="1" fillId="2" borderId="2" xfId="0" applyFont="1" applyFill="1" applyBorder="1" applyAlignment="1">
      <alignment horizontal="center" shrinkToFi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2" borderId="2" xfId="0" applyFont="1" applyFill="1" applyBorder="1" applyAlignment="1">
      <alignment horizontal="left" wrapText="1"/>
    </xf>
    <xf numFmtId="164" fontId="1" fillId="2" borderId="4" xfId="0" applyNumberFormat="1" applyFont="1" applyFill="1" applyBorder="1" applyAlignment="1">
      <alignment horizontal="left" wrapText="1"/>
    </xf>
    <xf numFmtId="0" fontId="1" fillId="2" borderId="4" xfId="0" applyFont="1" applyFill="1" applyBorder="1" applyAlignment="1">
      <alignment horizontal="left" shrinkToFit="1"/>
    </xf>
    <xf numFmtId="0" fontId="1" fillId="3" borderId="2" xfId="0" applyFont="1" applyFill="1" applyBorder="1" applyAlignment="1">
      <alignment horizontal="left" wrapText="1"/>
    </xf>
    <xf numFmtId="0" fontId="1" fillId="2" borderId="3" xfId="0" applyFont="1" applyFill="1" applyBorder="1" applyAlignment="1">
      <alignment horizontal="left"/>
    </xf>
    <xf numFmtId="0" fontId="1" fillId="2" borderId="2" xfId="0" applyFont="1" applyFill="1" applyBorder="1" applyAlignment="1">
      <alignment/>
    </xf>
    <xf numFmtId="0" fontId="1" fillId="2" borderId="2" xfId="0" applyFont="1" applyFill="1" applyBorder="1" applyAlignment="1">
      <alignment horizontal="center"/>
    </xf>
    <xf numFmtId="0" fontId="0" fillId="0" borderId="2" xfId="0" applyBorder="1" applyAlignment="1">
      <alignment/>
    </xf>
    <xf numFmtId="0" fontId="0" fillId="0" borderId="2"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4" fillId="2" borderId="2" xfId="20" applyFont="1" applyFill="1" applyBorder="1" applyAlignment="1">
      <alignment horizontal="center" wrapText="1"/>
    </xf>
    <xf numFmtId="0" fontId="4" fillId="4" borderId="2" xfId="20" applyFont="1" applyFill="1" applyBorder="1" applyAlignment="1">
      <alignment horizontal="center" wrapText="1"/>
    </xf>
    <xf numFmtId="0" fontId="1" fillId="4"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67"/>
  <sheetViews>
    <sheetView tabSelected="1" workbookViewId="0" topLeftCell="A1">
      <pane xSplit="2" ySplit="1" topLeftCell="AC26" activePane="bottomRight" state="frozen"/>
      <selection pane="topLeft" activeCell="A1" sqref="A1"/>
      <selection pane="topRight" activeCell="C1" sqref="C1"/>
      <selection pane="bottomLeft" activeCell="A2" sqref="A2"/>
      <selection pane="bottomRight" activeCell="Z1" sqref="Z1"/>
    </sheetView>
  </sheetViews>
  <sheetFormatPr defaultColWidth="9.33203125" defaultRowHeight="11.25"/>
  <cols>
    <col min="1" max="1" width="15.5" style="0" customWidth="1"/>
    <col min="2" max="2" width="5.83203125" style="0" customWidth="1"/>
    <col min="4" max="10" width="9.16015625" style="0" customWidth="1"/>
    <col min="20" max="20" width="22.16015625" style="0" customWidth="1"/>
    <col min="26" max="26" width="20.66015625" style="0" customWidth="1"/>
    <col min="28" max="28" width="27.5" style="0" customWidth="1"/>
    <col min="32" max="32" width="15.16015625" style="0" customWidth="1"/>
    <col min="33" max="33" width="12" style="0" customWidth="1"/>
  </cols>
  <sheetData>
    <row r="1" spans="1:38" s="3" customFormat="1" ht="71.25">
      <c r="A1" s="3" t="s">
        <v>199</v>
      </c>
      <c r="B1" s="3" t="s">
        <v>207</v>
      </c>
      <c r="C1" s="3" t="s">
        <v>200</v>
      </c>
      <c r="D1" s="3" t="s">
        <v>201</v>
      </c>
      <c r="E1" s="3" t="s">
        <v>202</v>
      </c>
      <c r="F1" s="3" t="s">
        <v>203</v>
      </c>
      <c r="G1" s="3" t="s">
        <v>204</v>
      </c>
      <c r="H1" s="3" t="s">
        <v>205</v>
      </c>
      <c r="I1" s="3" t="s">
        <v>206</v>
      </c>
      <c r="J1" s="3" t="s">
        <v>208</v>
      </c>
      <c r="K1" s="3" t="s">
        <v>116</v>
      </c>
      <c r="L1" s="11" t="s">
        <v>311</v>
      </c>
      <c r="M1" s="3" t="s">
        <v>118</v>
      </c>
      <c r="N1" s="3" t="s">
        <v>831</v>
      </c>
      <c r="O1" s="3" t="s">
        <v>117</v>
      </c>
      <c r="P1" s="3" t="s">
        <v>831</v>
      </c>
      <c r="Q1" s="3" t="s">
        <v>119</v>
      </c>
      <c r="R1" s="3" t="s">
        <v>832</v>
      </c>
      <c r="S1" s="3" t="s">
        <v>831</v>
      </c>
      <c r="T1" s="3" t="s">
        <v>824</v>
      </c>
      <c r="U1" s="3" t="s">
        <v>311</v>
      </c>
      <c r="V1" s="28" t="str">
        <f>HYPERLINK("http://www.ncbi.nlm.nih.gov/entrez/query.fcgi?cmd=Retrieve&amp;db=pubmed&amp;dopt=Abstract&amp;list_uids=16215223&amp;query_hl=1&amp;itool=pubmed_docsum","Best match to described An. gambia salivary proteins")</f>
        <v>Best match to described An. gambia salivary proteins</v>
      </c>
      <c r="W1" s="29" t="s">
        <v>311</v>
      </c>
      <c r="X1" s="29" t="s">
        <v>312</v>
      </c>
      <c r="Y1" s="29" t="s">
        <v>315</v>
      </c>
      <c r="Z1" s="29" t="s">
        <v>819</v>
      </c>
      <c r="AA1" s="29" t="s">
        <v>311</v>
      </c>
      <c r="AB1" s="3" t="s">
        <v>316</v>
      </c>
      <c r="AC1" s="3" t="s">
        <v>311</v>
      </c>
      <c r="AD1" s="3" t="s">
        <v>846</v>
      </c>
      <c r="AE1" s="3" t="s">
        <v>847</v>
      </c>
      <c r="AF1" s="5" t="s">
        <v>509</v>
      </c>
      <c r="AG1" s="5" t="s">
        <v>21</v>
      </c>
      <c r="AH1" s="5"/>
      <c r="AI1" s="3" t="s">
        <v>92</v>
      </c>
      <c r="AJ1" s="11" t="s">
        <v>311</v>
      </c>
      <c r="AK1" s="3" t="s">
        <v>93</v>
      </c>
      <c r="AL1" s="11" t="s">
        <v>311</v>
      </c>
    </row>
    <row r="2" spans="1:42" s="14" customFormat="1" ht="9.75">
      <c r="A2" s="13" t="s">
        <v>774</v>
      </c>
      <c r="K2" s="15"/>
      <c r="L2" s="16"/>
      <c r="M2" s="15"/>
      <c r="O2" s="15"/>
      <c r="Q2" s="15"/>
      <c r="T2" s="15"/>
      <c r="V2" s="15"/>
      <c r="Z2" s="15"/>
      <c r="AB2" s="15"/>
      <c r="AE2" s="17"/>
      <c r="AF2" s="18"/>
      <c r="AG2" s="18"/>
      <c r="AH2" s="18"/>
      <c r="AI2" s="15"/>
      <c r="AJ2" s="16"/>
      <c r="AK2" s="15"/>
      <c r="AL2" s="16"/>
      <c r="AN2" s="15"/>
      <c r="AP2" s="15"/>
    </row>
    <row r="3" spans="1:43" ht="9.75">
      <c r="A3" t="str">
        <f>HYPERLINK("http://exon.niaid.nih.gov/transcriptome/An_gambiae_male_2006/ST1/links/AGM-contig_12.txt","AGM-contig_12")</f>
        <v>AGM-contig_12</v>
      </c>
      <c r="B3" s="1">
        <v>102</v>
      </c>
      <c r="C3" s="1">
        <v>691</v>
      </c>
      <c r="D3" s="1" t="s">
        <v>209</v>
      </c>
      <c r="E3" s="1">
        <v>44.3</v>
      </c>
      <c r="F3" s="1">
        <v>672</v>
      </c>
      <c r="G3" t="str">
        <f>HYPERLINK("http://exon.niaid.nih.gov/transcriptome/An_gambiae_male_2006/ST1/links/AGM-7-90-90-asb-12.txt","Contig-12")</f>
        <v>Contig-12</v>
      </c>
      <c r="H3" s="1">
        <v>12</v>
      </c>
      <c r="I3" t="str">
        <f>HYPERLINK("http://exon.niaid.nih.gov/transcriptome/An_gambiae_male_2006/ST1/links/AGM-7-90-90-12-CLU.txt","Contig12")</f>
        <v>Contig12</v>
      </c>
      <c r="J3" t="s">
        <v>221</v>
      </c>
      <c r="K3" s="2" t="str">
        <f>HYPERLINK("http://exon.niaid.nih.gov/transcriptome/An_gambiae_male_2006/ST1/links/AGM-contig_12-AGFRAG.txt","2L_Piece#1305")</f>
        <v>2L_Piece#1305</v>
      </c>
      <c r="L3" s="4">
        <v>0</v>
      </c>
      <c r="M3" s="2" t="str">
        <f>HYPERLINK("http://exon.niaid.nih.gov/transcriptome/An_gambiae_male_2006/ST1/links/AGM-contig_12-AG3P.txt","ENSANGP00000009995")</f>
        <v>ENSANGP00000009995</v>
      </c>
      <c r="N3" s="1" t="str">
        <f>HYPERLINK("http://www.anobase.org/cgi-bin/uniexcel_new_var6.pl?proteinname=ENSANGP00000009995","0.E+00")</f>
        <v>0.E+00</v>
      </c>
      <c r="O3" s="2" t="str">
        <f>HYPERLINK("http://exon.niaid.nih.gov/transcriptome/An_gambiae_male_2006/ST1/links/AGM-contig_12-AG5P.txt","ENSANGP00000009988")</f>
        <v>ENSANGP00000009988</v>
      </c>
      <c r="P3" s="1" t="str">
        <f>HYPERLINK("http://www.anobase.org/cgi-bin/uniexcel_new_var6.pl?proteinname=ENSANGP00000009988","3.E-83")</f>
        <v>3.E-83</v>
      </c>
      <c r="Q3" s="2" t="str">
        <f>HYPERLINK("http://exon.niaid.nih.gov/transcriptome/An_gambiae_male_2006/ST1/links/AGM-contig_12-AGPROT.txt","ENSANGP00000009988")</f>
        <v>ENSANGP00000009988</v>
      </c>
      <c r="R3" s="1" t="str">
        <f>HYPERLINK("http://www.ensembl.org/Anopheles_gambiae/protview?peptide=ENSANGP00000009988","1E-101")</f>
        <v>1E-101</v>
      </c>
      <c r="S3" s="1" t="str">
        <f>HYPERLINK("http://www.anobase.org/cgi-bin/uniexcel_new_var6.pl?proteinname=ENSANGP00000009988","1E-101")</f>
        <v>1E-101</v>
      </c>
      <c r="T3" s="2" t="str">
        <f>HYPERLINK("http://exon.niaid.nih.gov/transcriptome/An_gambiae_male_2006/ST1/links/AGCDS/AGM-contig_12-AGCDS.txt","ENSANGT00000009988")</f>
        <v>ENSANGT00000009988</v>
      </c>
      <c r="U3" s="1">
        <v>0</v>
      </c>
      <c r="V3" s="2" t="str">
        <f>HYPERLINK("http://exon.niaid.nih.gov/transcriptome/An_gambiae_male_2006/ST1/links/AGM-contig_12-AGSAL.txt","sg3")</f>
        <v>sg3</v>
      </c>
      <c r="W3" s="1">
        <v>1E-103</v>
      </c>
      <c r="X3" s="1">
        <v>95</v>
      </c>
      <c r="Y3" s="1">
        <v>100</v>
      </c>
      <c r="Z3" s="2" t="str">
        <f>HYPERLINK("http://exon.niaid.nih.gov/transcriptome/An_gambiae_male_2006/ST1/links/AGM-contig_12-AGNUC.txt","AG-contig_73")</f>
        <v>AG-contig_73</v>
      </c>
      <c r="AA3" s="1">
        <v>0</v>
      </c>
      <c r="AB3" s="2" t="str">
        <f>HYPERLINK("http://exon.niaid.nih.gov/transcriptome/An_gambiae_male_2006/ST1/links/AGM-contig_12-NR.txt","ENSANGP00000009988 [Anopheles gambi")</f>
        <v>ENSANGP00000009988 [Anopheles gambi</v>
      </c>
      <c r="AC3" s="1" t="str">
        <f>HYPERLINK("http://www.ncbi.nlm.nih.gov/sutils/blink.cgi?pid=31217938","3E-099")</f>
        <v>3E-099</v>
      </c>
      <c r="AD3" s="1" t="s">
        <v>313</v>
      </c>
      <c r="AE3" s="9" t="s">
        <v>123</v>
      </c>
      <c r="AF3" s="6" t="s">
        <v>39</v>
      </c>
      <c r="AG3" s="6" t="s">
        <v>749</v>
      </c>
      <c r="AH3" s="6"/>
      <c r="AI3" s="2"/>
      <c r="AJ3" s="4"/>
      <c r="AK3" s="2"/>
      <c r="AL3" s="4"/>
      <c r="AM3" s="1"/>
      <c r="AN3" s="2"/>
      <c r="AO3" s="1"/>
      <c r="AP3" s="2"/>
      <c r="AQ3" s="1"/>
    </row>
    <row r="4" spans="1:43" ht="9.75">
      <c r="A4" t="str">
        <f>HYPERLINK("http://exon.niaid.nih.gov/transcriptome/An_gambiae_male_2006/ST1/links/AGM-contig_170.txt","AGM-contig_170")</f>
        <v>AGM-contig_170</v>
      </c>
      <c r="B4" s="1">
        <v>1</v>
      </c>
      <c r="C4" s="1">
        <v>104</v>
      </c>
      <c r="D4" s="1">
        <v>6.7</v>
      </c>
      <c r="E4" s="1">
        <v>59.6</v>
      </c>
      <c r="F4" s="1">
        <v>58</v>
      </c>
      <c r="G4" t="str">
        <f>HYPERLINK("http://exon.niaid.nih.gov/transcriptome/An_gambiae_male_2006/ST1/links/AGM-7-90-90-asb-170.txt","Contig-170")</f>
        <v>Contig-170</v>
      </c>
      <c r="H4" s="1">
        <v>170</v>
      </c>
      <c r="I4" t="str">
        <f>HYPERLINK("http://exon.niaid.nih.gov/transcriptome/An_gambiae_male_2006/ST1/links/AGM-7-90-90-170-CLU.txt","Contig170")</f>
        <v>Contig170</v>
      </c>
      <c r="J4" t="s">
        <v>623</v>
      </c>
      <c r="K4" s="2" t="str">
        <f>HYPERLINK("http://exon.niaid.nih.gov/transcriptome/An_gambiae_male_2006/ST1/links/AGM-contig_170-AGFRAG.txt","2L_Piece#1305")</f>
        <v>2L_Piece#1305</v>
      </c>
      <c r="L4" s="4">
        <v>1E-07</v>
      </c>
      <c r="M4" s="2"/>
      <c r="N4" s="1"/>
      <c r="O4" s="2"/>
      <c r="P4" s="1"/>
      <c r="Q4" s="2"/>
      <c r="R4" s="1"/>
      <c r="S4" s="1"/>
      <c r="T4" s="2"/>
      <c r="U4" s="1"/>
      <c r="V4" s="2"/>
      <c r="W4" s="1"/>
      <c r="X4" s="1"/>
      <c r="Y4" s="1"/>
      <c r="Z4" s="2" t="str">
        <f>HYPERLINK("http://exon.niaid.nih.gov/transcriptome/An_gambiae_male_2006/ST1/links/AGM-contig_170-AGNUC.txt","AG-contig_73")</f>
        <v>AG-contig_73</v>
      </c>
      <c r="AA4" s="1">
        <v>3E-25</v>
      </c>
      <c r="AB4" s="2"/>
      <c r="AC4" s="1"/>
      <c r="AD4" s="1"/>
      <c r="AE4" s="9"/>
      <c r="AF4" s="6" t="s">
        <v>39</v>
      </c>
      <c r="AG4" s="6" t="s">
        <v>749</v>
      </c>
      <c r="AH4" s="6"/>
      <c r="AI4" s="2"/>
      <c r="AJ4" s="4"/>
      <c r="AK4" s="2"/>
      <c r="AL4" s="4"/>
      <c r="AM4" s="1"/>
      <c r="AN4" s="2"/>
      <c r="AO4" s="1"/>
      <c r="AP4" s="2"/>
      <c r="AQ4" s="1"/>
    </row>
    <row r="5" spans="1:43" ht="9.75">
      <c r="A5" t="str">
        <f>HYPERLINK("http://exon.niaid.nih.gov/transcriptome/An_gambiae_male_2006/ST1/links/AGM-contig_46.txt","AGM-contig_46")</f>
        <v>AGM-contig_46</v>
      </c>
      <c r="B5" s="1">
        <v>1</v>
      </c>
      <c r="C5" s="1">
        <v>109</v>
      </c>
      <c r="D5" s="1">
        <v>1.8</v>
      </c>
      <c r="E5" s="1">
        <v>78.9</v>
      </c>
      <c r="F5" s="1">
        <v>47</v>
      </c>
      <c r="G5" t="str">
        <f>HYPERLINK("http://exon.niaid.nih.gov/transcriptome/An_gambiae_male_2006/ST1/links/AGM-7-90-90-asb-46.txt","Contig-46")</f>
        <v>Contig-46</v>
      </c>
      <c r="H5" s="1">
        <v>46</v>
      </c>
      <c r="I5" t="str">
        <f>HYPERLINK("http://exon.niaid.nih.gov/transcriptome/An_gambiae_male_2006/ST1/links/AGM-7-90-90-46-CLU.txt","Contig46")</f>
        <v>Contig46</v>
      </c>
      <c r="J5" t="s">
        <v>255</v>
      </c>
      <c r="K5" s="2" t="str">
        <f>HYPERLINK("http://exon.niaid.nih.gov/transcriptome/An_gambiae_male_2006/ST1/links/AGM-contig_46-AGFRAG.txt","2L_Piece#1305")</f>
        <v>2L_Piece#1305</v>
      </c>
      <c r="L5" s="4">
        <v>7E-09</v>
      </c>
      <c r="M5" s="2" t="str">
        <f>HYPERLINK("http://exon.niaid.nih.gov/transcriptome/An_gambiae_male_2006/ST1/links/AGM-contig_46-AG3P.txt","ENSANGP00000009995")</f>
        <v>ENSANGP00000009995</v>
      </c>
      <c r="N5" s="1" t="str">
        <f>HYPERLINK("http://www.anobase.org/cgi-bin/uniexcel_new_var6.pl?proteinname=ENSANGP00000009995","2.E-09")</f>
        <v>2.E-09</v>
      </c>
      <c r="O5" s="2"/>
      <c r="P5" s="1"/>
      <c r="Q5" s="2"/>
      <c r="R5" s="1"/>
      <c r="S5" s="1"/>
      <c r="T5" s="2"/>
      <c r="U5" s="1"/>
      <c r="V5" s="2"/>
      <c r="W5" s="1"/>
      <c r="X5" s="1"/>
      <c r="Y5" s="1"/>
      <c r="Z5" s="2" t="str">
        <f>HYPERLINK("http://exon.niaid.nih.gov/transcriptome/An_gambiae_male_2006/ST1/links/AGM-contig_46-AGNUC.txt","AG-contig_74")</f>
        <v>AG-contig_74</v>
      </c>
      <c r="AA5" s="1">
        <v>2E-13</v>
      </c>
      <c r="AB5" s="2"/>
      <c r="AC5" s="1"/>
      <c r="AD5" s="1"/>
      <c r="AE5" s="9"/>
      <c r="AF5" s="6" t="s">
        <v>39</v>
      </c>
      <c r="AG5" s="6" t="s">
        <v>749</v>
      </c>
      <c r="AH5" s="6"/>
      <c r="AI5" s="2"/>
      <c r="AJ5" s="4"/>
      <c r="AK5" s="2"/>
      <c r="AL5" s="4"/>
      <c r="AM5" s="1"/>
      <c r="AN5" s="2"/>
      <c r="AO5" s="1"/>
      <c r="AP5" s="2"/>
      <c r="AQ5" s="1"/>
    </row>
    <row r="6" spans="1:43" ht="9.75">
      <c r="A6" t="str">
        <f>HYPERLINK("http://exon.niaid.nih.gov/transcriptome/An_gambiae_male_2006/ST1/links/AGM-contig_44.txt","AGM-contig_44")</f>
        <v>AGM-contig_44</v>
      </c>
      <c r="B6" s="1">
        <v>1</v>
      </c>
      <c r="C6" s="1">
        <v>639</v>
      </c>
      <c r="D6" s="1" t="s">
        <v>209</v>
      </c>
      <c r="E6" s="1">
        <v>47.3</v>
      </c>
      <c r="F6" s="1">
        <v>383</v>
      </c>
      <c r="G6" t="str">
        <f>HYPERLINK("http://exon.niaid.nih.gov/transcriptome/An_gambiae_male_2006/ST1/links/AGM-7-90-90-asb-44.txt","Contig-44")</f>
        <v>Contig-44</v>
      </c>
      <c r="H6" s="1">
        <v>44</v>
      </c>
      <c r="I6" t="str">
        <f>HYPERLINK("http://exon.niaid.nih.gov/transcriptome/An_gambiae_male_2006/ST1/links/AGM-7-90-90-44-CLU.txt","Contig44")</f>
        <v>Contig44</v>
      </c>
      <c r="J6" t="s">
        <v>253</v>
      </c>
      <c r="K6" s="2" t="str">
        <f>HYPERLINK("http://exon.niaid.nih.gov/transcriptome/An_gambiae_male_2006/ST1/links/AGM-contig_44-AGFRAG.txt","2L_Piece#1305")</f>
        <v>2L_Piece#1305</v>
      </c>
      <c r="L6" s="4">
        <v>1E-172</v>
      </c>
      <c r="M6" s="2" t="str">
        <f>HYPERLINK("http://exon.niaid.nih.gov/transcriptome/An_gambiae_male_2006/ST1/links/AGM-contig_44-AG3P.txt","ENSANGP00000009995")</f>
        <v>ENSANGP00000009995</v>
      </c>
      <c r="N6" s="1" t="str">
        <f>HYPERLINK("http://www.anobase.org/cgi-bin/uniexcel_new_var6.pl?proteinname=ENSANGP00000009995","1.E-173")</f>
        <v>1.E-173</v>
      </c>
      <c r="O6" s="2"/>
      <c r="P6" s="1"/>
      <c r="Q6" s="2" t="str">
        <f>HYPERLINK("http://exon.niaid.nih.gov/transcriptome/An_gambiae_male_2006/ST1/links/AGM-contig_44-AGPROT.txt","ENSANGP00000009988")</f>
        <v>ENSANGP00000009988</v>
      </c>
      <c r="R6" s="1" t="str">
        <f>HYPERLINK("http://www.ensembl.org/Anopheles_gambiae/protview?peptide=ENSANGP00000009988","4E-056")</f>
        <v>4E-056</v>
      </c>
      <c r="S6" s="1" t="str">
        <f>HYPERLINK("http://www.anobase.org/cgi-bin/uniexcel_new_var6.pl?proteinname=ENSANGP00000009988","4E-056")</f>
        <v>4E-056</v>
      </c>
      <c r="T6" s="2" t="str">
        <f>HYPERLINK("http://exon.niaid.nih.gov/transcriptome/An_gambiae_male_2006/ST1/links/AGCDS/AGM-contig_44-AGCDS.txt","ENSANGT00000009988")</f>
        <v>ENSANGT00000009988</v>
      </c>
      <c r="U6" s="1">
        <v>1E-173</v>
      </c>
      <c r="V6" s="2" t="str">
        <f>HYPERLINK("http://exon.niaid.nih.gov/transcriptome/An_gambiae_male_2006/ST1/links/AGM-contig_44-AGSAL.txt","sg3")</f>
        <v>sg3</v>
      </c>
      <c r="W6" s="1">
        <v>2E-58</v>
      </c>
      <c r="X6" s="1">
        <v>95</v>
      </c>
      <c r="Y6" s="1">
        <v>56</v>
      </c>
      <c r="Z6" s="2" t="str">
        <f>HYPERLINK("http://exon.niaid.nih.gov/transcriptome/An_gambiae_male_2006/ST1/links/AGM-contig_44-AGNUC.txt","AG-contig_74")</f>
        <v>AG-contig_74</v>
      </c>
      <c r="AA6" s="1">
        <v>0</v>
      </c>
      <c r="AB6" s="2" t="str">
        <f>HYPERLINK("http://exon.niaid.nih.gov/transcriptome/An_gambiae_male_2006/ST1/links/AGM-contig_44-NR.txt","SG3 protein [Anopheles gambiae]            215   8e-055")</f>
        <v>SG3 protein [Anopheles gambiae]            215   8e-055</v>
      </c>
      <c r="AC6" s="1" t="str">
        <f>HYPERLINK("http://www.ncbi.nlm.nih.gov/sutils/blink.cgi?pid=4210619","8E-055")</f>
        <v>8E-055</v>
      </c>
      <c r="AD6" s="1" t="s">
        <v>313</v>
      </c>
      <c r="AE6" s="9" t="s">
        <v>812</v>
      </c>
      <c r="AF6" s="6" t="s">
        <v>39</v>
      </c>
      <c r="AG6" s="6" t="s">
        <v>749</v>
      </c>
      <c r="AH6" s="6"/>
      <c r="AI6" s="2"/>
      <c r="AJ6" s="4"/>
      <c r="AK6" s="2"/>
      <c r="AL6" s="4"/>
      <c r="AM6" s="1"/>
      <c r="AN6" s="2"/>
      <c r="AO6" s="1"/>
      <c r="AP6" s="2"/>
      <c r="AQ6" s="1"/>
    </row>
    <row r="7" spans="1:43" ht="9.75">
      <c r="A7" t="str">
        <f>HYPERLINK("http://exon.niaid.nih.gov/transcriptome/An_gambiae_male_2006/ST1/links/AGM-contig_38.txt","AGM-contig_38")</f>
        <v>AGM-contig_38</v>
      </c>
      <c r="B7" s="1">
        <v>1</v>
      </c>
      <c r="C7" s="1">
        <v>545</v>
      </c>
      <c r="D7" s="1">
        <v>3.3</v>
      </c>
      <c r="E7" s="1">
        <v>49.9</v>
      </c>
      <c r="F7" s="1">
        <v>256</v>
      </c>
      <c r="G7" t="str">
        <f>HYPERLINK("http://exon.niaid.nih.gov/transcriptome/An_gambiae_male_2006/ST1/links/AGM-7-90-90-asb-38.txt","Contig-38")</f>
        <v>Contig-38</v>
      </c>
      <c r="H7" s="1">
        <v>38</v>
      </c>
      <c r="I7" t="str">
        <f>HYPERLINK("http://exon.niaid.nih.gov/transcriptome/An_gambiae_male_2006/ST1/links/AGM-7-90-90-38-CLU.txt","Contig38")</f>
        <v>Contig38</v>
      </c>
      <c r="J7" t="s">
        <v>247</v>
      </c>
      <c r="K7" s="2" t="str">
        <f>HYPERLINK("http://exon.niaid.nih.gov/transcriptome/An_gambiae_male_2006/ST1/links/AGM-contig_38-AGFRAG.txt","2L_Piece#1305")</f>
        <v>2L_Piece#1305</v>
      </c>
      <c r="L7" s="4">
        <v>2E-40</v>
      </c>
      <c r="M7" s="2" t="str">
        <f>HYPERLINK("http://exon.niaid.nih.gov/transcriptome/An_gambiae_male_2006/ST1/links/AGM-contig_38-AG3P.txt","ENSANGP00000009995")</f>
        <v>ENSANGP00000009995</v>
      </c>
      <c r="N7" s="1" t="str">
        <f>HYPERLINK("http://www.anobase.org/cgi-bin/uniexcel_new_var6.pl?proteinname=ENSANGP00000009995","5.E-41")</f>
        <v>5.E-41</v>
      </c>
      <c r="O7" s="2"/>
      <c r="P7" s="1"/>
      <c r="Q7" s="2" t="str">
        <f>HYPERLINK("http://exon.niaid.nih.gov/transcriptome/An_gambiae_male_2006/ST1/links/AGM-contig_38-AGPROT.txt","ENSANGP00000013356")</f>
        <v>ENSANGP00000013356</v>
      </c>
      <c r="R7" s="1" t="str">
        <f>HYPERLINK("http://www.ensembl.org/Anopheles_gambiae/protview?peptide=ENSANGP00000013356","0.78")</f>
        <v>0.78</v>
      </c>
      <c r="S7" s="1" t="str">
        <f>HYPERLINK("http://www.anobase.org/cgi-bin/uniexcel_new_var6.pl?proteinname=ENSANGP00000013356","0.78")</f>
        <v>0.78</v>
      </c>
      <c r="T7" s="2" t="str">
        <f>HYPERLINK("http://exon.niaid.nih.gov/transcriptome/An_gambiae_male_2006/ST1/links/AGCDS/AGM-contig_38-AGCDS.txt","ENSANGT00000009988")</f>
        <v>ENSANGT00000009988</v>
      </c>
      <c r="U7" s="1">
        <v>1E-41</v>
      </c>
      <c r="V7" s="2"/>
      <c r="W7" s="1"/>
      <c r="X7" s="1"/>
      <c r="Y7" s="1"/>
      <c r="Z7" s="2" t="str">
        <f>HYPERLINK("http://exon.niaid.nih.gov/transcriptome/An_gambiae_male_2006/ST1/links/AGM-contig_38-AGNUC.txt","AG-contig_74")</f>
        <v>AG-contig_74</v>
      </c>
      <c r="AA7" s="1">
        <v>6E-55</v>
      </c>
      <c r="AB7" s="2" t="str">
        <f>HYPERLINK("http://exon.niaid.nih.gov/transcriptome/An_gambiae_male_2006/ST1/links/AGM-contig_38-NR.txt","hypothetical protein SAV924 [Strept")</f>
        <v>hypothetical protein SAV924 [Strept</v>
      </c>
      <c r="AC7" s="1" t="str">
        <f>HYPERLINK("http://www.ncbi.nlm.nih.gov/sutils/blink.cgi?pid=29827465","6.2")</f>
        <v>6.2</v>
      </c>
      <c r="AD7" s="1" t="s">
        <v>313</v>
      </c>
      <c r="AE7" s="9" t="s">
        <v>326</v>
      </c>
      <c r="AF7" s="6" t="s">
        <v>39</v>
      </c>
      <c r="AG7" s="6" t="s">
        <v>749</v>
      </c>
      <c r="AH7" s="6"/>
      <c r="AI7" s="2"/>
      <c r="AJ7" s="4"/>
      <c r="AK7" s="2"/>
      <c r="AL7" s="4"/>
      <c r="AM7" s="1"/>
      <c r="AN7" s="2"/>
      <c r="AO7" s="1"/>
      <c r="AP7" s="2"/>
      <c r="AQ7" s="1"/>
    </row>
    <row r="8" spans="1:43" ht="9.75">
      <c r="A8" t="str">
        <f>HYPERLINK("http://exon.niaid.nih.gov/transcriptome/An_gambiae_male_2006/ST1/links/AGM-contig_369.txt","AGM-contig_369")</f>
        <v>AGM-contig_369</v>
      </c>
      <c r="B8" s="1">
        <v>1</v>
      </c>
      <c r="C8" s="1">
        <v>92</v>
      </c>
      <c r="D8" s="1">
        <v>2.2</v>
      </c>
      <c r="E8" s="1">
        <v>79.3</v>
      </c>
      <c r="F8" s="1">
        <v>64</v>
      </c>
      <c r="G8" t="str">
        <f>HYPERLINK("http://exon.niaid.nih.gov/transcriptome/An_gambiae_male_2006/ST1/links/AGM-7-90-90-asb-369.txt","Contig-369")</f>
        <v>Contig-369</v>
      </c>
      <c r="H8" s="1">
        <v>369</v>
      </c>
      <c r="I8" t="str">
        <f>HYPERLINK("http://exon.niaid.nih.gov/transcriptome/An_gambiae_male_2006/ST1/links/AGM-7-90-90-369-CLU.txt","Contig369")</f>
        <v>Contig369</v>
      </c>
      <c r="J8" t="s">
        <v>309</v>
      </c>
      <c r="K8" s="2" t="str">
        <f>HYPERLINK("http://exon.niaid.nih.gov/transcriptome/An_gambiae_male_2006/ST1/links/AGM-contig_369-AGFRAG.txt","2L_Piece#1305")</f>
        <v>2L_Piece#1305</v>
      </c>
      <c r="L8" s="4">
        <v>6E-09</v>
      </c>
      <c r="M8" s="2" t="str">
        <f>HYPERLINK("http://exon.niaid.nih.gov/transcriptome/An_gambiae_male_2006/ST1/links/AGM-contig_369-AG3P.txt","ENSANGP00000009995")</f>
        <v>ENSANGP00000009995</v>
      </c>
      <c r="N8" s="1" t="str">
        <f>HYPERLINK("http://www.anobase.org/cgi-bin/uniexcel_new_var6.pl?proteinname=ENSANGP00000009995","1.E-09")</f>
        <v>1.E-09</v>
      </c>
      <c r="O8" s="2"/>
      <c r="P8" s="1"/>
      <c r="Q8" s="2"/>
      <c r="R8" s="1"/>
      <c r="S8" s="1"/>
      <c r="T8" s="2"/>
      <c r="U8" s="1"/>
      <c r="V8" s="2"/>
      <c r="W8" s="1"/>
      <c r="X8" s="1"/>
      <c r="Y8" s="1"/>
      <c r="Z8" s="2" t="str">
        <f>HYPERLINK("http://exon.niaid.nih.gov/transcriptome/An_gambiae_male_2006/ST1/links/AGM-contig_369-AGNUC.txt","AG-contig_74")</f>
        <v>AG-contig_74</v>
      </c>
      <c r="AA8" s="1">
        <v>3E-12</v>
      </c>
      <c r="AB8" s="2"/>
      <c r="AC8" s="1"/>
      <c r="AD8" s="1"/>
      <c r="AE8" s="9"/>
      <c r="AF8" s="6" t="s">
        <v>39</v>
      </c>
      <c r="AG8" s="6" t="s">
        <v>749</v>
      </c>
      <c r="AH8" s="6"/>
      <c r="AI8" s="2"/>
      <c r="AJ8" s="4"/>
      <c r="AK8" s="2"/>
      <c r="AL8" s="4"/>
      <c r="AM8" s="1"/>
      <c r="AN8" s="2"/>
      <c r="AO8" s="1"/>
      <c r="AP8" s="2"/>
      <c r="AQ8" s="1"/>
    </row>
    <row r="9" spans="1:43" ht="9.75">
      <c r="A9" t="str">
        <f>HYPERLINK("http://exon.niaid.nih.gov/transcriptome/An_gambiae_male_2006/ST1/links/AGM-contig_18.txt","AGM-contig_18")</f>
        <v>AGM-contig_18</v>
      </c>
      <c r="B9" s="1">
        <v>2</v>
      </c>
      <c r="C9" s="1">
        <v>143</v>
      </c>
      <c r="D9" s="1" t="s">
        <v>209</v>
      </c>
      <c r="E9" s="1">
        <v>55.9</v>
      </c>
      <c r="F9" s="1">
        <v>124</v>
      </c>
      <c r="G9" t="str">
        <f>HYPERLINK("http://exon.niaid.nih.gov/transcriptome/An_gambiae_male_2006/ST1/links/AGM-7-90-90-asb-18.txt","Contig-18")</f>
        <v>Contig-18</v>
      </c>
      <c r="H9" s="1">
        <v>18</v>
      </c>
      <c r="I9" t="str">
        <f>HYPERLINK("http://exon.niaid.nih.gov/transcriptome/An_gambiae_male_2006/ST1/links/AGM-7-90-90-18-CLU.txt","Contig18")</f>
        <v>Contig18</v>
      </c>
      <c r="J9" t="s">
        <v>227</v>
      </c>
      <c r="K9" s="2" t="str">
        <f>HYPERLINK("http://exon.niaid.nih.gov/transcriptome/An_gambiae_male_2006/ST1/links/AGM-contig_18-AGFRAG.txt","2L_Piece#1305")</f>
        <v>2L_Piece#1305</v>
      </c>
      <c r="L9" s="4">
        <v>9E-37</v>
      </c>
      <c r="M9" s="2" t="str">
        <f>HYPERLINK("http://exon.niaid.nih.gov/transcriptome/An_gambiae_male_2006/ST1/links/AGM-contig_18-AG3P.txt","ENSANGP00000009995")</f>
        <v>ENSANGP00000009995</v>
      </c>
      <c r="N9" s="1" t="str">
        <f>HYPERLINK("http://www.anobase.org/cgi-bin/uniexcel_new_var6.pl?proteinname=ENSANGP00000009995","2.E-37")</f>
        <v>2.E-37</v>
      </c>
      <c r="O9" s="2"/>
      <c r="P9" s="1"/>
      <c r="Q9" s="2" t="str">
        <f>HYPERLINK("http://exon.niaid.nih.gov/transcriptome/An_gambiae_male_2006/ST1/links/AGM-contig_18-AGPROT.txt","ENSANGP00000010168")</f>
        <v>ENSANGP00000010168</v>
      </c>
      <c r="R9" s="1" t="str">
        <f>HYPERLINK("http://www.ensembl.org/Anopheles_gambiae/protview?peptide=ENSANGP00000010168","3.9")</f>
        <v>3.9</v>
      </c>
      <c r="S9" s="1" t="str">
        <f>HYPERLINK("http://www.anobase.org/cgi-bin/uniexcel_new_var6.pl?proteinname=ENSANGP00000010168","3.9")</f>
        <v>3.9</v>
      </c>
      <c r="T9" s="2" t="str">
        <f>HYPERLINK("http://exon.niaid.nih.gov/transcriptome/An_gambiae_male_2006/ST1/links/AGCDS/AGM-contig_18-AGCDS.txt","ENSANGT00000009988")</f>
        <v>ENSANGT00000009988</v>
      </c>
      <c r="U9" s="1">
        <v>5E-38</v>
      </c>
      <c r="V9" s="2"/>
      <c r="W9" s="1"/>
      <c r="X9" s="1"/>
      <c r="Y9" s="1"/>
      <c r="Z9" s="2" t="str">
        <f>HYPERLINK("http://exon.niaid.nih.gov/transcriptome/An_gambiae_male_2006/ST1/links/AGM-contig_18-AGNUC.txt","AG-contig_74")</f>
        <v>AG-contig_74</v>
      </c>
      <c r="AA9" s="1">
        <v>2E-51</v>
      </c>
      <c r="AB9" s="2"/>
      <c r="AC9" s="1"/>
      <c r="AD9" s="1"/>
      <c r="AE9" s="9"/>
      <c r="AF9" s="6" t="s">
        <v>39</v>
      </c>
      <c r="AG9" s="6" t="s">
        <v>749</v>
      </c>
      <c r="AH9" s="6"/>
      <c r="AI9" s="2"/>
      <c r="AJ9" s="4"/>
      <c r="AK9" s="2"/>
      <c r="AL9" s="4"/>
      <c r="AM9" s="1"/>
      <c r="AN9" s="2"/>
      <c r="AO9" s="1"/>
      <c r="AP9" s="2"/>
      <c r="AQ9" s="1"/>
    </row>
    <row r="10" spans="1:43" ht="9.75">
      <c r="A10" t="str">
        <f>HYPERLINK("http://exon.niaid.nih.gov/transcriptome/An_gambiae_male_2006/ST1/links/AGM-contig_17.txt","AGM-contig_17")</f>
        <v>AGM-contig_17</v>
      </c>
      <c r="B10" s="1">
        <v>50</v>
      </c>
      <c r="C10" s="1">
        <v>651</v>
      </c>
      <c r="D10" s="1">
        <v>0.2</v>
      </c>
      <c r="E10" s="1">
        <v>43.9</v>
      </c>
      <c r="F10" s="1">
        <v>632</v>
      </c>
      <c r="G10" t="str">
        <f>HYPERLINK("http://exon.niaid.nih.gov/transcriptome/An_gambiae_male_2006/ST1/links/AGM-7-90-90-asb-17.txt","Contig-17")</f>
        <v>Contig-17</v>
      </c>
      <c r="H10" s="1">
        <v>17</v>
      </c>
      <c r="I10" t="str">
        <f>HYPERLINK("http://exon.niaid.nih.gov/transcriptome/An_gambiae_male_2006/ST1/links/AGM-7-90-90-17-CLU.txt","Contig17")</f>
        <v>Contig17</v>
      </c>
      <c r="J10" t="s">
        <v>226</v>
      </c>
      <c r="K10" s="2" t="str">
        <f>HYPERLINK("http://exon.niaid.nih.gov/transcriptome/An_gambiae_male_2006/ST1/links/AGM-contig_17-AGFRAG.txt","2L_Piece#1305")</f>
        <v>2L_Piece#1305</v>
      </c>
      <c r="L10" s="4">
        <v>0</v>
      </c>
      <c r="M10" s="2" t="str">
        <f>HYPERLINK("http://exon.niaid.nih.gov/transcriptome/An_gambiae_male_2006/ST1/links/AGM-contig_17-AG3P.txt","ENSANGP00000009995")</f>
        <v>ENSANGP00000009995</v>
      </c>
      <c r="N10" s="1" t="str">
        <f>HYPERLINK("http://www.anobase.org/cgi-bin/uniexcel_new_var6.pl?proteinname=ENSANGP00000009995","0.E+00")</f>
        <v>0.E+00</v>
      </c>
      <c r="O10" s="2" t="str">
        <f>HYPERLINK("http://exon.niaid.nih.gov/transcriptome/An_gambiae_male_2006/ST1/links/AGM-contig_17-AG5P.txt","ENSANGP00000009988")</f>
        <v>ENSANGP00000009988</v>
      </c>
      <c r="P10" s="1" t="str">
        <f>HYPERLINK("http://www.anobase.org/cgi-bin/uniexcel_new_var6.pl?proteinname=ENSANGP00000009988","3.E-98")</f>
        <v>3.E-98</v>
      </c>
      <c r="Q10" s="2" t="str">
        <f>HYPERLINK("http://exon.niaid.nih.gov/transcriptome/An_gambiae_male_2006/ST1/links/AGM-contig_17-AGPROT.txt","ENSANGP00000009988")</f>
        <v>ENSANGP00000009988</v>
      </c>
      <c r="R10" s="1" t="str">
        <f>HYPERLINK("http://www.ensembl.org/Anopheles_gambiae/protview?peptide=ENSANGP00000009988","3E-094")</f>
        <v>3E-094</v>
      </c>
      <c r="S10" s="1" t="str">
        <f>HYPERLINK("http://www.anobase.org/cgi-bin/uniexcel_new_var6.pl?proteinname=ENSANGP00000009988","3E-094")</f>
        <v>3E-094</v>
      </c>
      <c r="T10" s="2" t="str">
        <f>HYPERLINK("http://exon.niaid.nih.gov/transcriptome/An_gambiae_male_2006/ST1/links/AGCDS/AGM-contig_17-AGCDS.txt","ENSANGT00000009988")</f>
        <v>ENSANGT00000009988</v>
      </c>
      <c r="U10" s="1">
        <v>0</v>
      </c>
      <c r="V10" s="2" t="str">
        <f>HYPERLINK("http://exon.niaid.nih.gov/transcriptome/An_gambiae_male_2006/ST1/links/AGM-contig_17-AGSAL.txt","sg3")</f>
        <v>sg3</v>
      </c>
      <c r="W10" s="1">
        <v>1E-96</v>
      </c>
      <c r="X10" s="1">
        <v>96</v>
      </c>
      <c r="Y10" s="1">
        <v>89</v>
      </c>
      <c r="Z10" s="2" t="str">
        <f>HYPERLINK("http://exon.niaid.nih.gov/transcriptome/An_gambiae_male_2006/ST1/links/AGM-contig_17-AGNUC.txt","AG-contig_74")</f>
        <v>AG-contig_74</v>
      </c>
      <c r="AA10" s="1">
        <v>0</v>
      </c>
      <c r="AB10" s="2" t="str">
        <f>HYPERLINK("http://exon.niaid.nih.gov/transcriptome/An_gambiae_male_2006/ST1/links/AGM-contig_17-NR.txt","SG3 protein [Anopheles gambiae]            340   1e-092")</f>
        <v>SG3 protein [Anopheles gambiae]            340   1e-092</v>
      </c>
      <c r="AC10" s="1" t="str">
        <f>HYPERLINK("http://www.ncbi.nlm.nih.gov/sutils/blink.cgi?pid=4210619","1E-092")</f>
        <v>1E-092</v>
      </c>
      <c r="AD10" s="1" t="s">
        <v>313</v>
      </c>
      <c r="AE10" s="9" t="s">
        <v>412</v>
      </c>
      <c r="AF10" s="6" t="s">
        <v>39</v>
      </c>
      <c r="AG10" s="6" t="s">
        <v>749</v>
      </c>
      <c r="AH10" s="6"/>
      <c r="AI10" s="2"/>
      <c r="AJ10" s="4"/>
      <c r="AK10" s="2"/>
      <c r="AL10" s="4"/>
      <c r="AM10" s="1"/>
      <c r="AN10" s="2"/>
      <c r="AO10" s="1"/>
      <c r="AP10" s="2"/>
      <c r="AQ10" s="1"/>
    </row>
    <row r="11" spans="1:43" ht="9.75">
      <c r="A11" t="str">
        <f>HYPERLINK("http://exon.niaid.nih.gov/transcriptome/An_gambiae_male_2006/ST1/links/AGM-contig_39.txt","AGM-contig_39")</f>
        <v>AGM-contig_39</v>
      </c>
      <c r="B11" s="1">
        <v>1</v>
      </c>
      <c r="C11" s="1">
        <v>104</v>
      </c>
      <c r="D11" s="1" t="s">
        <v>209</v>
      </c>
      <c r="E11" s="1">
        <v>69.2</v>
      </c>
      <c r="F11" s="1">
        <v>85</v>
      </c>
      <c r="G11" t="str">
        <f>HYPERLINK("http://exon.niaid.nih.gov/transcriptome/An_gambiae_male_2006/ST1/links/AGM-7-90-90-asb-39.txt","Contig-39")</f>
        <v>Contig-39</v>
      </c>
      <c r="H11" s="1">
        <v>39</v>
      </c>
      <c r="I11" t="str">
        <f>HYPERLINK("http://exon.niaid.nih.gov/transcriptome/An_gambiae_male_2006/ST1/links/AGM-7-90-90-39-CLU.txt","Contig39")</f>
        <v>Contig39</v>
      </c>
      <c r="J11" t="s">
        <v>248</v>
      </c>
      <c r="K11" s="2"/>
      <c r="L11" s="4"/>
      <c r="M11" s="2"/>
      <c r="N11" s="1"/>
      <c r="O11" s="2"/>
      <c r="P11" s="1"/>
      <c r="Q11" s="2"/>
      <c r="R11" s="1"/>
      <c r="S11" s="1"/>
      <c r="T11" s="2"/>
      <c r="U11" s="1"/>
      <c r="V11" s="2"/>
      <c r="W11" s="1"/>
      <c r="X11" s="1"/>
      <c r="Y11" s="1"/>
      <c r="Z11" s="2" t="str">
        <f>HYPERLINK("http://exon.niaid.nih.gov/transcriptome/An_gambiae_male_2006/ST1/links/AGM-contig_39-AGNUC.txt","AG-contig_73")</f>
        <v>AG-contig_73</v>
      </c>
      <c r="AA11" s="1">
        <v>2E-19</v>
      </c>
      <c r="AB11" s="2"/>
      <c r="AC11" s="1"/>
      <c r="AD11" s="1"/>
      <c r="AE11" s="9"/>
      <c r="AF11" s="6" t="s">
        <v>39</v>
      </c>
      <c r="AG11" s="6" t="s">
        <v>749</v>
      </c>
      <c r="AH11" s="6"/>
      <c r="AI11" s="2"/>
      <c r="AJ11" s="4"/>
      <c r="AK11" s="2"/>
      <c r="AL11" s="4"/>
      <c r="AM11" s="1"/>
      <c r="AN11" s="2"/>
      <c r="AO11" s="1"/>
      <c r="AP11" s="2"/>
      <c r="AQ11" s="1"/>
    </row>
    <row r="12" spans="1:43" ht="9.75">
      <c r="A12" t="str">
        <f>HYPERLINK("http://exon.niaid.nih.gov/transcriptome/An_gambiae_male_2006/ST1/links/AGM-contig_37.txt","AGM-contig_37")</f>
        <v>AGM-contig_37</v>
      </c>
      <c r="B12" s="1">
        <v>1</v>
      </c>
      <c r="C12" s="1">
        <v>290</v>
      </c>
      <c r="D12" s="1" t="s">
        <v>209</v>
      </c>
      <c r="E12" s="1">
        <v>49.3</v>
      </c>
      <c r="F12" s="1">
        <v>271</v>
      </c>
      <c r="G12" t="str">
        <f>HYPERLINK("http://exon.niaid.nih.gov/transcriptome/An_gambiae_male_2006/ST1/links/AGM-7-90-90-asb-37.txt","Contig-37")</f>
        <v>Contig-37</v>
      </c>
      <c r="H12" s="1">
        <v>37</v>
      </c>
      <c r="I12" t="str">
        <f>HYPERLINK("http://exon.niaid.nih.gov/transcriptome/An_gambiae_male_2006/ST1/links/AGM-7-90-90-37-CLU.txt","Contig37")</f>
        <v>Contig37</v>
      </c>
      <c r="J12" t="s">
        <v>246</v>
      </c>
      <c r="K12" s="2" t="str">
        <f>HYPERLINK("http://exon.niaid.nih.gov/transcriptome/An_gambiae_male_2006/ST1/links/AGM-contig_37-AGFRAG.txt","2L_Piece#1305")</f>
        <v>2L_Piece#1305</v>
      </c>
      <c r="L12" s="4">
        <v>2E-76</v>
      </c>
      <c r="M12" s="2" t="str">
        <f>HYPERLINK("http://exon.niaid.nih.gov/transcriptome/An_gambiae_male_2006/ST1/links/AGM-contig_37-AG3P.txt","ENSANGP00000009995")</f>
        <v>ENSANGP00000009995</v>
      </c>
      <c r="N12" s="1" t="str">
        <f>HYPERLINK("http://www.anobase.org/cgi-bin/uniexcel_new_var6.pl?proteinname=ENSANGP00000009995","4.E-77")</f>
        <v>4.E-77</v>
      </c>
      <c r="O12" s="2"/>
      <c r="P12" s="1"/>
      <c r="Q12" s="2" t="str">
        <f>HYPERLINK("http://exon.niaid.nih.gov/transcriptome/An_gambiae_male_2006/ST1/links/AGM-contig_37-AGPROT.txt","ENSANGP00000009988")</f>
        <v>ENSANGP00000009988</v>
      </c>
      <c r="R12" s="1" t="str">
        <f>HYPERLINK("http://www.ensembl.org/Anopheles_gambiae/protview?peptide=ENSANGP00000009988","9E-027")</f>
        <v>9E-027</v>
      </c>
      <c r="S12" s="1" t="str">
        <f>HYPERLINK("http://www.anobase.org/cgi-bin/uniexcel_new_var6.pl?proteinname=ENSANGP00000009988","9E-027")</f>
        <v>9E-027</v>
      </c>
      <c r="T12" s="2" t="str">
        <f>HYPERLINK("http://exon.niaid.nih.gov/transcriptome/An_gambiae_male_2006/ST1/links/AGCDS/AGM-contig_37-AGCDS.txt","ENSANGT00000009988")</f>
        <v>ENSANGT00000009988</v>
      </c>
      <c r="U12" s="1">
        <v>1E-77</v>
      </c>
      <c r="V12" s="2" t="str">
        <f>HYPERLINK("http://exon.niaid.nih.gov/transcriptome/An_gambiae_male_2006/ST1/links/AGM-contig_37-AGSAL.txt","sg3")</f>
        <v>sg3</v>
      </c>
      <c r="W12" s="1">
        <v>5E-29</v>
      </c>
      <c r="X12" s="1">
        <v>81</v>
      </c>
      <c r="Y12" s="1">
        <v>34</v>
      </c>
      <c r="Z12" s="2" t="str">
        <f>HYPERLINK("http://exon.niaid.nih.gov/transcriptome/An_gambiae_male_2006/ST1/links/AGM-contig_37-AGNUC.txt","AG-contig_73")</f>
        <v>AG-contig_73</v>
      </c>
      <c r="AA12" s="1">
        <v>3E-86</v>
      </c>
      <c r="AB12" s="2" t="str">
        <f>HYPERLINK("http://exon.niaid.nih.gov/transcriptome/An_gambiae_male_2006/ST1/links/AGM-contig_37-NR.txt","ENSANGP00000009988 [Anopheles gambi")</f>
        <v>ENSANGP00000009988 [Anopheles gambi</v>
      </c>
      <c r="AC12" s="1" t="str">
        <f>HYPERLINK("http://www.ncbi.nlm.nih.gov/sutils/blink.cgi?pid=31217938","1E-024")</f>
        <v>1E-024</v>
      </c>
      <c r="AD12" s="1" t="s">
        <v>313</v>
      </c>
      <c r="AE12" s="9" t="s">
        <v>87</v>
      </c>
      <c r="AF12" s="6" t="s">
        <v>39</v>
      </c>
      <c r="AG12" s="6" t="s">
        <v>749</v>
      </c>
      <c r="AH12" s="6"/>
      <c r="AI12" s="2"/>
      <c r="AJ12" s="4"/>
      <c r="AK12" s="2"/>
      <c r="AL12" s="4"/>
      <c r="AM12" s="1"/>
      <c r="AN12" s="2"/>
      <c r="AO12" s="1"/>
      <c r="AP12" s="2"/>
      <c r="AQ12" s="1"/>
    </row>
    <row r="13" spans="1:43" ht="9.75">
      <c r="A13" t="str">
        <f>HYPERLINK("http://exon.niaid.nih.gov/transcriptome/An_gambiae_male_2006/ST1/links/AGM-contig_53.txt","AGM-contig_53")</f>
        <v>AGM-contig_53</v>
      </c>
      <c r="B13" s="1">
        <v>7</v>
      </c>
      <c r="C13" s="1">
        <v>894</v>
      </c>
      <c r="D13" s="1">
        <v>0.1</v>
      </c>
      <c r="E13" s="1">
        <v>52.9</v>
      </c>
      <c r="F13" s="1">
        <v>875</v>
      </c>
      <c r="G13" t="str">
        <f>HYPERLINK("http://exon.niaid.nih.gov/transcriptome/An_gambiae_male_2006/ST1/links/AGM-7-90-90-asb-53.txt","Contig-53")</f>
        <v>Contig-53</v>
      </c>
      <c r="H13" s="1">
        <v>53</v>
      </c>
      <c r="I13" t="str">
        <f>HYPERLINK("http://exon.niaid.nih.gov/transcriptome/An_gambiae_male_2006/ST1/links/AGM-7-90-90-53-CLU.txt","Contig53")</f>
        <v>Contig53</v>
      </c>
      <c r="J13" t="s">
        <v>263</v>
      </c>
      <c r="K13" s="2" t="str">
        <f>HYPERLINK("http://exon.niaid.nih.gov/transcriptome/An_gambiae_male_2006/ST1/links/AGM-contig_53-AGFRAG.txt","2R_Piece#1848")</f>
        <v>2R_Piece#1848</v>
      </c>
      <c r="L13" s="4">
        <v>0</v>
      </c>
      <c r="M13" s="2" t="str">
        <f>HYPERLINK("http://exon.niaid.nih.gov/transcriptome/An_gambiae_male_2006/ST1/links/AGM-contig_53-AG3P.txt","ENSANGP00000018919")</f>
        <v>ENSANGP00000018919</v>
      </c>
      <c r="N13" s="1" t="str">
        <f>HYPERLINK("http://www.anobase.org/cgi-bin/uniexcel_new_var6.pl?proteinname=ENSANGP00000018919","0.E+00")</f>
        <v>0.E+00</v>
      </c>
      <c r="O13" s="2" t="str">
        <f>HYPERLINK("http://exon.niaid.nih.gov/transcriptome/An_gambiae_male_2006/ST1/links/AGM-contig_53-AG5P.txt","ENSANGP00000018919")</f>
        <v>ENSANGP00000018919</v>
      </c>
      <c r="P13" s="1" t="str">
        <f>HYPERLINK("http://www.anobase.org/cgi-bin/uniexcel_new_var6.pl?proteinname=ENSANGP00000018919","1.E-36")</f>
        <v>1.E-36</v>
      </c>
      <c r="Q13" s="2" t="str">
        <f>HYPERLINK("http://exon.niaid.nih.gov/transcriptome/An_gambiae_male_2006/ST1/links/AGM-contig_53-AGPROT.txt","ENSANGP00000018919")</f>
        <v>ENSANGP00000018919</v>
      </c>
      <c r="R13" s="1" t="str">
        <f>HYPERLINK("http://www.ensembl.org/Anopheles_gambiae/protview?peptide=ENSANGP00000018919","2E-084")</f>
        <v>2E-084</v>
      </c>
      <c r="S13" s="1" t="str">
        <f>HYPERLINK("http://www.anobase.org/cgi-bin/uniexcel_new_var6.pl?proteinname=ENSANGP00000018919","2E-084")</f>
        <v>2E-084</v>
      </c>
      <c r="T13" s="2" t="str">
        <f>HYPERLINK("http://exon.niaid.nih.gov/transcriptome/An_gambiae_male_2006/ST1/links/AGCDS/AGM-contig_53-AGCDS.txt","ENSANGT00000018919")</f>
        <v>ENSANGT00000018919</v>
      </c>
      <c r="U13" s="1">
        <v>0</v>
      </c>
      <c r="V13" s="2" t="str">
        <f>HYPERLINK("http://exon.niaid.nih.gov/transcriptome/An_gambiae_male_2006/ST1/links/AGM-contig_53-AGSAL.txt","salivary_mucin")</f>
        <v>salivary_mucin</v>
      </c>
      <c r="W13" s="1">
        <v>9E-87</v>
      </c>
      <c r="X13" s="1">
        <v>100</v>
      </c>
      <c r="Y13" s="1">
        <v>81</v>
      </c>
      <c r="Z13" s="2" t="str">
        <f>HYPERLINK("http://exon.niaid.nih.gov/transcriptome/An_gambiae_male_2006/ST1/links/AGM-contig_53-AGNUC.txt","AG-contig_170")</f>
        <v>AG-contig_170</v>
      </c>
      <c r="AA13" s="1">
        <v>0</v>
      </c>
      <c r="AB13" s="2" t="str">
        <f>HYPERLINK("http://exon.niaid.nih.gov/transcriptome/An_gambiae_male_2006/ST1/links/AGM-contig_53-NR.txt","ENSANGP00000018919 [Anopheles gambi")</f>
        <v>ENSANGP00000018919 [Anopheles gambi</v>
      </c>
      <c r="AC13" s="1" t="str">
        <f>HYPERLINK("http://www.ncbi.nlm.nih.gov/sutils/blink.cgi?pid=31202901","2E-082")</f>
        <v>2E-082</v>
      </c>
      <c r="AD13" s="1" t="s">
        <v>313</v>
      </c>
      <c r="AE13" s="9" t="s">
        <v>414</v>
      </c>
      <c r="AF13" s="6" t="s">
        <v>24</v>
      </c>
      <c r="AG13" s="6" t="s">
        <v>750</v>
      </c>
      <c r="AH13" s="6"/>
      <c r="AI13" s="2"/>
      <c r="AJ13" s="4"/>
      <c r="AK13" s="2"/>
      <c r="AL13" s="4"/>
      <c r="AM13" s="1"/>
      <c r="AN13" s="2"/>
      <c r="AO13" s="1"/>
      <c r="AP13" s="2"/>
      <c r="AQ13" s="1"/>
    </row>
    <row r="14" spans="1:43" ht="9.75">
      <c r="A14" t="str">
        <f>HYPERLINK("http://exon.niaid.nih.gov/transcriptome/An_gambiae_male_2006/ST1/links/AGM-contig_50.txt","AGM-contig_50")</f>
        <v>AGM-contig_50</v>
      </c>
      <c r="B14" s="1">
        <v>17</v>
      </c>
      <c r="C14" s="1">
        <v>354</v>
      </c>
      <c r="D14" s="1" t="s">
        <v>209</v>
      </c>
      <c r="E14" s="1">
        <v>48.6</v>
      </c>
      <c r="F14" s="1">
        <v>335</v>
      </c>
      <c r="G14" t="str">
        <f>HYPERLINK("http://exon.niaid.nih.gov/transcriptome/An_gambiae_male_2006/ST1/links/AGM-7-90-90-asb-50.txt","Contig-50")</f>
        <v>Contig-50</v>
      </c>
      <c r="H14" s="1">
        <v>50</v>
      </c>
      <c r="I14" t="str">
        <f>HYPERLINK("http://exon.niaid.nih.gov/transcriptome/An_gambiae_male_2006/ST1/links/AGM-7-90-90-50-CLU.txt","Contig50")</f>
        <v>Contig50</v>
      </c>
      <c r="J14" t="s">
        <v>259</v>
      </c>
      <c r="K14" s="2" t="str">
        <f>HYPERLINK("http://exon.niaid.nih.gov/transcriptome/An_gambiae_male_2006/ST1/links/AGM-contig_50-AGFRAG.txt","2R_Piece#1076")</f>
        <v>2R_Piece#1076</v>
      </c>
      <c r="L14" s="4">
        <v>1E-177</v>
      </c>
      <c r="M14" s="2" t="str">
        <f>HYPERLINK("http://exon.niaid.nih.gov/transcriptome/An_gambiae_male_2006/ST1/links/AGM-contig_50-AG3P.txt","ENSANGP00000022154")</f>
        <v>ENSANGP00000022154</v>
      </c>
      <c r="N14" s="1" t="str">
        <f>HYPERLINK("http://www.anobase.org/cgi-bin/uniexcel_new_var6.pl?proteinname=ENSANGP00000022154","1.E-114")</f>
        <v>1.E-114</v>
      </c>
      <c r="O14" s="2"/>
      <c r="P14" s="1"/>
      <c r="Q14" s="2" t="str">
        <f>HYPERLINK("http://exon.niaid.nih.gov/transcriptome/An_gambiae_male_2006/ST1/links/AGM-contig_50-AGPROT.txt","ENSANGP00000022154")</f>
        <v>ENSANGP00000022154</v>
      </c>
      <c r="R14" s="1" t="str">
        <f>HYPERLINK("http://www.ensembl.org/Anopheles_gambiae/protview?peptide=ENSANGP00000022154","3E-040")</f>
        <v>3E-040</v>
      </c>
      <c r="S14" s="1" t="str">
        <f>HYPERLINK("http://www.anobase.org/cgi-bin/uniexcel_new_var6.pl?proteinname=ENSANGP00000022154","3E-040")</f>
        <v>3E-040</v>
      </c>
      <c r="T14" s="2" t="str">
        <f>HYPERLINK("http://exon.niaid.nih.gov/transcriptome/An_gambiae_male_2006/ST1/links/AGCDS/AGM-contig_50-AGCDS.txt","ENSANGT00000022154")</f>
        <v>ENSANGT00000022154</v>
      </c>
      <c r="U14" s="1">
        <v>1E-178</v>
      </c>
      <c r="V14" s="2" t="str">
        <f>HYPERLINK("http://exon.niaid.nih.gov/transcriptome/An_gambiae_male_2006/ST1/links/AGM-contig_50-AGSAL.txt","mucin-like")</f>
        <v>mucin-like</v>
      </c>
      <c r="W14" s="1">
        <v>6E-40</v>
      </c>
      <c r="X14" s="1">
        <v>100</v>
      </c>
      <c r="Y14" s="1">
        <v>48</v>
      </c>
      <c r="Z14" s="2" t="str">
        <f>HYPERLINK("http://exon.niaid.nih.gov/transcriptome/An_gambiae_male_2006/ST1/links/AGM-contig_50-AGNUC.txt","AG-contig_110")</f>
        <v>AG-contig_110</v>
      </c>
      <c r="AA14" s="1">
        <v>0</v>
      </c>
      <c r="AB14" s="2" t="str">
        <f>HYPERLINK("http://exon.niaid.nih.gov/transcriptome/An_gambiae_male_2006/ST1/links/AGM-contig_50-NR.txt","mucin-like protein [Anopheles gambiae]     158   5e-038")</f>
        <v>mucin-like protein [Anopheles gambiae]     158   5e-038</v>
      </c>
      <c r="AC14" s="1" t="str">
        <f>HYPERLINK("http://www.ncbi.nlm.nih.gov/sutils/blink.cgi?pid=18389893","5E-038")</f>
        <v>5E-038</v>
      </c>
      <c r="AD14" s="1" t="s">
        <v>313</v>
      </c>
      <c r="AE14" s="9" t="s">
        <v>443</v>
      </c>
      <c r="AF14" s="6" t="s">
        <v>36</v>
      </c>
      <c r="AG14" s="6" t="s">
        <v>750</v>
      </c>
      <c r="AH14" s="6"/>
      <c r="AI14" s="2"/>
      <c r="AJ14" s="4"/>
      <c r="AK14" s="2"/>
      <c r="AL14" s="4"/>
      <c r="AM14" s="1"/>
      <c r="AN14" s="2"/>
      <c r="AO14" s="1"/>
      <c r="AP14" s="2"/>
      <c r="AQ14" s="1"/>
    </row>
    <row r="15" spans="1:43" ht="9.75">
      <c r="A15" t="str">
        <f>HYPERLINK("http://exon.niaid.nih.gov/transcriptome/An_gambiae_male_2006/ST1/links/AGM-contig_19.txt","AGM-contig_19")</f>
        <v>AGM-contig_19</v>
      </c>
      <c r="B15" s="1">
        <v>15</v>
      </c>
      <c r="C15" s="1">
        <v>497</v>
      </c>
      <c r="D15" s="1" t="s">
        <v>209</v>
      </c>
      <c r="E15" s="1">
        <v>53.3</v>
      </c>
      <c r="F15" s="1">
        <v>478</v>
      </c>
      <c r="G15" t="str">
        <f>HYPERLINK("http://exon.niaid.nih.gov/transcriptome/An_gambiae_male_2006/ST1/links/AGM-7-90-90-asb-19.txt","Contig-19")</f>
        <v>Contig-19</v>
      </c>
      <c r="H15" s="1">
        <v>19</v>
      </c>
      <c r="I15" t="str">
        <f>HYPERLINK("http://exon.niaid.nih.gov/transcriptome/An_gambiae_male_2006/ST1/links/AGM-7-90-90-19-CLU.txt","Contig19")</f>
        <v>Contig19</v>
      </c>
      <c r="J15" t="s">
        <v>228</v>
      </c>
      <c r="K15" s="2" t="str">
        <f>HYPERLINK("http://exon.niaid.nih.gov/transcriptome/An_gambiae_male_2006/ST1/links/AGM-contig_19-AGFRAG.txt","2R_Piece#1076")</f>
        <v>2R_Piece#1076</v>
      </c>
      <c r="L15" s="4">
        <v>0</v>
      </c>
      <c r="M15" s="2" t="str">
        <f>HYPERLINK("http://exon.niaid.nih.gov/transcriptome/An_gambiae_male_2006/ST1/links/AGM-contig_19-AG3P.txt","ENSANGP00000022154")</f>
        <v>ENSANGP00000022154</v>
      </c>
      <c r="N15" s="1" t="str">
        <f>HYPERLINK("http://www.anobase.org/cgi-bin/uniexcel_new_var6.pl?proteinname=ENSANGP00000022154","0.E+00")</f>
        <v>0.E+00</v>
      </c>
      <c r="O15" s="2"/>
      <c r="P15" s="1"/>
      <c r="Q15" s="2" t="str">
        <f>HYPERLINK("http://exon.niaid.nih.gov/transcriptome/An_gambiae_male_2006/ST1/links/AGM-contig_19-AGPROT.txt","ENSANGP00000004042")</f>
        <v>ENSANGP00000004042</v>
      </c>
      <c r="R15" s="1" t="str">
        <f>HYPERLINK("http://www.ensembl.org/Anopheles_gambiae/protview?peptide=ENSANGP00000004042","2.5")</f>
        <v>2.5</v>
      </c>
      <c r="S15" s="1" t="str">
        <f>HYPERLINK("http://www.anobase.org/cgi-bin/uniexcel_new_var6.pl?proteinname=ENSANGP00000004042","2.5")</f>
        <v>2.5</v>
      </c>
      <c r="T15" s="2" t="str">
        <f>HYPERLINK("http://exon.niaid.nih.gov/transcriptome/An_gambiae_male_2006/ST1/links/AGCDS/AGM-contig_19-AGCDS.txt","ENSANGT00000022154")</f>
        <v>ENSANGT00000022154</v>
      </c>
      <c r="U15" s="1">
        <v>7E-68</v>
      </c>
      <c r="V15" s="2"/>
      <c r="W15" s="1"/>
      <c r="X15" s="1"/>
      <c r="Y15" s="1"/>
      <c r="Z15" s="2" t="str">
        <f>HYPERLINK("http://exon.niaid.nih.gov/transcriptome/An_gambiae_male_2006/ST1/links/AGM-contig_19-AGNUC.txt","AG-contig_109")</f>
        <v>AG-contig_109</v>
      </c>
      <c r="AA15" s="1">
        <v>0</v>
      </c>
      <c r="AB15" s="2" t="str">
        <f>HYPERLINK("http://exon.niaid.nih.gov/transcriptome/An_gambiae_male_2006/ST1/links/AGM-contig_19-NR.txt","putative indole-3-glycerol phosphat")</f>
        <v>putative indole-3-glycerol phosphat</v>
      </c>
      <c r="AC15" s="1" t="str">
        <f>HYPERLINK("http://www.ncbi.nlm.nih.gov/sutils/blink.cgi?pid=50899072","0.75")</f>
        <v>0.75</v>
      </c>
      <c r="AD15" s="1" t="s">
        <v>313</v>
      </c>
      <c r="AE15" s="9" t="s">
        <v>378</v>
      </c>
      <c r="AF15" s="6" t="s">
        <v>36</v>
      </c>
      <c r="AG15" s="6" t="s">
        <v>750</v>
      </c>
      <c r="AH15" s="6"/>
      <c r="AI15" s="2"/>
      <c r="AJ15" s="4"/>
      <c r="AK15" s="2"/>
      <c r="AL15" s="4"/>
      <c r="AM15" s="1"/>
      <c r="AN15" s="2"/>
      <c r="AO15" s="1"/>
      <c r="AP15" s="2"/>
      <c r="AQ15" s="1"/>
    </row>
    <row r="16" spans="1:42" s="14" customFormat="1" ht="9.75">
      <c r="A16" s="13" t="s">
        <v>775</v>
      </c>
      <c r="K16" s="15"/>
      <c r="L16" s="16"/>
      <c r="M16" s="15"/>
      <c r="O16" s="15"/>
      <c r="Q16" s="15"/>
      <c r="T16" s="15"/>
      <c r="V16" s="15"/>
      <c r="Z16" s="15"/>
      <c r="AB16" s="15"/>
      <c r="AE16" s="17"/>
      <c r="AF16" s="18"/>
      <c r="AG16" s="18"/>
      <c r="AH16" s="18"/>
      <c r="AI16" s="15"/>
      <c r="AJ16" s="16"/>
      <c r="AK16" s="15"/>
      <c r="AL16" s="16"/>
      <c r="AN16" s="15"/>
      <c r="AP16" s="15"/>
    </row>
    <row r="17" spans="1:43" ht="9.75">
      <c r="A17" t="str">
        <f>HYPERLINK("http://exon.niaid.nih.gov/transcriptome/An_gambiae_male_2006/ST1/links/AGM-contig_14.txt","AGM-contig_14")</f>
        <v>AGM-contig_14</v>
      </c>
      <c r="B17" s="1">
        <v>36</v>
      </c>
      <c r="C17" s="1">
        <v>417</v>
      </c>
      <c r="D17" s="1" t="s">
        <v>209</v>
      </c>
      <c r="E17" s="1">
        <v>44.1</v>
      </c>
      <c r="F17" s="1">
        <v>398</v>
      </c>
      <c r="G17" t="str">
        <f>HYPERLINK("http://exon.niaid.nih.gov/transcriptome/An_gambiae_male_2006/ST1/links/AGM-7-90-90-asb-14.txt","Contig-14")</f>
        <v>Contig-14</v>
      </c>
      <c r="H17" s="1">
        <v>14</v>
      </c>
      <c r="I17" t="str">
        <f>HYPERLINK("http://exon.niaid.nih.gov/transcriptome/An_gambiae_male_2006/ST1/links/AGM-7-90-90-14-CLU.txt","Contig14")</f>
        <v>Contig14</v>
      </c>
      <c r="J17" t="s">
        <v>223</v>
      </c>
      <c r="K17" s="2" t="str">
        <f>HYPERLINK("http://exon.niaid.nih.gov/transcriptome/An_gambiae_male_2006/ST1/links/AGM-contig_14-AGFRAG.txt","2R_Piece#618")</f>
        <v>2R_Piece#618</v>
      </c>
      <c r="L17" s="4">
        <v>0</v>
      </c>
      <c r="M17" s="2" t="str">
        <f>HYPERLINK("http://exon.niaid.nih.gov/transcriptome/An_gambiae_male_2006/ST1/links/AGM-contig_14-AG3P.txt","ENSANGP00000017682")</f>
        <v>ENSANGP00000017682</v>
      </c>
      <c r="N17" s="1" t="str">
        <f>HYPERLINK("http://www.anobase.org/cgi-bin/uniexcel_new_var6.pl?proteinname=ENSANGP00000017682","1.E-102")</f>
        <v>1.E-102</v>
      </c>
      <c r="O17" s="2"/>
      <c r="P17" s="1"/>
      <c r="Q17" s="2" t="str">
        <f>HYPERLINK("http://exon.niaid.nih.gov/transcriptome/An_gambiae_male_2006/ST1/links/AGM-contig_14-AGPROT.txt","ENSANGP00000017682")</f>
        <v>ENSANGP00000017682</v>
      </c>
      <c r="R17" s="1" t="str">
        <f>HYPERLINK("http://www.ensembl.org/Anopheles_gambiae/protview?peptide=ENSANGP00000017682","2E-058")</f>
        <v>2E-058</v>
      </c>
      <c r="S17" s="1" t="str">
        <f>HYPERLINK("http://www.anobase.org/cgi-bin/uniexcel_new_var6.pl?proteinname=ENSANGP00000017682","2E-058")</f>
        <v>2E-058</v>
      </c>
      <c r="T17" s="2" t="str">
        <f>HYPERLINK("http://exon.niaid.nih.gov/transcriptome/An_gambiae_male_2006/ST1/links/AGCDS/AGM-contig_14-AGCDS.txt","ENSANGT00000017682")</f>
        <v>ENSANGT00000017682</v>
      </c>
      <c r="U17" s="1">
        <v>1E-174</v>
      </c>
      <c r="V17" s="2" t="str">
        <f>HYPERLINK("http://exon.niaid.nih.gov/transcriptome/An_gambiae_male_2006/ST1/links/AGM-contig_14-AGSAL.txt","Ag_sal_maltase")</f>
        <v>Ag_sal_maltase</v>
      </c>
      <c r="W17" s="1">
        <v>9E-62</v>
      </c>
      <c r="X17" s="1">
        <v>99</v>
      </c>
      <c r="Y17" s="1">
        <v>19</v>
      </c>
      <c r="Z17" s="2" t="str">
        <f>HYPERLINK("http://exon.niaid.nih.gov/transcriptome/An_gambiae_male_2006/ST1/links/AGM-contig_14-AGNUC.txt","AG-contig_104")</f>
        <v>AG-contig_104</v>
      </c>
      <c r="AA17" s="1">
        <v>0</v>
      </c>
      <c r="AB17" s="2" t="str">
        <f>HYPERLINK("http://exon.niaid.nih.gov/transcriptome/An_gambiae_male_2006/ST1/links/AGM-contig_14-NR.txt","ENSANGP00000017682 [Anopheles gambiae]   223   8e-058")</f>
        <v>ENSANGP00000017682 [Anopheles gambiae]   223   8e-058</v>
      </c>
      <c r="AC17" s="1" t="str">
        <f>HYPERLINK("http://www.ncbi.nlm.nih.gov/sutils/blink.cgi?pid=31241043","8E-058")</f>
        <v>8E-058</v>
      </c>
      <c r="AD17" s="1" t="s">
        <v>313</v>
      </c>
      <c r="AE17" s="9" t="s">
        <v>809</v>
      </c>
      <c r="AF17" s="6" t="s">
        <v>91</v>
      </c>
      <c r="AG17" s="6" t="s">
        <v>43</v>
      </c>
      <c r="AH17" s="6"/>
      <c r="AI17" s="2"/>
      <c r="AJ17" s="4"/>
      <c r="AK17" s="2"/>
      <c r="AL17" s="4"/>
      <c r="AM17" s="1"/>
      <c r="AN17" s="2"/>
      <c r="AO17" s="1"/>
      <c r="AP17" s="2"/>
      <c r="AQ17" s="1"/>
    </row>
    <row r="18" spans="1:43" ht="9.75">
      <c r="A18" t="str">
        <f>HYPERLINK("http://exon.niaid.nih.gov/transcriptome/An_gambiae_male_2006/ST1/links/AGM-contig_15.txt","AGM-contig_15")</f>
        <v>AGM-contig_15</v>
      </c>
      <c r="B18" s="1">
        <v>13</v>
      </c>
      <c r="C18" s="1">
        <v>161</v>
      </c>
      <c r="D18" s="1" t="s">
        <v>209</v>
      </c>
      <c r="E18" s="1">
        <v>53.4</v>
      </c>
      <c r="F18" s="1">
        <v>142</v>
      </c>
      <c r="G18" t="str">
        <f>HYPERLINK("http://exon.niaid.nih.gov/transcriptome/An_gambiae_male_2006/ST1/links/AGM-7-90-90-asb-15.txt","Contig-15")</f>
        <v>Contig-15</v>
      </c>
      <c r="H18" s="1">
        <v>15</v>
      </c>
      <c r="I18" t="str">
        <f>HYPERLINK("http://exon.niaid.nih.gov/transcriptome/An_gambiae_male_2006/ST1/links/AGM-7-90-90-15-CLU.txt","Contig15")</f>
        <v>Contig15</v>
      </c>
      <c r="J18" t="s">
        <v>224</v>
      </c>
      <c r="K18" s="2" t="str">
        <f>HYPERLINK("http://exon.niaid.nih.gov/transcriptome/An_gambiae_male_2006/ST1/links/AGM-contig_15-AGFRAG.txt","2R_Piece#618")</f>
        <v>2R_Piece#618</v>
      </c>
      <c r="L18" s="4">
        <v>2E-62</v>
      </c>
      <c r="M18" s="2" t="str">
        <f>HYPERLINK("http://exon.niaid.nih.gov/transcriptome/An_gambiae_male_2006/ST1/links/AGM-contig_15-AG3P.txt","ENSANGP00000017682")</f>
        <v>ENSANGP00000017682</v>
      </c>
      <c r="N18" s="1" t="str">
        <f>HYPERLINK("http://www.anobase.org/cgi-bin/uniexcel_new_var6.pl?proteinname=ENSANGP00000017682","5.E-63")</f>
        <v>5.E-63</v>
      </c>
      <c r="O18" s="2"/>
      <c r="P18" s="1"/>
      <c r="Q18" s="2" t="str">
        <f>HYPERLINK("http://exon.niaid.nih.gov/transcriptome/An_gambiae_male_2006/ST1/links/AGM-contig_15-AGPROT.txt","ENSANGP00000017682")</f>
        <v>ENSANGP00000017682</v>
      </c>
      <c r="R18" s="1" t="str">
        <f>HYPERLINK("http://www.ensembl.org/Anopheles_gambiae/protview?peptide=ENSANGP00000017682","3E-009")</f>
        <v>3E-009</v>
      </c>
      <c r="S18" s="1" t="str">
        <f>HYPERLINK("http://www.anobase.org/cgi-bin/uniexcel_new_var6.pl?proteinname=ENSANGP00000017682","3E-009")</f>
        <v>3E-009</v>
      </c>
      <c r="T18" s="2" t="str">
        <f>HYPERLINK("http://exon.niaid.nih.gov/transcriptome/An_gambiae_male_2006/ST1/links/AGCDS/AGM-contig_15-AGCDS.txt","ENSANGT00000017682")</f>
        <v>ENSANGT00000017682</v>
      </c>
      <c r="U18" s="1">
        <v>4E-36</v>
      </c>
      <c r="V18" s="2" t="str">
        <f>HYPERLINK("http://exon.niaid.nih.gov/transcriptome/An_gambiae_male_2006/ST1/links/AGM-contig_15-AGSAL.txt","Ag_sal_maltase")</f>
        <v>Ag_sal_maltase</v>
      </c>
      <c r="W18" s="1">
        <v>9E-13</v>
      </c>
      <c r="X18" s="1">
        <v>100</v>
      </c>
      <c r="Y18" s="1">
        <v>5</v>
      </c>
      <c r="Z18" s="2" t="str">
        <f>HYPERLINK("http://exon.niaid.nih.gov/transcriptome/An_gambiae_male_2006/ST1/links/AGM-contig_15-AGNUC.txt","AG-contig_104")</f>
        <v>AG-contig_104</v>
      </c>
      <c r="AA18" s="1">
        <v>8E-70</v>
      </c>
      <c r="AB18" s="2" t="str">
        <f>HYPERLINK("http://exon.niaid.nih.gov/transcriptome/An_gambiae_male_2006/ST1/links/AGM-contig_15-NR.txt","ENSANGP00000017682 [Anopheles gambiae]    59   3e-008")</f>
        <v>ENSANGP00000017682 [Anopheles gambiae]    59   3e-008</v>
      </c>
      <c r="AC18" s="1" t="str">
        <f>HYPERLINK("http://www.ncbi.nlm.nih.gov/sutils/blink.cgi?pid=31241043","3E-008")</f>
        <v>3E-008</v>
      </c>
      <c r="AD18" s="1" t="s">
        <v>313</v>
      </c>
      <c r="AE18" s="9" t="s">
        <v>97</v>
      </c>
      <c r="AF18" s="6" t="s">
        <v>91</v>
      </c>
      <c r="AG18" s="6" t="s">
        <v>43</v>
      </c>
      <c r="AH18" s="6"/>
      <c r="AI18" s="2"/>
      <c r="AJ18" s="4"/>
      <c r="AK18" s="2"/>
      <c r="AL18" s="4"/>
      <c r="AM18" s="1"/>
      <c r="AN18" s="2"/>
      <c r="AO18" s="1"/>
      <c r="AP18" s="2"/>
      <c r="AQ18" s="1"/>
    </row>
    <row r="19" spans="1:42" s="14" customFormat="1" ht="9.75">
      <c r="A19" s="13" t="s">
        <v>776</v>
      </c>
      <c r="K19" s="15"/>
      <c r="L19" s="16"/>
      <c r="M19" s="15"/>
      <c r="O19" s="15"/>
      <c r="Q19" s="15"/>
      <c r="T19" s="15"/>
      <c r="V19" s="15"/>
      <c r="Z19" s="15"/>
      <c r="AB19" s="15"/>
      <c r="AE19" s="17"/>
      <c r="AF19" s="18"/>
      <c r="AG19" s="18"/>
      <c r="AH19" s="18"/>
      <c r="AI19" s="15"/>
      <c r="AJ19" s="16"/>
      <c r="AK19" s="15"/>
      <c r="AL19" s="16"/>
      <c r="AN19" s="15"/>
      <c r="AP19" s="15"/>
    </row>
    <row r="20" spans="1:43" ht="9.75">
      <c r="A20" t="str">
        <f>HYPERLINK("http://exon.niaid.nih.gov/transcriptome/An_gambiae_male_2006/ST1/links/AGM-contig_52.txt","AGM-contig_52")</f>
        <v>AGM-contig_52</v>
      </c>
      <c r="B20" s="1">
        <v>12</v>
      </c>
      <c r="C20" s="1">
        <v>349</v>
      </c>
      <c r="D20" s="1" t="s">
        <v>209</v>
      </c>
      <c r="E20" s="1">
        <v>60.2</v>
      </c>
      <c r="F20" s="1">
        <v>330</v>
      </c>
      <c r="G20" t="str">
        <f>HYPERLINK("http://exon.niaid.nih.gov/transcriptome/An_gambiae_male_2006/ST1/links/AGM-7-90-90-asb-52.txt","Contig-52")</f>
        <v>Contig-52</v>
      </c>
      <c r="H20" s="1">
        <v>52</v>
      </c>
      <c r="I20" t="str">
        <f>HYPERLINK("http://exon.niaid.nih.gov/transcriptome/An_gambiae_male_2006/ST1/links/AGM-7-90-90-52-CLU.txt","Contig52")</f>
        <v>Contig52</v>
      </c>
      <c r="J20" t="s">
        <v>262</v>
      </c>
      <c r="K20" s="2" t="str">
        <f>HYPERLINK("http://exon.niaid.nih.gov/transcriptome/An_gambiae_male_2006/ST1/links/AGM-contig_52-AGFRAG.txt","2L_Piece#1817")</f>
        <v>2L_Piece#1817</v>
      </c>
      <c r="L20" s="4">
        <v>3E-94</v>
      </c>
      <c r="M20" s="2" t="str">
        <f>HYPERLINK("http://exon.niaid.nih.gov/transcriptome/An_gambiae_male_2006/ST1/links/AGM-contig_52-AG3P.txt","ENSANGP00000022875")</f>
        <v>ENSANGP00000022875</v>
      </c>
      <c r="N20" s="1" t="str">
        <f>HYPERLINK("http://www.anobase.org/cgi-bin/uniexcel_new_var6.pl?proteinname=ENSANGP00000022875","6.E-95")</f>
        <v>6.E-95</v>
      </c>
      <c r="O20" s="2" t="str">
        <f>HYPERLINK("http://exon.niaid.nih.gov/transcriptome/An_gambiae_male_2006/ST1/links/AGM-contig_52-AG5P.txt","ENSANGP00000017890")</f>
        <v>ENSANGP00000017890</v>
      </c>
      <c r="P20" s="1" t="str">
        <f>HYPERLINK("http://www.anobase.org/cgi-bin/uniexcel_new_var6.pl?proteinname=ENSANGP00000017890","6.E-95")</f>
        <v>6.E-95</v>
      </c>
      <c r="Q20" s="2" t="str">
        <f>HYPERLINK("http://exon.niaid.nih.gov/transcriptome/An_gambiae_male_2006/ST1/links/AGM-contig_52-AGPROT.txt","ENSANGP00000022875")</f>
        <v>ENSANGP00000022875</v>
      </c>
      <c r="R20" s="1" t="str">
        <f>HYPERLINK("http://www.ensembl.org/Anopheles_gambiae/protview?peptide=ENSANGP00000022875","2E-050")</f>
        <v>2E-050</v>
      </c>
      <c r="S20" s="1" t="str">
        <f>HYPERLINK("http://www.anobase.org/cgi-bin/uniexcel_new_var6.pl?proteinname=ENSANGP00000022875","2E-050")</f>
        <v>2E-050</v>
      </c>
      <c r="T20" s="2" t="str">
        <f>HYPERLINK("http://exon.niaid.nih.gov/transcriptome/An_gambiae_male_2006/ST1/links/AGCDS/AGM-contig_52-AGCDS.txt","ENSANGT00000025070")</f>
        <v>ENSANGT00000025070</v>
      </c>
      <c r="U20" s="1">
        <v>1E-166</v>
      </c>
      <c r="V20" s="2" t="str">
        <f>HYPERLINK("http://exon.niaid.nih.gov/transcriptome/An_gambiae_male_2006/ST1/links/AGM-contig_52-AGSAL.txt","Ag_sal_Lyzo1")</f>
        <v>Ag_sal_Lyzo1</v>
      </c>
      <c r="W20" s="1">
        <v>1E-52</v>
      </c>
      <c r="X20" s="1">
        <v>100</v>
      </c>
      <c r="Y20" s="1">
        <v>60</v>
      </c>
      <c r="Z20" s="2" t="str">
        <f>HYPERLINK("http://exon.niaid.nih.gov/transcriptome/An_gambiae_male_2006/ST1/links/AGM-contig_52-AGNUC.txt","AG-contig_67")</f>
        <v>AG-contig_67</v>
      </c>
      <c r="AA20" s="1">
        <v>0</v>
      </c>
      <c r="AB20" s="2" t="str">
        <f>HYPERLINK("http://exon.niaid.nih.gov/transcriptome/An_gambiae_male_2006/ST1/links/AGM-contig_52-NR.txt","ENSANGP00000022875 [Anopheles gambi")</f>
        <v>ENSANGP00000022875 [Anopheles gambi</v>
      </c>
      <c r="AC20" s="1" t="str">
        <f>HYPERLINK("http://www.ncbi.nlm.nih.gov/sutils/blink.cgi?pid=31199067","2E-048")</f>
        <v>2E-048</v>
      </c>
      <c r="AD20" s="1" t="s">
        <v>313</v>
      </c>
      <c r="AE20" s="9" t="s">
        <v>3</v>
      </c>
      <c r="AF20" s="6" t="s">
        <v>358</v>
      </c>
      <c r="AG20" s="6" t="s">
        <v>505</v>
      </c>
      <c r="AH20" s="6"/>
      <c r="AI20" s="2"/>
      <c r="AJ20" s="4"/>
      <c r="AK20" s="2"/>
      <c r="AL20" s="4"/>
      <c r="AM20" s="1"/>
      <c r="AN20" s="2"/>
      <c r="AO20" s="1"/>
      <c r="AP20" s="2"/>
      <c r="AQ20" s="1"/>
    </row>
    <row r="21" spans="1:42" s="14" customFormat="1" ht="9.75">
      <c r="A21" s="19" t="s">
        <v>779</v>
      </c>
      <c r="K21" s="15"/>
      <c r="L21" s="16"/>
      <c r="M21" s="15"/>
      <c r="O21" s="15"/>
      <c r="Q21" s="15"/>
      <c r="T21" s="15"/>
      <c r="V21" s="15"/>
      <c r="Z21" s="15"/>
      <c r="AB21" s="15"/>
      <c r="AE21" s="17"/>
      <c r="AF21" s="18"/>
      <c r="AG21" s="18"/>
      <c r="AH21" s="18"/>
      <c r="AI21" s="15"/>
      <c r="AJ21" s="16"/>
      <c r="AK21" s="15"/>
      <c r="AL21" s="16"/>
      <c r="AN21" s="15"/>
      <c r="AP21" s="15"/>
    </row>
    <row r="22" spans="1:43" ht="9.75">
      <c r="A22" t="str">
        <f>HYPERLINK("http://exon.niaid.nih.gov/transcriptome/An_gambiae_male_2006/ST1/links/AGM-contig_279.txt","AGM-contig_279")</f>
        <v>AGM-contig_279</v>
      </c>
      <c r="B22" s="1">
        <v>1</v>
      </c>
      <c r="C22" s="1">
        <v>209</v>
      </c>
      <c r="D22" s="1" t="s">
        <v>209</v>
      </c>
      <c r="E22" s="1">
        <v>65.6</v>
      </c>
      <c r="F22" s="1">
        <v>190</v>
      </c>
      <c r="G22" t="str">
        <f>HYPERLINK("http://exon.niaid.nih.gov/transcriptome/An_gambiae_male_2006/ST1/links/AGM-7-90-90-asb-279.txt","Contig-279")</f>
        <v>Contig-279</v>
      </c>
      <c r="H22" s="1">
        <v>279</v>
      </c>
      <c r="I22" t="str">
        <f>HYPERLINK("http://exon.niaid.nih.gov/transcriptome/An_gambiae_male_2006/ST1/links/AGM-7-90-90-279-CLU.txt","Contig279")</f>
        <v>Contig279</v>
      </c>
      <c r="J22" t="s">
        <v>146</v>
      </c>
      <c r="K22" s="2" t="str">
        <f>HYPERLINK("http://exon.niaid.nih.gov/transcriptome/An_gambiae_male_2006/ST1/links/AGM-contig_279-AGFRAG.txt","2R_Piece#2419")</f>
        <v>2R_Piece#2419</v>
      </c>
      <c r="L22" s="4">
        <v>5E-98</v>
      </c>
      <c r="M22" s="2" t="str">
        <f>HYPERLINK("http://exon.niaid.nih.gov/transcriptome/An_gambiae_male_2006/ST1/links/AGM-contig_279-AG3P.txt","ENSANGP00000026023")</f>
        <v>ENSANGP00000026023</v>
      </c>
      <c r="N22" s="1" t="str">
        <f>HYPERLINK("http://www.anobase.org/cgi-bin/uniexcel_new_var6.pl?proteinname=ENSANGP00000026023","1.E-79")</f>
        <v>1.E-79</v>
      </c>
      <c r="O22" s="2" t="str">
        <f>HYPERLINK("http://exon.niaid.nih.gov/transcriptome/An_gambiae_male_2006/ST1/links/AGM-contig_279-AG5P.txt","ENSANGP00000026023")</f>
        <v>ENSANGP00000026023</v>
      </c>
      <c r="P22" s="1" t="str">
        <f>HYPERLINK("http://www.anobase.org/cgi-bin/uniexcel_new_var6.pl?proteinname=ENSANGP00000026023","1.E-98")</f>
        <v>1.E-98</v>
      </c>
      <c r="Q22" s="2" t="str">
        <f>HYPERLINK("http://exon.niaid.nih.gov/transcriptome/An_gambiae_male_2006/ST1/links/AGM-contig_279-AGPROT.txt","ENSANGP00000026023")</f>
        <v>ENSANGP00000026023</v>
      </c>
      <c r="R22" s="1" t="str">
        <f>HYPERLINK("http://www.ensembl.org/Anopheles_gambiae/protview?peptide=ENSANGP00000026023","3E-028")</f>
        <v>3E-028</v>
      </c>
      <c r="S22" s="1" t="str">
        <f>HYPERLINK("http://www.anobase.org/cgi-bin/uniexcel_new_var6.pl?proteinname=ENSANGP00000026023","3E-028")</f>
        <v>3E-028</v>
      </c>
      <c r="T22" s="2" t="str">
        <f>HYPERLINK("http://exon.niaid.nih.gov/transcriptome/An_gambiae_male_2006/ST1/links/AGCDS/AGM-contig_279-AGCDS.txt","ENSANGT00000025996")</f>
        <v>ENSANGT00000025996</v>
      </c>
      <c r="U22" s="1">
        <v>2E-87</v>
      </c>
      <c r="V22" s="2"/>
      <c r="W22" s="1"/>
      <c r="X22" s="1"/>
      <c r="Y22" s="1"/>
      <c r="Z22" s="2"/>
      <c r="AA22" s="1"/>
      <c r="AB22" s="2" t="str">
        <f>HYPERLINK("http://exon.niaid.nih.gov/transcriptome/An_gambiae_male_2006/ST1/links/AGM-contig_279-NR.txt","ENSANGP00000026023 [Anopheles gambiae")</f>
        <v>ENSANGP00000026023 [Anopheles gambiae</v>
      </c>
      <c r="AC22" s="1" t="str">
        <f>HYPERLINK("http://www.ncbi.nlm.nih.gov/sutils/blink.cgi?pid=55239526","3E-026")</f>
        <v>3E-026</v>
      </c>
      <c r="AD22" s="1" t="s">
        <v>313</v>
      </c>
      <c r="AE22" s="9" t="s">
        <v>506</v>
      </c>
      <c r="AF22" s="6" t="s">
        <v>798</v>
      </c>
      <c r="AG22" s="6" t="s">
        <v>511</v>
      </c>
      <c r="AH22" s="6"/>
      <c r="AI22" s="2"/>
      <c r="AJ22" s="4"/>
      <c r="AK22" s="2"/>
      <c r="AL22" s="4"/>
      <c r="AM22" s="1"/>
      <c r="AN22" s="2"/>
      <c r="AO22" s="1"/>
      <c r="AP22" s="2"/>
      <c r="AQ22" s="1"/>
    </row>
    <row r="23" spans="1:43" ht="9.75">
      <c r="A23" t="str">
        <f>HYPERLINK("http://exon.niaid.nih.gov/transcriptome/An_gambiae_male_2006/ST1/links/AGM-contig_83.txt","AGM-contig_83")</f>
        <v>AGM-contig_83</v>
      </c>
      <c r="B23" s="1">
        <v>2</v>
      </c>
      <c r="C23" s="1">
        <v>470</v>
      </c>
      <c r="D23" s="1" t="s">
        <v>209</v>
      </c>
      <c r="E23" s="1">
        <v>48.5</v>
      </c>
      <c r="F23" s="1">
        <v>451</v>
      </c>
      <c r="G23" t="str">
        <f>HYPERLINK("http://exon.niaid.nih.gov/transcriptome/An_gambiae_male_2006/ST1/links/AGM-7-90-90-asb-83.txt","Contig-83")</f>
        <v>Contig-83</v>
      </c>
      <c r="H23" s="1">
        <v>83</v>
      </c>
      <c r="I23" t="str">
        <f>HYPERLINK("http://exon.niaid.nih.gov/transcriptome/An_gambiae_male_2006/ST1/links/AGM-7-90-90-83-CLU.txt","Contig83")</f>
        <v>Contig83</v>
      </c>
      <c r="J23" t="s">
        <v>536</v>
      </c>
      <c r="K23" s="2" t="str">
        <f>HYPERLINK("http://exon.niaid.nih.gov/transcriptome/An_gambiae_male_2006/ST1/links/AGM-contig_83-AGFRAG.txt","2L_Piece#1123")</f>
        <v>2L_Piece#1123</v>
      </c>
      <c r="L23" s="4">
        <v>0</v>
      </c>
      <c r="M23" s="2" t="str">
        <f>HYPERLINK("http://exon.niaid.nih.gov/transcriptome/An_gambiae_male_2006/ST1/links/AGM-contig_83-AG3P.txt","ENSANGP00000020579")</f>
        <v>ENSANGP00000020579</v>
      </c>
      <c r="N23" s="1" t="str">
        <f>HYPERLINK("http://www.anobase.org/cgi-bin/uniexcel_new_var6.pl?proteinname=ENSANGP00000020579","0.E+00")</f>
        <v>0.E+00</v>
      </c>
      <c r="O23" s="2"/>
      <c r="P23" s="1"/>
      <c r="Q23" s="2" t="str">
        <f>HYPERLINK("http://exon.niaid.nih.gov/transcriptome/An_gambiae_male_2006/ST1/links/AGM-contig_83-AGPROT.txt","ENSANGP00000011472")</f>
        <v>ENSANGP00000011472</v>
      </c>
      <c r="R23" s="1" t="str">
        <f>HYPERLINK("http://www.ensembl.org/Anopheles_gambiae/protview?peptide=ENSANGP00000011472","2E-011")</f>
        <v>2E-011</v>
      </c>
      <c r="S23" s="1" t="str">
        <f>HYPERLINK("http://www.anobase.org/cgi-bin/uniexcel_new_var6.pl?proteinname=ENSANGP00000011472","2E-011")</f>
        <v>2E-011</v>
      </c>
      <c r="T23" s="2"/>
      <c r="U23" s="1"/>
      <c r="V23" s="2"/>
      <c r="W23" s="1"/>
      <c r="X23" s="1"/>
      <c r="Y23" s="1"/>
      <c r="Z23" s="2" t="str">
        <f>HYPERLINK("http://exon.niaid.nih.gov/transcriptome/An_gambiae_male_2006/ST1/links/AGM-contig_83-AGNUC.txt","AG-contig_518")</f>
        <v>AG-contig_518</v>
      </c>
      <c r="AA23" s="1">
        <v>3E-07</v>
      </c>
      <c r="AB23" s="2" t="str">
        <f>HYPERLINK("http://exon.niaid.nih.gov/transcriptome/An_gambiae_male_2006/ST1/links/AGM-contig_83-NR.txt","putative salivary secreted serine pro")</f>
        <v>putative salivary secreted serine pro</v>
      </c>
      <c r="AC23" s="1" t="str">
        <f>HYPERLINK("http://www.ncbi.nlm.nih.gov/sutils/blink.cgi?pid=27372905","2E-033")</f>
        <v>2E-033</v>
      </c>
      <c r="AD23" s="1" t="s">
        <v>313</v>
      </c>
      <c r="AE23" s="9" t="s">
        <v>447</v>
      </c>
      <c r="AF23" s="6" t="s">
        <v>94</v>
      </c>
      <c r="AG23" s="6" t="s">
        <v>505</v>
      </c>
      <c r="AH23" s="6"/>
      <c r="AI23" s="2"/>
      <c r="AJ23" s="4"/>
      <c r="AK23" s="2"/>
      <c r="AL23" s="4"/>
      <c r="AM23" s="1"/>
      <c r="AN23" s="2"/>
      <c r="AO23" s="1"/>
      <c r="AP23" s="2"/>
      <c r="AQ23" s="1"/>
    </row>
    <row r="24" spans="1:43" ht="9.75">
      <c r="A24" t="str">
        <f>HYPERLINK("http://exon.niaid.nih.gov/transcriptome/An_gambiae_male_2006/ST1/links/AGM-contig_45.txt","AGM-contig_45")</f>
        <v>AGM-contig_45</v>
      </c>
      <c r="B24" s="1">
        <v>1</v>
      </c>
      <c r="C24" s="1">
        <v>136</v>
      </c>
      <c r="D24" s="1">
        <v>0.7</v>
      </c>
      <c r="E24" s="1">
        <v>78.7</v>
      </c>
      <c r="F24" s="1">
        <v>67</v>
      </c>
      <c r="G24" t="str">
        <f>HYPERLINK("http://exon.niaid.nih.gov/transcriptome/An_gambiae_male_2006/ST1/links/AGM-7-90-90-asb-45.txt","Contig-45")</f>
        <v>Contig-45</v>
      </c>
      <c r="H24" s="1">
        <v>45</v>
      </c>
      <c r="I24" t="str">
        <f>HYPERLINK("http://exon.niaid.nih.gov/transcriptome/An_gambiae_male_2006/ST1/links/AGM-7-90-90-45-CLU.txt","Contig45")</f>
        <v>Contig45</v>
      </c>
      <c r="J24" t="s">
        <v>254</v>
      </c>
      <c r="K24" s="2" t="str">
        <f>HYPERLINK("http://exon.niaid.nih.gov/transcriptome/An_gambiae_male_2006/ST1/links/AGM-contig_45-AGFRAG.txt","2L_Piece#852")</f>
        <v>2L_Piece#852</v>
      </c>
      <c r="L24" s="4">
        <v>6E-13</v>
      </c>
      <c r="M24" s="2" t="str">
        <f>HYPERLINK("http://exon.niaid.nih.gov/transcriptome/An_gambiae_male_2006/ST1/links/AGM-contig_45-AG3P.txt","ENSANGP00000022839")</f>
        <v>ENSANGP00000022839</v>
      </c>
      <c r="N24" s="1" t="str">
        <f>HYPERLINK("http://www.anobase.org/cgi-bin/uniexcel_new_var6.pl?proteinname=ENSANGP00000022839","1.E-13")</f>
        <v>1.E-13</v>
      </c>
      <c r="O24" s="2"/>
      <c r="P24" s="1"/>
      <c r="Q24" s="2"/>
      <c r="R24" s="1"/>
      <c r="S24" s="1"/>
      <c r="T24" s="2"/>
      <c r="U24" s="1"/>
      <c r="V24" s="2"/>
      <c r="W24" s="1"/>
      <c r="X24" s="1"/>
      <c r="Y24" s="1"/>
      <c r="Z24" s="2" t="str">
        <f>HYPERLINK("http://exon.niaid.nih.gov/transcriptome/An_gambiae_male_2006/ST1/links/AGM-contig_45-AGNUC.txt","AG-contig_112")</f>
        <v>AG-contig_112</v>
      </c>
      <c r="AA24" s="1">
        <v>2E-14</v>
      </c>
      <c r="AB24" s="2"/>
      <c r="AC24" s="1"/>
      <c r="AD24" s="1"/>
      <c r="AE24" s="9"/>
      <c r="AF24" s="6" t="s">
        <v>86</v>
      </c>
      <c r="AG24" s="6" t="s">
        <v>65</v>
      </c>
      <c r="AH24" s="6"/>
      <c r="AI24" s="2"/>
      <c r="AJ24" s="4"/>
      <c r="AK24" s="2"/>
      <c r="AL24" s="4"/>
      <c r="AM24" s="1"/>
      <c r="AN24" s="2"/>
      <c r="AO24" s="1"/>
      <c r="AP24" s="2"/>
      <c r="AQ24" s="1"/>
    </row>
    <row r="25" spans="1:43" ht="9.75">
      <c r="A25" t="str">
        <f>HYPERLINK("http://exon.niaid.nih.gov/transcriptome/An_gambiae_male_2006/ST1/links/AGM-contig_286.txt","AGM-contig_286")</f>
        <v>AGM-contig_286</v>
      </c>
      <c r="B25" s="1">
        <v>1</v>
      </c>
      <c r="C25" s="1">
        <v>93</v>
      </c>
      <c r="D25" s="1" t="s">
        <v>209</v>
      </c>
      <c r="E25" s="1">
        <v>65.6</v>
      </c>
      <c r="F25" s="1">
        <v>65</v>
      </c>
      <c r="G25" t="str">
        <f>HYPERLINK("http://exon.niaid.nih.gov/transcriptome/An_gambiae_male_2006/ST1/links/AGM-7-90-90-asb-286.txt","Contig-286")</f>
        <v>Contig-286</v>
      </c>
      <c r="H25" s="1">
        <v>286</v>
      </c>
      <c r="I25" t="str">
        <f>HYPERLINK("http://exon.niaid.nih.gov/transcriptome/An_gambiae_male_2006/ST1/links/AGM-7-90-90-286-CLU.txt","Contig286")</f>
        <v>Contig286</v>
      </c>
      <c r="J25" t="s">
        <v>153</v>
      </c>
      <c r="K25" s="2" t="str">
        <f>HYPERLINK("http://exon.niaid.nih.gov/transcriptome/An_gambiae_male_2006/ST1/links/AGM-contig_286-AGFRAG.txt","3R_Piece#353")</f>
        <v>3R_Piece#353</v>
      </c>
      <c r="L25" s="4">
        <v>5E-25</v>
      </c>
      <c r="M25" s="2" t="str">
        <f>HYPERLINK("http://exon.niaid.nih.gov/transcriptome/An_gambiae_male_2006/ST1/links/AGM-contig_286-AG3P.txt","ENSANGP00000018375")</f>
        <v>ENSANGP00000018375</v>
      </c>
      <c r="N25" s="1" t="str">
        <f>HYPERLINK("http://www.anobase.org/cgi-bin/uniexcel_new_var6.pl?proteinname=ENSANGP00000018375","1.E-25")</f>
        <v>1.E-25</v>
      </c>
      <c r="O25" s="2" t="str">
        <f>HYPERLINK("http://exon.niaid.nih.gov/transcriptome/An_gambiae_male_2006/ST1/links/AGM-contig_286-AG5P.txt","ENSANGP00000018282")</f>
        <v>ENSANGP00000018282</v>
      </c>
      <c r="P25" s="1" t="str">
        <f>HYPERLINK("http://www.anobase.org/cgi-bin/uniexcel_new_var6.pl?proteinname=ENSANGP00000018282","1.E-25")</f>
        <v>1.E-25</v>
      </c>
      <c r="Q25" s="2" t="str">
        <f>HYPERLINK("http://exon.niaid.nih.gov/transcriptome/An_gambiae_male_2006/ST1/links/AGM-contig_286-AGPROT.txt","ENSANGP00000018375")</f>
        <v>ENSANGP00000018375</v>
      </c>
      <c r="R25" s="1" t="str">
        <f>HYPERLINK("http://www.ensembl.org/Anopheles_gambiae/protview?peptide=ENSANGP00000018375","9E-005")</f>
        <v>9E-005</v>
      </c>
      <c r="S25" s="1" t="str">
        <f>HYPERLINK("http://www.anobase.org/cgi-bin/uniexcel_new_var6.pl?proteinname=ENSANGP00000018375","9E-005")</f>
        <v>9E-005</v>
      </c>
      <c r="T25" s="2" t="str">
        <f>HYPERLINK("http://exon.niaid.nih.gov/transcriptome/An_gambiae_male_2006/ST1/links/AGCDS/AGM-contig_286-AGCDS.txt","ENSANGT00000018375")</f>
        <v>ENSANGT00000018375</v>
      </c>
      <c r="U25" s="1">
        <v>3E-26</v>
      </c>
      <c r="V25" s="2" t="str">
        <f>HYPERLINK("http://exon.niaid.nih.gov/transcriptome/An_gambiae_male_2006/ST1/links/AGM-contig_286-AGSAL.txt","hyp10")</f>
        <v>hyp10</v>
      </c>
      <c r="W25" s="1">
        <v>3E-07</v>
      </c>
      <c r="X25" s="1">
        <v>100</v>
      </c>
      <c r="Y25" s="1">
        <v>19</v>
      </c>
      <c r="Z25" s="2" t="str">
        <f>HYPERLINK("http://exon.niaid.nih.gov/transcriptome/An_gambiae_male_2006/ST1/links/AGM-contig_286-AGNUC.txt","AG-contig_117")</f>
        <v>AG-contig_117</v>
      </c>
      <c r="AA25" s="1">
        <v>4E-30</v>
      </c>
      <c r="AB25" s="2" t="str">
        <f>HYPERLINK("http://exon.niaid.nih.gov/transcriptome/An_gambiae_male_2006/ST1/links/AGM-contig_286-NR.txt","hypothetical protein 10 [Anopheles ga")</f>
        <v>hypothetical protein 10 [Anopheles ga</v>
      </c>
      <c r="AC25" s="1" t="str">
        <f>HYPERLINK("http://www.ncbi.nlm.nih.gov/sutils/blink.cgi?pid=18389901","0.010")</f>
        <v>0.010</v>
      </c>
      <c r="AD25" s="1" t="s">
        <v>313</v>
      </c>
      <c r="AE25" s="9" t="s">
        <v>836</v>
      </c>
      <c r="AF25" s="6" t="s">
        <v>42</v>
      </c>
      <c r="AG25" s="6" t="s">
        <v>747</v>
      </c>
      <c r="AH25" s="6"/>
      <c r="AI25" s="2"/>
      <c r="AJ25" s="4"/>
      <c r="AK25" s="2"/>
      <c r="AL25" s="4"/>
      <c r="AM25" s="1"/>
      <c r="AN25" s="2"/>
      <c r="AO25" s="1"/>
      <c r="AP25" s="2"/>
      <c r="AQ25" s="1"/>
    </row>
    <row r="26" spans="1:43" ht="9.75">
      <c r="A26" t="str">
        <f>HYPERLINK("http://exon.niaid.nih.gov/transcriptome/An_gambiae_male_2006/ST1/links/AGM-contig_324.txt","AGM-contig_324")</f>
        <v>AGM-contig_324</v>
      </c>
      <c r="B26" s="1">
        <v>1</v>
      </c>
      <c r="C26" s="1">
        <v>112</v>
      </c>
      <c r="D26" s="1">
        <v>3.6</v>
      </c>
      <c r="E26" s="1">
        <v>63.4</v>
      </c>
      <c r="F26" s="1">
        <v>93</v>
      </c>
      <c r="G26" t="str">
        <f>HYPERLINK("http://exon.niaid.nih.gov/transcriptome/An_gambiae_male_2006/ST1/links/AGM-7-90-90-asb-324.txt","Contig-324")</f>
        <v>Contig-324</v>
      </c>
      <c r="H26" s="1">
        <v>324</v>
      </c>
      <c r="I26" t="str">
        <f>HYPERLINK("http://exon.niaid.nih.gov/transcriptome/An_gambiae_male_2006/ST1/links/AGM-7-90-90-324-CLU.txt","Contig324")</f>
        <v>Contig324</v>
      </c>
      <c r="J26" t="s">
        <v>191</v>
      </c>
      <c r="K26" s="2" t="str">
        <f>HYPERLINK("http://exon.niaid.nih.gov/transcriptome/An_gambiae_male_2006/ST1/links/AGM-contig_324-AGFRAG.txt","3R_Piece#353")</f>
        <v>3R_Piece#353</v>
      </c>
      <c r="L26" s="4">
        <v>8E-18</v>
      </c>
      <c r="M26" s="2" t="str">
        <f>HYPERLINK("http://exon.niaid.nih.gov/transcriptome/An_gambiae_male_2006/ST1/links/AGM-contig_324-AG3P.txt","ENSANGP00000018375")</f>
        <v>ENSANGP00000018375</v>
      </c>
      <c r="N26" s="1" t="str">
        <f>HYPERLINK("http://www.anobase.org/cgi-bin/uniexcel_new_var6.pl?proteinname=ENSANGP00000018375","2.E-18")</f>
        <v>2.E-18</v>
      </c>
      <c r="O26" s="2" t="str">
        <f>HYPERLINK("http://exon.niaid.nih.gov/transcriptome/An_gambiae_male_2006/ST1/links/AGM-contig_324-AG5P.txt","ENSANGP00000018282")</f>
        <v>ENSANGP00000018282</v>
      </c>
      <c r="P26" s="1" t="str">
        <f>HYPERLINK("http://www.anobase.org/cgi-bin/uniexcel_new_var6.pl?proteinname=ENSANGP00000018282","2.E-18")</f>
        <v>2.E-18</v>
      </c>
      <c r="Q26" s="2"/>
      <c r="R26" s="1"/>
      <c r="S26" s="1"/>
      <c r="T26" s="2" t="str">
        <f>HYPERLINK("http://exon.niaid.nih.gov/transcriptome/An_gambiae_male_2006/ST1/links/AGCDS/AGM-contig_324-AGCDS.txt","ENSANGT00000018375")</f>
        <v>ENSANGT00000018375</v>
      </c>
      <c r="U26" s="1">
        <v>5E-19</v>
      </c>
      <c r="V26" s="2"/>
      <c r="W26" s="1"/>
      <c r="X26" s="1"/>
      <c r="Y26" s="1"/>
      <c r="Z26" s="2" t="str">
        <f>HYPERLINK("http://exon.niaid.nih.gov/transcriptome/An_gambiae_male_2006/ST1/links/AGM-contig_324-AGNUC.txt","AG-contig_117")</f>
        <v>AG-contig_117</v>
      </c>
      <c r="AA26" s="1">
        <v>2E-20</v>
      </c>
      <c r="AB26" s="2"/>
      <c r="AC26" s="1"/>
      <c r="AD26" s="1"/>
      <c r="AE26" s="9"/>
      <c r="AF26" s="6" t="s">
        <v>42</v>
      </c>
      <c r="AG26" s="6" t="s">
        <v>747</v>
      </c>
      <c r="AH26" s="6"/>
      <c r="AI26" s="2"/>
      <c r="AJ26" s="4"/>
      <c r="AK26" s="2"/>
      <c r="AL26" s="4"/>
      <c r="AM26" s="1"/>
      <c r="AN26" s="2"/>
      <c r="AO26" s="1"/>
      <c r="AP26" s="2"/>
      <c r="AQ26" s="1"/>
    </row>
    <row r="27" spans="1:43" ht="9.75">
      <c r="A27" t="str">
        <f>HYPERLINK("http://exon.niaid.nih.gov/transcriptome/An_gambiae_male_2006/ST1/links/AGM-contig_6.txt","AGM-contig_6")</f>
        <v>AGM-contig_6</v>
      </c>
      <c r="B27" s="1">
        <v>45</v>
      </c>
      <c r="C27" s="1">
        <v>473</v>
      </c>
      <c r="D27" s="1" t="s">
        <v>209</v>
      </c>
      <c r="E27" s="1">
        <v>55.8</v>
      </c>
      <c r="F27" s="1">
        <v>454</v>
      </c>
      <c r="G27" t="str">
        <f>HYPERLINK("http://exon.niaid.nih.gov/transcriptome/An_gambiae_male_2006/ST1/links/AGM-7-90-90-asb-6.txt","Contig-6")</f>
        <v>Contig-6</v>
      </c>
      <c r="H27" s="1">
        <v>6</v>
      </c>
      <c r="I27" t="str">
        <f>HYPERLINK("http://exon.niaid.nih.gov/transcriptome/An_gambiae_male_2006/ST1/links/AGM-7-90-90-6-CLU.txt","Contig6")</f>
        <v>Contig6</v>
      </c>
      <c r="J27" t="s">
        <v>215</v>
      </c>
      <c r="K27" s="2" t="str">
        <f>HYPERLINK("http://exon.niaid.nih.gov/transcriptome/An_gambiae_male_2006/ST1/links/AGM-contig_6-AGFRAG.txt","3R_Piece#353")</f>
        <v>3R_Piece#353</v>
      </c>
      <c r="L27" s="4">
        <v>1E-162</v>
      </c>
      <c r="M27" s="2" t="str">
        <f>HYPERLINK("http://exon.niaid.nih.gov/transcriptome/An_gambiae_male_2006/ST1/links/AGM-contig_6-AG3P.txt","ENSANGP00000018375")</f>
        <v>ENSANGP00000018375</v>
      </c>
      <c r="N27" s="1" t="str">
        <f>HYPERLINK("http://www.anobase.org/cgi-bin/uniexcel_new_var6.pl?proteinname=ENSANGP00000018375","1.E-133")</f>
        <v>1.E-133</v>
      </c>
      <c r="O27" s="2" t="str">
        <f>HYPERLINK("http://exon.niaid.nih.gov/transcriptome/An_gambiae_male_2006/ST1/links/AGM-contig_6-AG5P.txt","ENSANGP00000018282")</f>
        <v>ENSANGP00000018282</v>
      </c>
      <c r="P27" s="1" t="str">
        <f>HYPERLINK("http://www.anobase.org/cgi-bin/uniexcel_new_var6.pl?proteinname=ENSANGP00000018282","1.E-163")</f>
        <v>1.E-163</v>
      </c>
      <c r="Q27" s="2" t="str">
        <f>HYPERLINK("http://exon.niaid.nih.gov/transcriptome/An_gambiae_male_2006/ST1/links/AGM-contig_6-AGPROT.txt","ENSANGP00000018375")</f>
        <v>ENSANGP00000018375</v>
      </c>
      <c r="R27" s="1" t="str">
        <f>HYPERLINK("http://www.ensembl.org/Anopheles_gambiae/protview?peptide=ENSANGP00000018375","1E-047")</f>
        <v>1E-047</v>
      </c>
      <c r="S27" s="1" t="str">
        <f>HYPERLINK("http://www.anobase.org/cgi-bin/uniexcel_new_var6.pl?proteinname=ENSANGP00000018375","1E-047")</f>
        <v>1E-047</v>
      </c>
      <c r="T27" s="2" t="str">
        <f>HYPERLINK("http://exon.niaid.nih.gov/transcriptome/An_gambiae_male_2006/ST1/links/AGCDS/AGM-contig_6-AGCDS.txt","ENSANGT00000018375")</f>
        <v>ENSANGT00000018375</v>
      </c>
      <c r="U27" s="1">
        <v>0</v>
      </c>
      <c r="V27" s="2" t="str">
        <f>HYPERLINK("http://exon.niaid.nih.gov/transcriptome/An_gambiae_male_2006/ST1/links/AGM-contig_6-AGSAL.txt","hyp10")</f>
        <v>hyp10</v>
      </c>
      <c r="W27" s="1">
        <v>6E-50</v>
      </c>
      <c r="X27" s="1">
        <v>98</v>
      </c>
      <c r="Y27" s="1">
        <v>100</v>
      </c>
      <c r="Z27" s="2" t="str">
        <f>HYPERLINK("http://exon.niaid.nih.gov/transcriptome/An_gambiae_male_2006/ST1/links/AGM-contig_6-AGNUC.txt","AG-contig_117")</f>
        <v>AG-contig_117</v>
      </c>
      <c r="AA27" s="1">
        <v>0</v>
      </c>
      <c r="AB27" s="2" t="str">
        <f>HYPERLINK("http://exon.niaid.nih.gov/transcriptome/An_gambiae_male_2006/ST1/links/AGM-contig_6-NR.txt","hypothetical protein 10 [Anopheles ga")</f>
        <v>hypothetical protein 10 [Anopheles ga</v>
      </c>
      <c r="AC27" s="1" t="str">
        <f>HYPERLINK("http://www.ncbi.nlm.nih.gov/sutils/blink.cgi?pid=18389901","3E-046")</f>
        <v>3E-046</v>
      </c>
      <c r="AD27" s="1" t="s">
        <v>313</v>
      </c>
      <c r="AE27" s="9" t="s">
        <v>6</v>
      </c>
      <c r="AF27" s="6" t="s">
        <v>768</v>
      </c>
      <c r="AG27" s="6" t="s">
        <v>747</v>
      </c>
      <c r="AH27" s="6"/>
      <c r="AI27" s="2"/>
      <c r="AJ27" s="4"/>
      <c r="AK27" s="2"/>
      <c r="AL27" s="4"/>
      <c r="AM27" s="1"/>
      <c r="AN27" s="2"/>
      <c r="AO27" s="1"/>
      <c r="AP27" s="2"/>
      <c r="AQ27" s="1"/>
    </row>
    <row r="28" spans="1:43" ht="9.75">
      <c r="A28" t="str">
        <f>HYPERLINK("http://exon.niaid.nih.gov/transcriptome/An_gambiae_male_2006/ST1/links/AGM-contig_94.txt","AGM-contig_94")</f>
        <v>AGM-contig_94</v>
      </c>
      <c r="B28" s="1">
        <v>2</v>
      </c>
      <c r="C28" s="1">
        <v>187</v>
      </c>
      <c r="D28" s="1" t="s">
        <v>209</v>
      </c>
      <c r="E28" s="1">
        <v>61</v>
      </c>
      <c r="F28" s="1">
        <v>168</v>
      </c>
      <c r="G28" t="str">
        <f>HYPERLINK("http://exon.niaid.nih.gov/transcriptome/An_gambiae_male_2006/ST1/links/AGM-7-90-90-asb-94.txt","Contig-94")</f>
        <v>Contig-94</v>
      </c>
      <c r="H28" s="1">
        <v>94</v>
      </c>
      <c r="I28" t="str">
        <f>HYPERLINK("http://exon.niaid.nih.gov/transcriptome/An_gambiae_male_2006/ST1/links/AGM-7-90-90-94-CLU.txt","Contig94")</f>
        <v>Contig94</v>
      </c>
      <c r="J28" t="s">
        <v>547</v>
      </c>
      <c r="K28" s="2" t="str">
        <f>HYPERLINK("http://exon.niaid.nih.gov/transcriptome/An_gambiae_male_2006/ST1/links/AGM-contig_94-AGFRAG.txt","2L_Piece#1298")</f>
        <v>2L_Piece#1298</v>
      </c>
      <c r="L28" s="4">
        <v>4E-61</v>
      </c>
      <c r="M28" s="2"/>
      <c r="N28" s="1"/>
      <c r="O28" s="2"/>
      <c r="P28" s="1"/>
      <c r="Q28" s="2" t="str">
        <f>HYPERLINK("http://exon.niaid.nih.gov/transcriptome/An_gambiae_male_2006/ST1/links/AGM-contig_94-AGPROT.txt","ENSANGP00000022331")</f>
        <v>ENSANGP00000022331</v>
      </c>
      <c r="R28" s="1" t="str">
        <f>HYPERLINK("http://www.ensembl.org/Anopheles_gambiae/protview?peptide=ENSANGP00000022331","6.6")</f>
        <v>6.6</v>
      </c>
      <c r="S28" s="1" t="str">
        <f>HYPERLINK("http://www.anobase.org/cgi-bin/uniexcel_new_var6.pl?proteinname=ENSANGP00000022331","6.6")</f>
        <v>6.6</v>
      </c>
      <c r="T28" s="2"/>
      <c r="U28" s="1"/>
      <c r="V28" s="2" t="str">
        <f>HYPERLINK("http://exon.niaid.nih.gov/transcriptome/An_gambiae_male_2006/ST1/links/AGM-contig_94-AGSAL.txt","hyp6.2")</f>
        <v>hyp6.2</v>
      </c>
      <c r="W28" s="1">
        <v>3E-14</v>
      </c>
      <c r="X28" s="1">
        <v>93</v>
      </c>
      <c r="Y28" s="1">
        <v>35</v>
      </c>
      <c r="Z28" s="2" t="str">
        <f>HYPERLINK("http://exon.niaid.nih.gov/transcriptome/An_gambiae_male_2006/ST1/links/AGM-contig_94-AGNUC.txt","AG-contig_242")</f>
        <v>AG-contig_242</v>
      </c>
      <c r="AA28" s="1">
        <v>4E-78</v>
      </c>
      <c r="AB28" s="2"/>
      <c r="AC28" s="1"/>
      <c r="AD28" s="1"/>
      <c r="AE28" s="9"/>
      <c r="AF28" s="6" t="str">
        <f>HYPERLINK("http://exon.niaid.nih.gov/transcriptome/An_gambiae_male_2006/ST1/links/AGM-contig_94-AGSAL.txt","hyp6.2")</f>
        <v>hyp6.2</v>
      </c>
      <c r="AG28" s="6" t="s">
        <v>85</v>
      </c>
      <c r="AH28" s="6"/>
      <c r="AI28" s="2"/>
      <c r="AJ28" s="4"/>
      <c r="AK28" s="2"/>
      <c r="AL28" s="4"/>
      <c r="AM28" s="1"/>
      <c r="AN28" s="2"/>
      <c r="AO28" s="1"/>
      <c r="AP28" s="2"/>
      <c r="AQ28" s="1"/>
    </row>
    <row r="29" spans="1:43" ht="9.75">
      <c r="A29" t="str">
        <f>HYPERLINK("http://exon.niaid.nih.gov/transcriptome/An_gambiae_male_2006/ST1/links/AGM-contig_13.txt","AGM-contig_13")</f>
        <v>AGM-contig_13</v>
      </c>
      <c r="B29" s="1">
        <v>9</v>
      </c>
      <c r="C29" s="1">
        <v>427</v>
      </c>
      <c r="D29" s="1" t="s">
        <v>209</v>
      </c>
      <c r="E29" s="1">
        <v>57.6</v>
      </c>
      <c r="F29" s="1">
        <v>408</v>
      </c>
      <c r="G29" t="str">
        <f>HYPERLINK("http://exon.niaid.nih.gov/transcriptome/An_gambiae_male_2006/ST1/links/AGM-7-90-90-asb-13.txt","Contig-13")</f>
        <v>Contig-13</v>
      </c>
      <c r="H29" s="1">
        <v>13</v>
      </c>
      <c r="I29" t="str">
        <f>HYPERLINK("http://exon.niaid.nih.gov/transcriptome/An_gambiae_male_2006/ST1/links/AGM-7-90-90-13-CLU.txt","Contig13")</f>
        <v>Contig13</v>
      </c>
      <c r="J29" t="s">
        <v>222</v>
      </c>
      <c r="K29" s="2" t="str">
        <f>HYPERLINK("http://exon.niaid.nih.gov/transcriptome/An_gambiae_male_2006/ST1/links/AGM-contig_13-AGFRAG.txt","3R_Piece#353")</f>
        <v>3R_Piece#353</v>
      </c>
      <c r="L29" s="4">
        <v>1E-140</v>
      </c>
      <c r="M29" s="2" t="str">
        <f>HYPERLINK("http://exon.niaid.nih.gov/transcriptome/An_gambiae_male_2006/ST1/links/AGM-contig_13-AG3P.txt","ENSANGP00000006713")</f>
        <v>ENSANGP00000006713</v>
      </c>
      <c r="N29" s="1" t="str">
        <f>HYPERLINK("http://www.anobase.org/cgi-bin/uniexcel_new_var6.pl?proteinname=ENSANGP00000006713","1.E-141")</f>
        <v>1.E-141</v>
      </c>
      <c r="O29" s="2" t="str">
        <f>HYPERLINK("http://exon.niaid.nih.gov/transcriptome/An_gambiae_male_2006/ST1/links/AGM-contig_13-AG5P.txt","ENSANGP00000018282")</f>
        <v>ENSANGP00000018282</v>
      </c>
      <c r="P29" s="1" t="str">
        <f>HYPERLINK("http://www.anobase.org/cgi-bin/uniexcel_new_var6.pl?proteinname=ENSANGP00000018282","1.E-141")</f>
        <v>1.E-141</v>
      </c>
      <c r="Q29" s="2" t="str">
        <f>HYPERLINK("http://exon.niaid.nih.gov/transcriptome/An_gambiae_male_2006/ST1/links/AGM-contig_13-AGPROT.txt","ENSANGP00000018379")</f>
        <v>ENSANGP00000018379</v>
      </c>
      <c r="R29" s="1" t="str">
        <f>HYPERLINK("http://www.ensembl.org/Anopheles_gambiae/protview?peptide=ENSANGP00000018379","1E-049")</f>
        <v>1E-049</v>
      </c>
      <c r="S29" s="1" t="str">
        <f>HYPERLINK("http://www.anobase.org/cgi-bin/uniexcel_new_var6.pl?proteinname=ENSANGP00000018379","1E-049")</f>
        <v>1E-049</v>
      </c>
      <c r="T29" s="2" t="str">
        <f>HYPERLINK("http://exon.niaid.nih.gov/transcriptome/An_gambiae_male_2006/ST1/links/AGCDS/AGM-contig_13-AGCDS.txt","ENSANGT00000018379")</f>
        <v>ENSANGT00000018379</v>
      </c>
      <c r="U29" s="1">
        <v>0</v>
      </c>
      <c r="V29" s="2" t="str">
        <f>HYPERLINK("http://exon.niaid.nih.gov/transcriptome/An_gambiae_male_2006/ST1/links/AGM-contig_13-AGSAL.txt","hyp12")</f>
        <v>hyp12</v>
      </c>
      <c r="W29" s="1">
        <v>7E-52</v>
      </c>
      <c r="X29" s="1">
        <v>100</v>
      </c>
      <c r="Y29" s="1">
        <v>100</v>
      </c>
      <c r="Z29" s="2" t="str">
        <f>HYPERLINK("http://exon.niaid.nih.gov/transcriptome/An_gambiae_male_2006/ST1/links/AGM-contig_13-AGNUC.txt","AG-contig_149")</f>
        <v>AG-contig_149</v>
      </c>
      <c r="AA29" s="1">
        <v>0</v>
      </c>
      <c r="AB29" s="2" t="str">
        <f>HYPERLINK("http://exon.niaid.nih.gov/transcriptome/An_gambiae_male_2006/ST1/links/AGM-contig_13-NR.txt","ENSANGP00000018379 [Anopheles gambi")</f>
        <v>ENSANGP00000018379 [Anopheles gambi</v>
      </c>
      <c r="AC29" s="1" t="str">
        <f>HYPERLINK("http://www.ncbi.nlm.nih.gov/sutils/blink.cgi?pid=31222305","5E-048")</f>
        <v>5E-048</v>
      </c>
      <c r="AD29" s="1" t="s">
        <v>313</v>
      </c>
      <c r="AE29" s="9" t="s">
        <v>5</v>
      </c>
      <c r="AF29" s="6" t="s">
        <v>780</v>
      </c>
      <c r="AG29" s="6" t="s">
        <v>23</v>
      </c>
      <c r="AH29" s="6"/>
      <c r="AI29" s="2"/>
      <c r="AJ29" s="4"/>
      <c r="AK29" s="2"/>
      <c r="AL29" s="4"/>
      <c r="AM29" s="1"/>
      <c r="AN29" s="2"/>
      <c r="AO29" s="1"/>
      <c r="AP29" s="2"/>
      <c r="AQ29" s="1"/>
    </row>
    <row r="30" spans="1:43" ht="9.75">
      <c r="A30" t="str">
        <f>HYPERLINK("http://exon.niaid.nih.gov/transcriptome/An_gambiae_male_2006/ST1/links/AGM-contig_59.txt","AGM-contig_59")</f>
        <v>AGM-contig_59</v>
      </c>
      <c r="B30" s="1">
        <v>3</v>
      </c>
      <c r="C30" s="1">
        <v>171</v>
      </c>
      <c r="D30" s="1">
        <v>1.2</v>
      </c>
      <c r="E30" s="1">
        <v>56.1</v>
      </c>
      <c r="F30" s="1">
        <v>152</v>
      </c>
      <c r="G30" t="str">
        <f>HYPERLINK("http://exon.niaid.nih.gov/transcriptome/An_gambiae_male_2006/ST1/links/AGM-7-90-90-asb-59.txt","Contig-59")</f>
        <v>Contig-59</v>
      </c>
      <c r="H30" s="1">
        <v>59</v>
      </c>
      <c r="I30" t="str">
        <f>HYPERLINK("http://exon.niaid.nih.gov/transcriptome/An_gambiae_male_2006/ST1/links/AGM-7-90-90-59-CLU.txt","Contig59")</f>
        <v>Contig59</v>
      </c>
      <c r="J30" t="s">
        <v>269</v>
      </c>
      <c r="K30" s="2" t="str">
        <f>HYPERLINK("http://exon.niaid.nih.gov/transcriptome/An_gambiae_male_2006/ST1/links/AGM-contig_59-AGFRAG.txt","2L_Piece#1298")</f>
        <v>2L_Piece#1298</v>
      </c>
      <c r="L30" s="4">
        <v>5E-54</v>
      </c>
      <c r="M30" s="2" t="str">
        <f>HYPERLINK("http://exon.niaid.nih.gov/transcriptome/An_gambiae_male_2006/ST1/links/AGM-contig_59-AG3P.txt","ENSANGP00000004315")</f>
        <v>ENSANGP00000004315</v>
      </c>
      <c r="N30" s="1" t="str">
        <f>HYPERLINK("http://www.anobase.org/cgi-bin/uniexcel_new_var6.pl?proteinname=ENSANGP00000004315","1.E-54")</f>
        <v>1.E-54</v>
      </c>
      <c r="O30" s="2"/>
      <c r="P30" s="1"/>
      <c r="Q30" s="2" t="str">
        <f>HYPERLINK("http://exon.niaid.nih.gov/transcriptome/An_gambiae_male_2006/ST1/links/AGM-contig_59-AGPROT.txt","ENSANGP00000026824")</f>
        <v>ENSANGP00000026824</v>
      </c>
      <c r="R30" s="1" t="str">
        <f>HYPERLINK("http://www.ensembl.org/Anopheles_gambiae/protview?peptide=ENSANGP00000026824","5.1")</f>
        <v>5.1</v>
      </c>
      <c r="S30" s="1" t="str">
        <f>HYPERLINK("http://www.anobase.org/cgi-bin/uniexcel_new_var6.pl?proteinname=ENSANGP00000026824","5.1")</f>
        <v>5.1</v>
      </c>
      <c r="T30" s="2"/>
      <c r="U30" s="1"/>
      <c r="V30" s="2" t="str">
        <f>HYPERLINK("http://exon.niaid.nih.gov/transcriptome/An_gambiae_male_2006/ST1/links/AGM-contig_59-AGSAL.txt","hyp8.2")</f>
        <v>hyp8.2</v>
      </c>
      <c r="W30" s="1">
        <v>8E-07</v>
      </c>
      <c r="X30" s="1">
        <v>94</v>
      </c>
      <c r="Y30" s="1">
        <v>21</v>
      </c>
      <c r="Z30" s="2" t="str">
        <f>HYPERLINK("http://exon.niaid.nih.gov/transcriptome/An_gambiae_male_2006/ST1/links/AGM-contig_59-AGNUC.txt","AG-contig_58")</f>
        <v>AG-contig_58</v>
      </c>
      <c r="AA30" s="1">
        <v>3E-66</v>
      </c>
      <c r="AB30" s="2" t="str">
        <f>HYPERLINK("http://exon.niaid.nih.gov/transcriptome/An_gambiae_male_2006/ST1/links/AGM-contig_59-NR.txt","major lipoprotein precursor [Mycoplasm")</f>
        <v>major lipoprotein precursor [Mycoplasm</v>
      </c>
      <c r="AC30" s="1" t="str">
        <f>HYPERLINK("http://www.ncbi.nlm.nih.gov/sutils/blink.cgi?pid=6272291","9.8")</f>
        <v>9.8</v>
      </c>
      <c r="AD30" s="1" t="s">
        <v>314</v>
      </c>
      <c r="AE30" s="9" t="s">
        <v>346</v>
      </c>
      <c r="AF30" s="6" t="s">
        <v>769</v>
      </c>
      <c r="AG30" s="6" t="s">
        <v>772</v>
      </c>
      <c r="AH30" s="6"/>
      <c r="AI30" s="2"/>
      <c r="AJ30" s="4"/>
      <c r="AK30" s="2"/>
      <c r="AL30" s="4"/>
      <c r="AM30" s="1"/>
      <c r="AN30" s="2"/>
      <c r="AO30" s="1"/>
      <c r="AP30" s="2"/>
      <c r="AQ30" s="1"/>
    </row>
    <row r="31" spans="1:43" ht="9.75">
      <c r="A31" t="str">
        <f>HYPERLINK("http://exon.niaid.nih.gov/transcriptome/An_gambiae_male_2006/ST1/links/AGM-contig_334.txt","AGM-contig_334")</f>
        <v>AGM-contig_334</v>
      </c>
      <c r="B31" s="1">
        <v>1</v>
      </c>
      <c r="C31" s="1">
        <v>267</v>
      </c>
      <c r="D31" s="1" t="s">
        <v>209</v>
      </c>
      <c r="E31" s="1">
        <v>55.4</v>
      </c>
      <c r="F31" s="1">
        <v>248</v>
      </c>
      <c r="G31" t="str">
        <f>HYPERLINK("http://exon.niaid.nih.gov/transcriptome/An_gambiae_male_2006/ST1/links/AGM-7-90-90-asb-334.txt","Contig-334")</f>
        <v>Contig-334</v>
      </c>
      <c r="H31" s="1">
        <v>334</v>
      </c>
      <c r="I31" t="str">
        <f>HYPERLINK("http://exon.niaid.nih.gov/transcriptome/An_gambiae_male_2006/ST1/links/AGM-7-90-90-334-CLU.txt","Contig334")</f>
        <v>Contig334</v>
      </c>
      <c r="J31" t="s">
        <v>274</v>
      </c>
      <c r="K31" s="2" t="str">
        <f>HYPERLINK("http://exon.niaid.nih.gov/transcriptome/An_gambiae_male_2006/ST1/links/AGM-contig_334-AGFRAG.txt","2R_Piece#2339")</f>
        <v>2R_Piece#2339</v>
      </c>
      <c r="L31" s="4">
        <v>1E-135</v>
      </c>
      <c r="M31" s="2"/>
      <c r="N31" s="1"/>
      <c r="O31" s="2"/>
      <c r="P31" s="1"/>
      <c r="Q31" s="2" t="str">
        <f>HYPERLINK("http://exon.niaid.nih.gov/transcriptome/An_gambiae_male_2006/ST1/links/AGM-contig_334-AGPROT.txt","ENSANGP00000018588")</f>
        <v>ENSANGP00000018588</v>
      </c>
      <c r="R31" s="1" t="str">
        <f>HYPERLINK("http://www.ensembl.org/Anopheles_gambiae/protview?peptide=ENSANGP00000018588","1E-006")</f>
        <v>1E-006</v>
      </c>
      <c r="S31" s="1" t="str">
        <f>HYPERLINK("http://www.anobase.org/cgi-bin/uniexcel_new_var6.pl?proteinname=ENSANGP00000018588","1E-006")</f>
        <v>1E-006</v>
      </c>
      <c r="T31" s="2"/>
      <c r="U31" s="1"/>
      <c r="V31" s="2" t="str">
        <f>HYPERLINK("http://exon.niaid.nih.gov/transcriptome/An_gambiae_male_2006/ST1/links/AGM-contig_334-AGSAL.txt","sg2a")</f>
        <v>sg2a</v>
      </c>
      <c r="W31" s="1">
        <v>0.0007</v>
      </c>
      <c r="X31" s="1">
        <v>38</v>
      </c>
      <c r="Y31" s="1">
        <v>29</v>
      </c>
      <c r="Z31" s="2"/>
      <c r="AA31" s="1"/>
      <c r="AB31" s="2" t="str">
        <f>HYPERLINK("http://exon.niaid.nih.gov/transcriptome/An_gambiae_male_2006/ST1/links/AGM-contig_334-NR.txt","ENSANGP00000017724 [Anopheles gambiae]   117   7e-026")</f>
        <v>ENSANGP00000017724 [Anopheles gambiae]   117   7e-026</v>
      </c>
      <c r="AC31" s="1" t="str">
        <f>HYPERLINK("http://www.ncbi.nlm.nih.gov/sutils/blink.cgi?pid=31209559","7E-026")</f>
        <v>7E-026</v>
      </c>
      <c r="AD31" s="1" t="s">
        <v>313</v>
      </c>
      <c r="AE31" s="9" t="s">
        <v>507</v>
      </c>
      <c r="AF31" s="6" t="s">
        <v>423</v>
      </c>
      <c r="AG31" s="6" t="s">
        <v>818</v>
      </c>
      <c r="AH31" s="6"/>
      <c r="AI31" s="2"/>
      <c r="AJ31" s="4"/>
      <c r="AK31" s="2"/>
      <c r="AL31" s="4"/>
      <c r="AM31" s="1"/>
      <c r="AN31" s="2"/>
      <c r="AO31" s="1"/>
      <c r="AP31" s="2"/>
      <c r="AQ31" s="1"/>
    </row>
    <row r="32" spans="1:43" ht="9.75">
      <c r="A32" t="str">
        <f>HYPERLINK("http://exon.niaid.nih.gov/transcriptome/An_gambiae_male_2006/ST1/links/AGM-contig_368.txt","AGM-contig_368")</f>
        <v>AGM-contig_368</v>
      </c>
      <c r="B32" s="1">
        <v>1</v>
      </c>
      <c r="C32" s="1">
        <v>131</v>
      </c>
      <c r="D32" s="1" t="s">
        <v>209</v>
      </c>
      <c r="E32" s="1">
        <v>62.6</v>
      </c>
      <c r="F32" s="1">
        <v>112</v>
      </c>
      <c r="G32" t="str">
        <f>HYPERLINK("http://exon.niaid.nih.gov/transcriptome/An_gambiae_male_2006/ST1/links/AGM-7-90-90-asb-368.txt","Contig-368")</f>
        <v>Contig-368</v>
      </c>
      <c r="H32" s="1">
        <v>368</v>
      </c>
      <c r="I32" t="str">
        <f>HYPERLINK("http://exon.niaid.nih.gov/transcriptome/An_gambiae_male_2006/ST1/links/AGM-7-90-90-368-CLU.txt","Contig368")</f>
        <v>Contig368</v>
      </c>
      <c r="J32" t="s">
        <v>308</v>
      </c>
      <c r="K32" s="2" t="str">
        <f>HYPERLINK("http://exon.niaid.nih.gov/transcriptome/An_gambiae_male_2006/ST1/links/AGM-contig_368-AGFRAG.txt","2R_Piece#2261")</f>
        <v>2R_Piece#2261</v>
      </c>
      <c r="L32" s="4">
        <v>1E-35</v>
      </c>
      <c r="M32" s="2" t="str">
        <f>HYPERLINK("http://exon.niaid.nih.gov/transcriptome/An_gambiae_male_2006/ST1/links/AGM-contig_368-AG3P.txt","ENSANGP00000003578")</f>
        <v>ENSANGP00000003578</v>
      </c>
      <c r="N32" s="1" t="str">
        <f>HYPERLINK("http://www.anobase.org/cgi-bin/uniexcel_new_var6.pl?proteinname=ENSANGP00000003578","3.E-36")</f>
        <v>3.E-36</v>
      </c>
      <c r="O32" s="2"/>
      <c r="P32" s="1"/>
      <c r="Q32" s="2" t="str">
        <f>HYPERLINK("http://exon.niaid.nih.gov/transcriptome/An_gambiae_male_2006/ST1/links/AGM-contig_368-AGPROT.txt","ENSANGP00000024507")</f>
        <v>ENSANGP00000024507</v>
      </c>
      <c r="R32" s="1" t="str">
        <f>HYPERLINK("http://www.ensembl.org/Anopheles_gambiae/protview?peptide=ENSANGP00000024507","0.79")</f>
        <v>0.79</v>
      </c>
      <c r="S32" s="1" t="str">
        <f>HYPERLINK("http://www.anobase.org/cgi-bin/uniexcel_new_var6.pl?proteinname=ENSANGP00000024507","0.79")</f>
        <v>0.79</v>
      </c>
      <c r="T32" s="2" t="str">
        <f>HYPERLINK("http://exon.niaid.nih.gov/transcriptome/An_gambiae_male_2006/ST1/links/AGCDS/AGM-contig_368-AGCDS.txt","ENSANGT00000003578")</f>
        <v>ENSANGT00000003578</v>
      </c>
      <c r="U32" s="1">
        <v>7E-37</v>
      </c>
      <c r="V32" s="2"/>
      <c r="W32" s="1"/>
      <c r="X32" s="1"/>
      <c r="Y32" s="1"/>
      <c r="Z32" s="2" t="str">
        <f>HYPERLINK("http://exon.niaid.nih.gov/transcriptome/An_gambiae_male_2006/ST1/links/AGM-contig_368-AGNUC.txt","AG-contig_69")</f>
        <v>AG-contig_69</v>
      </c>
      <c r="AA32" s="1">
        <v>3E-56</v>
      </c>
      <c r="AB32" s="2"/>
      <c r="AC32" s="1"/>
      <c r="AD32" s="1"/>
      <c r="AE32" s="9"/>
      <c r="AF32" s="6" t="s">
        <v>352</v>
      </c>
      <c r="AG32" s="6" t="s">
        <v>68</v>
      </c>
      <c r="AH32" s="6"/>
      <c r="AI32" s="2"/>
      <c r="AJ32" s="4"/>
      <c r="AK32" s="2"/>
      <c r="AL32" s="4"/>
      <c r="AM32" s="1"/>
      <c r="AN32" s="2"/>
      <c r="AO32" s="1"/>
      <c r="AP32" s="2"/>
      <c r="AQ32" s="1"/>
    </row>
    <row r="33" spans="1:43" ht="9.75">
      <c r="A33" t="str">
        <f>HYPERLINK("http://exon.niaid.nih.gov/transcriptome/An_gambiae_male_2006/ST1/links/AGM-contig_57.txt","AGM-contig_57")</f>
        <v>AGM-contig_57</v>
      </c>
      <c r="B33" s="1">
        <v>4</v>
      </c>
      <c r="C33" s="1">
        <v>177</v>
      </c>
      <c r="D33" s="1" t="s">
        <v>209</v>
      </c>
      <c r="E33" s="1">
        <v>58.8</v>
      </c>
      <c r="F33" s="1">
        <v>158</v>
      </c>
      <c r="G33" t="str">
        <f>HYPERLINK("http://exon.niaid.nih.gov/transcriptome/An_gambiae_male_2006/ST1/links/AGM-7-90-90-asb-57.txt","Contig-57")</f>
        <v>Contig-57</v>
      </c>
      <c r="H33" s="1">
        <v>57</v>
      </c>
      <c r="I33" t="str">
        <f>HYPERLINK("http://exon.niaid.nih.gov/transcriptome/An_gambiae_male_2006/ST1/links/AGM-7-90-90-57-CLU.txt","Contig57")</f>
        <v>Contig57</v>
      </c>
      <c r="J33" t="s">
        <v>267</v>
      </c>
      <c r="K33" s="2" t="str">
        <f>HYPERLINK("http://exon.niaid.nih.gov/transcriptome/An_gambiae_male_2006/ST1/links/AGM-contig_57-AGFRAG.txt","X_Piece#97")</f>
        <v>X_Piece#97</v>
      </c>
      <c r="L33" s="4">
        <v>7E-72</v>
      </c>
      <c r="M33" s="2" t="str">
        <f>HYPERLINK("http://exon.niaid.nih.gov/transcriptome/An_gambiae_male_2006/ST1/links/AGM-contig_57-AG3P.txt","ENSANGP00000019455")</f>
        <v>ENSANGP00000019455</v>
      </c>
      <c r="N33" s="1" t="str">
        <f>HYPERLINK("http://www.anobase.org/cgi-bin/uniexcel_new_var6.pl?proteinname=ENSANGP00000019455","1.E-72")</f>
        <v>1.E-72</v>
      </c>
      <c r="O33" s="2"/>
      <c r="P33" s="1"/>
      <c r="Q33" s="2" t="str">
        <f>HYPERLINK("http://exon.niaid.nih.gov/transcriptome/An_gambiae_male_2006/ST1/links/AGM-contig_57-AGPROT.txt","ENSANGP00000021366")</f>
        <v>ENSANGP00000021366</v>
      </c>
      <c r="R33" s="1" t="str">
        <f>HYPERLINK("http://www.ensembl.org/Anopheles_gambiae/protview?peptide=ENSANGP00000021366","2.0")</f>
        <v>2.0</v>
      </c>
      <c r="S33" s="1" t="str">
        <f>HYPERLINK("http://www.anobase.org/cgi-bin/uniexcel_new_var6.pl?proteinname=ENSANGP00000021366","2.0")</f>
        <v>2.0</v>
      </c>
      <c r="T33" s="2"/>
      <c r="U33" s="1"/>
      <c r="V33" s="2"/>
      <c r="W33" s="1"/>
      <c r="X33" s="1"/>
      <c r="Y33" s="1"/>
      <c r="Z33" s="2" t="str">
        <f>HYPERLINK("http://exon.niaid.nih.gov/transcriptome/An_gambiae_male_2006/ST1/links/AGM-contig_57-AGNUC.txt","AG-contig_36")</f>
        <v>AG-contig_36</v>
      </c>
      <c r="AA33" s="1">
        <v>2E-82</v>
      </c>
      <c r="AB33" s="2" t="str">
        <f>HYPERLINK("http://exon.niaid.nih.gov/transcriptome/An_gambiae_male_2006/ST1/links/AGM-contig_57-NR.txt","unnamed protein product [Tetraodon n")</f>
        <v>unnamed protein product [Tetraodon n</v>
      </c>
      <c r="AC33" s="1" t="str">
        <f>HYPERLINK("http://www.ncbi.nlm.nih.gov/sutils/blink.cgi?pid=47225531","2.6")</f>
        <v>2.6</v>
      </c>
      <c r="AD33" s="1" t="s">
        <v>314</v>
      </c>
      <c r="AE33" s="9" t="s">
        <v>140</v>
      </c>
      <c r="AF33" s="6" t="s">
        <v>748</v>
      </c>
      <c r="AG33" s="6" t="s">
        <v>44</v>
      </c>
      <c r="AH33" s="6"/>
      <c r="AI33" s="2"/>
      <c r="AJ33" s="4"/>
      <c r="AK33" s="2"/>
      <c r="AL33" s="4"/>
      <c r="AM33" s="1"/>
      <c r="AN33" s="2"/>
      <c r="AO33" s="1"/>
      <c r="AP33" s="2"/>
      <c r="AQ33" s="1"/>
    </row>
    <row r="34" spans="1:43" ht="9.75">
      <c r="A34" t="str">
        <f>HYPERLINK("http://exon.niaid.nih.gov/transcriptome/An_gambiae_male_2006/ST1/links/AGM-contig_204.txt","AGM-contig_204")</f>
        <v>AGM-contig_204</v>
      </c>
      <c r="B34" s="1">
        <v>1</v>
      </c>
      <c r="C34" s="1">
        <v>374</v>
      </c>
      <c r="D34" s="1">
        <v>0.3</v>
      </c>
      <c r="E34" s="1">
        <v>64.7</v>
      </c>
      <c r="F34" s="1">
        <v>355</v>
      </c>
      <c r="G34" t="str">
        <f>HYPERLINK("http://exon.niaid.nih.gov/transcriptome/An_gambiae_male_2006/ST1/links/AGM-7-90-90-asb-204.txt","Contig-204")</f>
        <v>Contig-204</v>
      </c>
      <c r="H34" s="1">
        <v>204</v>
      </c>
      <c r="I34" t="str">
        <f>HYPERLINK("http://exon.niaid.nih.gov/transcriptome/An_gambiae_male_2006/ST1/links/AGM-7-90-90-204-CLU.txt","Contig204")</f>
        <v>Contig204</v>
      </c>
      <c r="J34" t="s">
        <v>657</v>
      </c>
      <c r="K34" s="2" t="str">
        <f>HYPERLINK("http://exon.niaid.nih.gov/transcriptome/An_gambiae_male_2006/ST1/links/AGM-contig_204-AGFRAG.txt","X_Piece#742")</f>
        <v>X_Piece#742</v>
      </c>
      <c r="L34" s="4">
        <v>0</v>
      </c>
      <c r="M34" s="2" t="str">
        <f>HYPERLINK("http://exon.niaid.nih.gov/transcriptome/An_gambiae_male_2006/ST1/links/AGM-contig_204-AG3P.txt","ENSANGP00000018748")</f>
        <v>ENSANGP00000018748</v>
      </c>
      <c r="N34" s="1" t="str">
        <f>HYPERLINK("http://www.anobase.org/cgi-bin/uniexcel_new_var6.pl?proteinname=ENSANGP00000018748","1.E-147")</f>
        <v>1.E-147</v>
      </c>
      <c r="O34" s="2"/>
      <c r="P34" s="1"/>
      <c r="Q34" s="2" t="str">
        <f>HYPERLINK("http://exon.niaid.nih.gov/transcriptome/An_gambiae_male_2006/ST1/links/AGM-contig_204-AGPROT.txt","ENSANGP00000010728")</f>
        <v>ENSANGP00000010728</v>
      </c>
      <c r="R34" s="1" t="str">
        <f>HYPERLINK("http://www.ensembl.org/Anopheles_gambiae/protview?peptide=ENSANGP00000010728","5.1")</f>
        <v>5.1</v>
      </c>
      <c r="S34" s="1" t="str">
        <f>HYPERLINK("http://www.anobase.org/cgi-bin/uniexcel_new_var6.pl?proteinname=ENSANGP00000010728","5.1")</f>
        <v>5.1</v>
      </c>
      <c r="T34" s="2"/>
      <c r="U34" s="1"/>
      <c r="V34" s="2"/>
      <c r="W34" s="1"/>
      <c r="X34" s="1"/>
      <c r="Y34" s="1"/>
      <c r="Z34" s="2"/>
      <c r="AA34" s="1"/>
      <c r="AB34" s="2" t="str">
        <f>HYPERLINK("http://exon.niaid.nih.gov/transcriptome/An_gambiae_male_2006/ST1/links/AGM-contig_204-NR.txt","threonine synthase ThrC [Bradyrhizobiu")</f>
        <v>threonine synthase ThrC [Bradyrhizobiu</v>
      </c>
      <c r="AC34" s="1" t="str">
        <f>HYPERLINK("http://www.ncbi.nlm.nih.gov/sutils/blink.cgi?pid=8708915","10.0")</f>
        <v>10.0</v>
      </c>
      <c r="AD34" s="1" t="s">
        <v>313</v>
      </c>
      <c r="AE34" s="9" t="s">
        <v>348</v>
      </c>
      <c r="AF34" s="6" t="s">
        <v>400</v>
      </c>
      <c r="AG34" s="6" t="s">
        <v>505</v>
      </c>
      <c r="AH34" s="6"/>
      <c r="AI34" s="2"/>
      <c r="AJ34" s="4"/>
      <c r="AK34" s="2"/>
      <c r="AL34" s="4"/>
      <c r="AM34" s="1"/>
      <c r="AN34" s="2"/>
      <c r="AO34" s="1"/>
      <c r="AP34" s="2"/>
      <c r="AQ34" s="1"/>
    </row>
    <row r="35" spans="1:42" s="14" customFormat="1" ht="9.75">
      <c r="A35" s="13" t="s">
        <v>95</v>
      </c>
      <c r="K35" s="15"/>
      <c r="L35" s="16"/>
      <c r="M35" s="15"/>
      <c r="O35" s="15"/>
      <c r="Q35" s="15"/>
      <c r="T35" s="15"/>
      <c r="V35" s="15"/>
      <c r="Z35" s="15"/>
      <c r="AB35" s="15"/>
      <c r="AE35" s="17"/>
      <c r="AF35" s="18"/>
      <c r="AG35" s="18"/>
      <c r="AH35" s="18"/>
      <c r="AI35" s="15"/>
      <c r="AJ35" s="16"/>
      <c r="AK35" s="15"/>
      <c r="AL35" s="16"/>
      <c r="AN35" s="15"/>
      <c r="AP35" s="15"/>
    </row>
    <row r="36" spans="1:43" ht="9.75">
      <c r="A36" t="str">
        <f>HYPERLINK("http://exon.niaid.nih.gov/transcriptome/An_gambiae_male_2006/ST1/links/AGM-contig_9.txt","AGM-contig_9")</f>
        <v>AGM-contig_9</v>
      </c>
      <c r="B36" s="1">
        <v>56</v>
      </c>
      <c r="C36" s="1">
        <v>575</v>
      </c>
      <c r="D36" s="1" t="s">
        <v>209</v>
      </c>
      <c r="E36" s="1">
        <v>52.2</v>
      </c>
      <c r="F36" s="1">
        <v>556</v>
      </c>
      <c r="G36" t="str">
        <f>HYPERLINK("http://exon.niaid.nih.gov/transcriptome/An_gambiae_male_2006/ST1/links/AGM-7-90-90-asb-9.txt","Contig-9")</f>
        <v>Contig-9</v>
      </c>
      <c r="H36" s="1">
        <v>9</v>
      </c>
      <c r="I36" t="str">
        <f>HYPERLINK("http://exon.niaid.nih.gov/transcriptome/An_gambiae_male_2006/ST1/links/AGM-7-90-90-9-CLU.txt","Contig9")</f>
        <v>Contig9</v>
      </c>
      <c r="J36" t="s">
        <v>218</v>
      </c>
      <c r="K36" s="2" t="str">
        <f>HYPERLINK("http://exon.niaid.nih.gov/transcriptome/An_gambiae_male_2006/ST1/links/AGM-contig_9-AGFRAG.txt","2L_Piece#1304")</f>
        <v>2L_Piece#1304</v>
      </c>
      <c r="L36" s="4">
        <v>0</v>
      </c>
      <c r="M36" s="2" t="str">
        <f>HYPERLINK("http://exon.niaid.nih.gov/transcriptome/An_gambiae_male_2006/ST1/links/AGM-contig_9-AG3P.txt","ENSANGP00000010065")</f>
        <v>ENSANGP00000010065</v>
      </c>
      <c r="N36" s="1" t="str">
        <f>HYPERLINK("http://www.anobase.org/cgi-bin/uniexcel_new_var6.pl?proteinname=ENSANGP00000010065","1.E-162")</f>
        <v>1.E-162</v>
      </c>
      <c r="O36" s="2"/>
      <c r="P36" s="1"/>
      <c r="Q36" s="2" t="str">
        <f>HYPERLINK("http://exon.niaid.nih.gov/transcriptome/An_gambiae_male_2006/ST1/links/AGM-contig_9-AGPROT.txt","ENSANGP00000010065")</f>
        <v>ENSANGP00000010065</v>
      </c>
      <c r="R36" s="1" t="str">
        <f>HYPERLINK("http://www.ensembl.org/Anopheles_gambiae/protview?peptide=ENSANGP00000010065","3E-073")</f>
        <v>3E-073</v>
      </c>
      <c r="S36" s="1" t="str">
        <f>HYPERLINK("http://www.anobase.org/cgi-bin/uniexcel_new_var6.pl?proteinname=ENSANGP00000010065","3E-073")</f>
        <v>3E-073</v>
      </c>
      <c r="T36" s="2" t="str">
        <f>HYPERLINK("http://exon.niaid.nih.gov/transcriptome/An_gambiae_male_2006/ST1/links/AGCDS/AGM-contig_9-AGCDS.txt","ENSANGT00000010065")</f>
        <v>ENSANGT00000010065</v>
      </c>
      <c r="U36" s="1">
        <v>0</v>
      </c>
      <c r="V36" s="2" t="str">
        <f>HYPERLINK("http://exon.niaid.nih.gov/transcriptome/An_gambiae_male_2006/ST1/links/AGM-contig_9-AGSAL.txt","sg2a")</f>
        <v>sg2a</v>
      </c>
      <c r="W36" s="1">
        <v>1E-75</v>
      </c>
      <c r="X36" s="1">
        <v>89</v>
      </c>
      <c r="Y36" s="1">
        <v>80</v>
      </c>
      <c r="Z36" s="2" t="str">
        <f>HYPERLINK("http://exon.niaid.nih.gov/transcriptome/An_gambiae_male_2006/ST1/links/AGM-contig_9-AGNUC.txt","AG-contig_24")</f>
        <v>AG-contig_24</v>
      </c>
      <c r="AA36" s="1">
        <v>0</v>
      </c>
      <c r="AB36" s="2" t="str">
        <f>HYPERLINK("http://exon.niaid.nih.gov/transcriptome/An_gambiae_male_2006/ST1/links/AGM-contig_9-NR.txt","ENSANGP00000010065 [Anopheles gambiae]   270   2e-071")</f>
        <v>ENSANGP00000010065 [Anopheles gambiae]   270   2e-071</v>
      </c>
      <c r="AC36" s="1" t="str">
        <f>HYPERLINK("http://www.ncbi.nlm.nih.gov/sutils/blink.cgi?pid=31217928","2E-071")</f>
        <v>2E-071</v>
      </c>
      <c r="AD36" s="1" t="s">
        <v>313</v>
      </c>
      <c r="AE36" s="9" t="s">
        <v>415</v>
      </c>
      <c r="AF36" s="6" t="s">
        <v>41</v>
      </c>
      <c r="AG36" s="6" t="s">
        <v>40</v>
      </c>
      <c r="AH36" s="6"/>
      <c r="AI36" s="2"/>
      <c r="AJ36" s="4"/>
      <c r="AK36" s="2"/>
      <c r="AL36" s="4"/>
      <c r="AM36" s="1"/>
      <c r="AN36" s="2"/>
      <c r="AO36" s="1"/>
      <c r="AP36" s="2"/>
      <c r="AQ36" s="1"/>
    </row>
    <row r="37" spans="1:43" ht="9.75">
      <c r="A37" t="str">
        <f>HYPERLINK("http://exon.niaid.nih.gov/transcriptome/An_gambiae_male_2006/ST1/links/AGM-contig_7.txt","AGM-contig_7")</f>
        <v>AGM-contig_7</v>
      </c>
      <c r="B37" s="1">
        <v>98</v>
      </c>
      <c r="C37" s="1">
        <v>742</v>
      </c>
      <c r="D37" s="1" t="s">
        <v>209</v>
      </c>
      <c r="E37" s="1">
        <v>50.7</v>
      </c>
      <c r="F37" s="1">
        <v>723</v>
      </c>
      <c r="G37" t="str">
        <f>HYPERLINK("http://exon.niaid.nih.gov/transcriptome/An_gambiae_male_2006/ST1/links/AGM-7-90-90-asb-7.txt","Contig-7")</f>
        <v>Contig-7</v>
      </c>
      <c r="H37" s="1">
        <v>7</v>
      </c>
      <c r="I37" t="str">
        <f>HYPERLINK("http://exon.niaid.nih.gov/transcriptome/An_gambiae_male_2006/ST1/links/AGM-7-90-90-7-CLU.txt","Contig7")</f>
        <v>Contig7</v>
      </c>
      <c r="J37" t="s">
        <v>216</v>
      </c>
      <c r="K37" s="2" t="str">
        <f>HYPERLINK("http://exon.niaid.nih.gov/transcriptome/An_gambiae_male_2006/ST1/links/AGM-contig_7-AGFRAG.txt","2L_Piece#1304")</f>
        <v>2L_Piece#1304</v>
      </c>
      <c r="L37" s="4">
        <v>0</v>
      </c>
      <c r="M37" s="2" t="str">
        <f>HYPERLINK("http://exon.niaid.nih.gov/transcriptome/An_gambiae_male_2006/ST1/links/AGM-contig_7-AG3P.txt","ENSANGP00000010065")</f>
        <v>ENSANGP00000010065</v>
      </c>
      <c r="N37" s="1" t="str">
        <f>HYPERLINK("http://www.anobase.org/cgi-bin/uniexcel_new_var6.pl?proteinname=ENSANGP00000010065","0.E+00")</f>
        <v>0.E+00</v>
      </c>
      <c r="O37" s="2" t="str">
        <f>HYPERLINK("http://exon.niaid.nih.gov/transcriptome/An_gambiae_male_2006/ST1/links/AGM-contig_7-AG5P.txt","ENSANGP00000010065")</f>
        <v>ENSANGP00000010065</v>
      </c>
      <c r="P37" s="1" t="str">
        <f>HYPERLINK("http://www.anobase.org/cgi-bin/uniexcel_new_var6.pl?proteinname=ENSANGP00000010065","1.E-73")</f>
        <v>1.E-73</v>
      </c>
      <c r="Q37" s="2" t="str">
        <f>HYPERLINK("http://exon.niaid.nih.gov/transcriptome/An_gambiae_male_2006/ST1/links/AGM-contig_7-AGPROT.txt","ENSANGP00000010065")</f>
        <v>ENSANGP00000010065</v>
      </c>
      <c r="R37" s="1" t="str">
        <f>HYPERLINK("http://www.ensembl.org/Anopheles_gambiae/protview?peptide=ENSANGP00000010065","1E-094")</f>
        <v>1E-094</v>
      </c>
      <c r="S37" s="1" t="str">
        <f>HYPERLINK("http://www.anobase.org/cgi-bin/uniexcel_new_var6.pl?proteinname=ENSANGP00000010065","1E-094")</f>
        <v>1E-094</v>
      </c>
      <c r="T37" s="2" t="str">
        <f>HYPERLINK("http://exon.niaid.nih.gov/transcriptome/An_gambiae_male_2006/ST1/links/AGCDS/AGM-contig_7-AGCDS.txt","ENSANGT00000010065")</f>
        <v>ENSANGT00000010065</v>
      </c>
      <c r="U37" s="1">
        <v>0</v>
      </c>
      <c r="V37" s="2" t="str">
        <f>HYPERLINK("http://exon.niaid.nih.gov/transcriptome/An_gambiae_male_2006/ST1/links/AGM-contig_7-AGSAL.txt","sg2a")</f>
        <v>sg2a</v>
      </c>
      <c r="W37" s="1">
        <v>5E-97</v>
      </c>
      <c r="X37" s="1">
        <v>94</v>
      </c>
      <c r="Y37" s="1">
        <v>100</v>
      </c>
      <c r="Z37" s="2" t="str">
        <f>HYPERLINK("http://exon.niaid.nih.gov/transcriptome/An_gambiae_male_2006/ST1/links/AGM-contig_7-AGNUC.txt","AG-contig_23")</f>
        <v>AG-contig_23</v>
      </c>
      <c r="AA37" s="1">
        <v>0</v>
      </c>
      <c r="AB37" s="2" t="str">
        <f>HYPERLINK("http://exon.niaid.nih.gov/transcriptome/An_gambiae_male_2006/ST1/links/AGM-contig_7-NR.txt","ENSANGP00000010065 [Anopheles gambiae]   356   3e-097")</f>
        <v>ENSANGP00000010065 [Anopheles gambiae]   356   3e-097</v>
      </c>
      <c r="AC37" s="1" t="str">
        <f>HYPERLINK("http://www.ncbi.nlm.nih.gov/sutils/blink.cgi?pid=31217928","3E-097")</f>
        <v>3E-097</v>
      </c>
      <c r="AD37" s="1" t="s">
        <v>313</v>
      </c>
      <c r="AE37" s="9" t="s">
        <v>411</v>
      </c>
      <c r="AF37" s="6" t="s">
        <v>41</v>
      </c>
      <c r="AG37" s="6" t="s">
        <v>40</v>
      </c>
      <c r="AH37" s="6"/>
      <c r="AI37" s="2"/>
      <c r="AJ37" s="4"/>
      <c r="AK37" s="2"/>
      <c r="AL37" s="4"/>
      <c r="AM37" s="1"/>
      <c r="AN37" s="2"/>
      <c r="AO37" s="1"/>
      <c r="AP37" s="2"/>
      <c r="AQ37" s="1"/>
    </row>
    <row r="38" spans="1:43" ht="9.75">
      <c r="A38" t="str">
        <f>HYPERLINK("http://exon.niaid.nih.gov/transcriptome/An_gambiae_male_2006/ST1/links/AGM-contig_4.txt","AGM-contig_4")</f>
        <v>AGM-contig_4</v>
      </c>
      <c r="B38" s="1">
        <v>49</v>
      </c>
      <c r="C38" s="1">
        <v>216</v>
      </c>
      <c r="D38" s="1" t="s">
        <v>209</v>
      </c>
      <c r="E38" s="1">
        <v>54.6</v>
      </c>
      <c r="F38" s="1">
        <v>197</v>
      </c>
      <c r="G38" t="str">
        <f>HYPERLINK("http://exon.niaid.nih.gov/transcriptome/An_gambiae_male_2006/ST1/links/AGM-7-90-90-asb-4.txt","Contig-4")</f>
        <v>Contig-4</v>
      </c>
      <c r="H38" s="1">
        <v>4</v>
      </c>
      <c r="I38" t="str">
        <f>HYPERLINK("http://exon.niaid.nih.gov/transcriptome/An_gambiae_male_2006/ST1/links/AGM-7-90-90-4-CLU.txt","Contig4")</f>
        <v>Contig4</v>
      </c>
      <c r="J38" t="s">
        <v>213</v>
      </c>
      <c r="K38" s="2" t="str">
        <f>HYPERLINK("http://exon.niaid.nih.gov/transcriptome/An_gambiae_male_2006/ST1/links/AGM-contig_4-AGFRAG.txt","2L_Piece#1305")</f>
        <v>2L_Piece#1305</v>
      </c>
      <c r="L38" s="4">
        <v>2E-91</v>
      </c>
      <c r="M38" s="2" t="str">
        <f>HYPERLINK("http://exon.niaid.nih.gov/transcriptome/An_gambiae_male_2006/ST1/links/AGM-contig_4-AG3P.txt","ENSANGP00000009995")</f>
        <v>ENSANGP00000009995</v>
      </c>
      <c r="N38" s="1" t="str">
        <f>HYPERLINK("http://www.anobase.org/cgi-bin/uniexcel_new_var6.pl?proteinname=ENSANGP00000009995","4.E-92")</f>
        <v>4.E-92</v>
      </c>
      <c r="O38" s="2"/>
      <c r="P38" s="1"/>
      <c r="Q38" s="2" t="str">
        <f>HYPERLINK("http://exon.niaid.nih.gov/transcriptome/An_gambiae_male_2006/ST1/links/AGM-contig_4-AGPROT.txt","ENSANGP00000010054")</f>
        <v>ENSANGP00000010054</v>
      </c>
      <c r="R38" s="1" t="str">
        <f>HYPERLINK("http://www.ensembl.org/Anopheles_gambiae/protview?peptide=ENSANGP00000010054","8E-017")</f>
        <v>8E-017</v>
      </c>
      <c r="S38" s="1" t="str">
        <f>HYPERLINK("http://www.anobase.org/cgi-bin/uniexcel_new_var6.pl?proteinname=ENSANGP00000010054","8E-017")</f>
        <v>8E-017</v>
      </c>
      <c r="T38" s="2" t="str">
        <f>HYPERLINK("http://exon.niaid.nih.gov/transcriptome/An_gambiae_male_2006/ST1/links/AGCDS/AGM-contig_4-AGCDS.txt","ENSANGT00000010054")</f>
        <v>ENSANGT00000010054</v>
      </c>
      <c r="U38" s="1">
        <v>2E-63</v>
      </c>
      <c r="V38" s="2" t="str">
        <f>HYPERLINK("http://exon.niaid.nih.gov/transcriptome/An_gambiae_male_2006/ST1/links/AGM-contig_4-AGSAL.txt","sg2")</f>
        <v>sg2</v>
      </c>
      <c r="W38" s="1">
        <v>3E-19</v>
      </c>
      <c r="X38" s="1">
        <v>96</v>
      </c>
      <c r="Y38" s="1">
        <v>24</v>
      </c>
      <c r="Z38" s="2" t="str">
        <f>HYPERLINK("http://exon.niaid.nih.gov/transcriptome/An_gambiae_male_2006/ST1/links/AGM-contig_4-AGNUC.txt","AG-contig_138")</f>
        <v>AG-contig_138</v>
      </c>
      <c r="AA38" s="1">
        <v>1E-101</v>
      </c>
      <c r="AB38" s="2" t="str">
        <f>HYPERLINK("http://exon.niaid.nih.gov/transcriptome/An_gambiae_male_2006/ST1/links/AGM-contig_4-NR.txt","SG2 protein [Anopheles gambiae]             62   1e-014")</f>
        <v>SG2 protein [Anopheles gambiae]             62   1e-014</v>
      </c>
      <c r="AC38" s="1" t="str">
        <f>HYPERLINK("http://www.ncbi.nlm.nih.gov/sutils/blink.cgi?pid=4210617","1E-014")</f>
        <v>1E-014</v>
      </c>
      <c r="AD38" s="1" t="s">
        <v>313</v>
      </c>
      <c r="AE38" s="9" t="s">
        <v>758</v>
      </c>
      <c r="AF38" s="6" t="s">
        <v>41</v>
      </c>
      <c r="AG38" s="6" t="s">
        <v>40</v>
      </c>
      <c r="AH38" s="6"/>
      <c r="AI38" s="2"/>
      <c r="AJ38" s="4"/>
      <c r="AK38" s="2"/>
      <c r="AL38" s="4"/>
      <c r="AM38" s="1"/>
      <c r="AN38" s="2"/>
      <c r="AO38" s="1"/>
      <c r="AP38" s="2"/>
      <c r="AQ38" s="1"/>
    </row>
    <row r="39" spans="1:43" ht="9.75">
      <c r="A39" t="str">
        <f>HYPERLINK("http://exon.niaid.nih.gov/transcriptome/An_gambiae_male_2006/ST1/links/AGM-contig_5.txt","AGM-contig_5")</f>
        <v>AGM-contig_5</v>
      </c>
      <c r="B39" s="1">
        <v>6</v>
      </c>
      <c r="C39" s="1">
        <v>294</v>
      </c>
      <c r="D39" s="1" t="s">
        <v>209</v>
      </c>
      <c r="E39" s="1">
        <v>53.1</v>
      </c>
      <c r="F39" s="1">
        <v>275</v>
      </c>
      <c r="G39" t="str">
        <f>HYPERLINK("http://exon.niaid.nih.gov/transcriptome/An_gambiae_male_2006/ST1/links/AGM-7-90-90-asb-5.txt","Contig-5")</f>
        <v>Contig-5</v>
      </c>
      <c r="H39" s="1">
        <v>5</v>
      </c>
      <c r="I39" t="str">
        <f>HYPERLINK("http://exon.niaid.nih.gov/transcriptome/An_gambiae_male_2006/ST1/links/AGM-7-90-90-5-CLU.txt","Contig5")</f>
        <v>Contig5</v>
      </c>
      <c r="J39" t="s">
        <v>214</v>
      </c>
      <c r="K39" s="2" t="str">
        <f>HYPERLINK("http://exon.niaid.nih.gov/transcriptome/An_gambiae_male_2006/ST1/links/AGM-contig_5-AGFRAG.txt","2L_Piece#1305")</f>
        <v>2L_Piece#1305</v>
      </c>
      <c r="L39" s="4">
        <v>1E-122</v>
      </c>
      <c r="M39" s="2" t="str">
        <f>HYPERLINK("http://exon.niaid.nih.gov/transcriptome/An_gambiae_male_2006/ST1/links/AGM-contig_5-AG3P.txt","ENSANGP00000009995")</f>
        <v>ENSANGP00000009995</v>
      </c>
      <c r="N39" s="1" t="str">
        <f>HYPERLINK("http://www.anobase.org/cgi-bin/uniexcel_new_var6.pl?proteinname=ENSANGP00000009995","1.E-123")</f>
        <v>1.E-123</v>
      </c>
      <c r="O39" s="2"/>
      <c r="P39" s="1"/>
      <c r="Q39" s="2" t="str">
        <f>HYPERLINK("http://exon.niaid.nih.gov/transcriptome/An_gambiae_male_2006/ST1/links/AGM-contig_5-AGPROT.txt","ENSANGP00000010054")</f>
        <v>ENSANGP00000010054</v>
      </c>
      <c r="R39" s="1" t="str">
        <f>HYPERLINK("http://www.ensembl.org/Anopheles_gambiae/protview?peptide=ENSANGP00000010054","2E-030")</f>
        <v>2E-030</v>
      </c>
      <c r="S39" s="1" t="str">
        <f>HYPERLINK("http://www.anobase.org/cgi-bin/uniexcel_new_var6.pl?proteinname=ENSANGP00000010054","2E-030")</f>
        <v>2E-030</v>
      </c>
      <c r="T39" s="2" t="str">
        <f>HYPERLINK("http://exon.niaid.nih.gov/transcriptome/An_gambiae_male_2006/ST1/links/AGCDS/AGM-contig_5-AGCDS.txt","ENSANGT00000010054")</f>
        <v>ENSANGT00000010054</v>
      </c>
      <c r="U39" s="1">
        <v>5E-86</v>
      </c>
      <c r="V39" s="2" t="str">
        <f>HYPERLINK("http://exon.niaid.nih.gov/transcriptome/An_gambiae_male_2006/ST1/links/AGM-contig_5-AGSAL.txt","sg2")</f>
        <v>sg2</v>
      </c>
      <c r="W39" s="1">
        <v>9E-33</v>
      </c>
      <c r="X39" s="1">
        <v>96</v>
      </c>
      <c r="Y39" s="1">
        <v>52</v>
      </c>
      <c r="Z39" s="2" t="str">
        <f>HYPERLINK("http://exon.niaid.nih.gov/transcriptome/An_gambiae_male_2006/ST1/links/AGM-contig_5-AGNUC.txt","AG-contig_138")</f>
        <v>AG-contig_138</v>
      </c>
      <c r="AA39" s="1">
        <v>1E-152</v>
      </c>
      <c r="AB39" s="2" t="str">
        <f>HYPERLINK("http://exon.niaid.nih.gov/transcriptome/An_gambiae_male_2006/ST1/links/AGM-contig_5-NR.txt","SG2 protein [Anopheles gambiae]            127   9e-029")</f>
        <v>SG2 protein [Anopheles gambiae]            127   9e-029</v>
      </c>
      <c r="AC39" s="1" t="str">
        <f>HYPERLINK("http://www.ncbi.nlm.nih.gov/sutils/blink.cgi?pid=4210617","9E-029")</f>
        <v>9E-029</v>
      </c>
      <c r="AD39" s="1" t="s">
        <v>313</v>
      </c>
      <c r="AE39" s="9" t="s">
        <v>451</v>
      </c>
      <c r="AF39" s="6" t="s">
        <v>41</v>
      </c>
      <c r="AG39" s="6" t="s">
        <v>40</v>
      </c>
      <c r="AH39" s="6"/>
      <c r="AI39" s="2"/>
      <c r="AJ39" s="4"/>
      <c r="AK39" s="2"/>
      <c r="AL39" s="4"/>
      <c r="AM39" s="1"/>
      <c r="AN39" s="2"/>
      <c r="AO39" s="1"/>
      <c r="AP39" s="2"/>
      <c r="AQ39" s="1"/>
    </row>
    <row r="40" spans="1:43" ht="9.75">
      <c r="A40" t="str">
        <f>HYPERLINK("http://exon.niaid.nih.gov/transcriptome/An_gambiae_male_2006/ST1/links/AGM-contig_40.txt","AGM-contig_40")</f>
        <v>AGM-contig_40</v>
      </c>
      <c r="B40" s="1">
        <v>1</v>
      </c>
      <c r="C40" s="1">
        <v>263</v>
      </c>
      <c r="D40" s="1">
        <v>2.3</v>
      </c>
      <c r="E40" s="1">
        <v>57</v>
      </c>
      <c r="F40" s="1">
        <v>244</v>
      </c>
      <c r="G40" t="str">
        <f>HYPERLINK("http://exon.niaid.nih.gov/transcriptome/An_gambiae_male_2006/ST1/links/AGM-7-90-90-asb-40.txt","Contig-40")</f>
        <v>Contig-40</v>
      </c>
      <c r="H40" s="1">
        <v>40</v>
      </c>
      <c r="I40" t="str">
        <f>HYPERLINK("http://exon.niaid.nih.gov/transcriptome/An_gambiae_male_2006/ST1/links/AGM-7-90-90-40-CLU.txt","Contig40")</f>
        <v>Contig40</v>
      </c>
      <c r="J40" t="s">
        <v>249</v>
      </c>
      <c r="K40" s="2" t="str">
        <f>HYPERLINK("http://exon.niaid.nih.gov/transcriptome/An_gambiae_male_2006/ST1/links/AGM-contig_40-AGFRAG.txt","3R_Piece#353")</f>
        <v>3R_Piece#353</v>
      </c>
      <c r="L40" s="4">
        <v>7E-39</v>
      </c>
      <c r="M40" s="2" t="str">
        <f>HYPERLINK("http://exon.niaid.nih.gov/transcriptome/An_gambiae_male_2006/ST1/links/AGM-contig_40-AG3P.txt","ENSANGP00000018375")</f>
        <v>ENSANGP00000018375</v>
      </c>
      <c r="N40" s="1" t="str">
        <f>HYPERLINK("http://www.anobase.org/cgi-bin/uniexcel_new_var6.pl?proteinname=ENSANGP00000018375","2.E-39")</f>
        <v>2.E-39</v>
      </c>
      <c r="O40" s="2" t="str">
        <f>HYPERLINK("http://exon.niaid.nih.gov/transcriptome/An_gambiae_male_2006/ST1/links/AGM-contig_40-AG5P.txt","ENSANGP00000018282")</f>
        <v>ENSANGP00000018282</v>
      </c>
      <c r="P40" s="1" t="str">
        <f>HYPERLINK("http://www.anobase.org/cgi-bin/uniexcel_new_var6.pl?proteinname=ENSANGP00000018282","2.E-39")</f>
        <v>2.E-39</v>
      </c>
      <c r="Q40" s="2" t="str">
        <f>HYPERLINK("http://exon.niaid.nih.gov/transcriptome/An_gambiae_male_2006/ST1/links/AGM-contig_40-AGPROT.txt","ENSANGP00000010054")</f>
        <v>ENSANGP00000010054</v>
      </c>
      <c r="R40" s="1" t="str">
        <f>HYPERLINK("http://www.ensembl.org/Anopheles_gambiae/protview?peptide=ENSANGP00000010054","2E-006")</f>
        <v>2E-006</v>
      </c>
      <c r="S40" s="1" t="str">
        <f>HYPERLINK("http://www.anobase.org/cgi-bin/uniexcel_new_var6.pl?proteinname=ENSANGP00000010054","2E-006")</f>
        <v>2E-006</v>
      </c>
      <c r="T40" s="2" t="str">
        <f>HYPERLINK("http://exon.niaid.nih.gov/transcriptome/An_gambiae_male_2006/ST1/links/AGCDS/AGM-contig_40-AGCDS.txt","ENSANGT00000018375")</f>
        <v>ENSANGT00000018375</v>
      </c>
      <c r="U40" s="1">
        <v>4E-40</v>
      </c>
      <c r="V40" s="2" t="str">
        <f>HYPERLINK("http://exon.niaid.nih.gov/transcriptome/An_gambiae_male_2006/ST1/links/AGM-contig_40-AGSAL.txt","sg2")</f>
        <v>sg2</v>
      </c>
      <c r="W40" s="1">
        <v>9E-09</v>
      </c>
      <c r="X40" s="1">
        <v>93</v>
      </c>
      <c r="Y40" s="1">
        <v>13</v>
      </c>
      <c r="Z40" s="2" t="str">
        <f>HYPERLINK("http://exon.niaid.nih.gov/transcriptome/An_gambiae_male_2006/ST1/links/AGM-contig_40-AGNUC.txt","AG-contig_138")</f>
        <v>AG-contig_138</v>
      </c>
      <c r="AA40" s="1">
        <v>6E-41</v>
      </c>
      <c r="AB40" s="2" t="str">
        <f>HYPERLINK("http://exon.niaid.nih.gov/transcriptome/An_gambiae_male_2006/ST1/links/AGM-contig_40-NR.txt","SG2 protein [Anopheles gambiae]             36   2e-004")</f>
        <v>SG2 protein [Anopheles gambiae]             36   2e-004</v>
      </c>
      <c r="AC40" s="1" t="str">
        <f>HYPERLINK("http://www.ncbi.nlm.nih.gov/sutils/blink.cgi?pid=4210617","2E-004")</f>
        <v>2E-004</v>
      </c>
      <c r="AD40" s="1" t="s">
        <v>313</v>
      </c>
      <c r="AE40" s="9" t="s">
        <v>327</v>
      </c>
      <c r="AF40" s="6" t="s">
        <v>41</v>
      </c>
      <c r="AG40" s="6" t="s">
        <v>40</v>
      </c>
      <c r="AH40" s="6"/>
      <c r="AI40" s="2"/>
      <c r="AJ40" s="4"/>
      <c r="AK40" s="2"/>
      <c r="AL40" s="4"/>
      <c r="AM40" s="1"/>
      <c r="AN40" s="2"/>
      <c r="AO40" s="1"/>
      <c r="AP40" s="2"/>
      <c r="AQ40" s="1"/>
    </row>
    <row r="41" spans="1:43" ht="9.75">
      <c r="A41" t="str">
        <f>HYPERLINK("http://exon.niaid.nih.gov/transcriptome/An_gambiae_male_2006/ST1/links/AGM-contig_327.txt","AGM-contig_327")</f>
        <v>AGM-contig_327</v>
      </c>
      <c r="B41" s="1">
        <v>1</v>
      </c>
      <c r="C41" s="1">
        <v>108</v>
      </c>
      <c r="D41" s="1">
        <v>4.6</v>
      </c>
      <c r="E41" s="1">
        <v>56.5</v>
      </c>
      <c r="F41" s="1">
        <v>89</v>
      </c>
      <c r="G41" t="str">
        <f>HYPERLINK("http://exon.niaid.nih.gov/transcriptome/An_gambiae_male_2006/ST1/links/AGM-7-90-90-asb-327.txt","Contig-327")</f>
        <v>Contig-327</v>
      </c>
      <c r="H41" s="1">
        <v>327</v>
      </c>
      <c r="I41" t="str">
        <f>HYPERLINK("http://exon.niaid.nih.gov/transcriptome/An_gambiae_male_2006/ST1/links/AGM-7-90-90-327-CLU.txt","Contig327")</f>
        <v>Contig327</v>
      </c>
      <c r="J41" t="s">
        <v>194</v>
      </c>
      <c r="K41" s="2" t="str">
        <f>HYPERLINK("http://exon.niaid.nih.gov/transcriptome/An_gambiae_male_2006/ST1/links/AGM-contig_327-AGFRAG.txt","2L_Piece#1305")</f>
        <v>2L_Piece#1305</v>
      </c>
      <c r="L41" s="4">
        <v>5E-13</v>
      </c>
      <c r="M41" s="2" t="str">
        <f>HYPERLINK("http://exon.niaid.nih.gov/transcriptome/An_gambiae_male_2006/ST1/links/AGM-contig_327-AG3P.txt","ENSANGP00000009995")</f>
        <v>ENSANGP00000009995</v>
      </c>
      <c r="N41" s="1" t="str">
        <f>HYPERLINK("http://www.anobase.org/cgi-bin/uniexcel_new_var6.pl?proteinname=ENSANGP00000009995","1.E-13")</f>
        <v>1.E-13</v>
      </c>
      <c r="O41" s="2"/>
      <c r="P41" s="1"/>
      <c r="Q41" s="2"/>
      <c r="R41" s="1"/>
      <c r="S41" s="1"/>
      <c r="T41" s="2"/>
      <c r="U41" s="1"/>
      <c r="V41" s="2"/>
      <c r="W41" s="1"/>
      <c r="X41" s="1"/>
      <c r="Y41" s="1"/>
      <c r="Z41" s="2" t="str">
        <f>HYPERLINK("http://exon.niaid.nih.gov/transcriptome/An_gambiae_male_2006/ST1/links/AGM-contig_327-AGNUC.txt","AG-contig_138")</f>
        <v>AG-contig_138</v>
      </c>
      <c r="AA41" s="1">
        <v>4E-18</v>
      </c>
      <c r="AB41" s="2"/>
      <c r="AC41" s="1"/>
      <c r="AD41" s="1"/>
      <c r="AE41" s="9"/>
      <c r="AF41" s="6" t="s">
        <v>41</v>
      </c>
      <c r="AG41" s="6" t="s">
        <v>40</v>
      </c>
      <c r="AH41" s="6"/>
      <c r="AI41" s="2"/>
      <c r="AJ41" s="4"/>
      <c r="AK41" s="2"/>
      <c r="AL41" s="4"/>
      <c r="AM41" s="1"/>
      <c r="AN41" s="2"/>
      <c r="AO41" s="1"/>
      <c r="AP41" s="2"/>
      <c r="AQ41" s="1"/>
    </row>
    <row r="42" spans="1:43" ht="9.75">
      <c r="A42" t="str">
        <f>HYPERLINK("http://exon.niaid.nih.gov/transcriptome/An_gambiae_male_2006/ST1/links/AGM-contig_349.txt","AGM-contig_349")</f>
        <v>AGM-contig_349</v>
      </c>
      <c r="B42" s="1">
        <v>1</v>
      </c>
      <c r="C42" s="1">
        <v>101</v>
      </c>
      <c r="D42" s="1">
        <v>1</v>
      </c>
      <c r="E42" s="1">
        <v>66.3</v>
      </c>
      <c r="F42" s="1">
        <v>73</v>
      </c>
      <c r="G42" t="str">
        <f>HYPERLINK("http://exon.niaid.nih.gov/transcriptome/An_gambiae_male_2006/ST1/links/AGM-7-90-90-asb-349.txt","Contig-349")</f>
        <v>Contig-349</v>
      </c>
      <c r="H42" s="1">
        <v>349</v>
      </c>
      <c r="I42" t="str">
        <f>HYPERLINK("http://exon.niaid.nih.gov/transcriptome/An_gambiae_male_2006/ST1/links/AGM-7-90-90-349-CLU.txt","Contig349")</f>
        <v>Contig349</v>
      </c>
      <c r="J42" t="s">
        <v>289</v>
      </c>
      <c r="K42" s="2" t="str">
        <f>HYPERLINK("http://exon.niaid.nih.gov/transcriptome/An_gambiae_male_2006/ST1/links/AGM-contig_349-AGFRAG.txt","2L_Piece#1305")</f>
        <v>2L_Piece#1305</v>
      </c>
      <c r="L42" s="4">
        <v>2E-18</v>
      </c>
      <c r="M42" s="2" t="str">
        <f>HYPERLINK("http://exon.niaid.nih.gov/transcriptome/An_gambiae_male_2006/ST1/links/AGM-contig_349-AG3P.txt","ENSANGP00000009995")</f>
        <v>ENSANGP00000009995</v>
      </c>
      <c r="N42" s="1" t="str">
        <f>HYPERLINK("http://www.anobase.org/cgi-bin/uniexcel_new_var6.pl?proteinname=ENSANGP00000009995","4.E-19")</f>
        <v>4.E-19</v>
      </c>
      <c r="O42" s="2"/>
      <c r="P42" s="1"/>
      <c r="Q42" s="2"/>
      <c r="R42" s="1"/>
      <c r="S42" s="1"/>
      <c r="T42" s="2"/>
      <c r="U42" s="1"/>
      <c r="V42" s="2"/>
      <c r="W42" s="1"/>
      <c r="X42" s="1"/>
      <c r="Y42" s="1"/>
      <c r="Z42" s="2" t="str">
        <f>HYPERLINK("http://exon.niaid.nih.gov/transcriptome/An_gambiae_male_2006/ST1/links/AGM-contig_349-AGNUC.txt","AG-contig_138")</f>
        <v>AG-contig_138</v>
      </c>
      <c r="AA42" s="1">
        <v>2E-23</v>
      </c>
      <c r="AB42" s="2"/>
      <c r="AC42" s="1"/>
      <c r="AD42" s="1"/>
      <c r="AE42" s="9"/>
      <c r="AF42" s="6" t="s">
        <v>41</v>
      </c>
      <c r="AG42" s="6" t="s">
        <v>40</v>
      </c>
      <c r="AH42" s="6"/>
      <c r="AI42" s="2"/>
      <c r="AJ42" s="4"/>
      <c r="AK42" s="2"/>
      <c r="AL42" s="4"/>
      <c r="AM42" s="1"/>
      <c r="AN42" s="2"/>
      <c r="AO42" s="1"/>
      <c r="AP42" s="2"/>
      <c r="AQ42" s="1"/>
    </row>
    <row r="43" spans="1:43" ht="9.75">
      <c r="A43" t="str">
        <f>HYPERLINK("http://exon.niaid.nih.gov/transcriptome/An_gambiae_male_2006/ST1/links/AGM-contig_278.txt","AGM-contig_278")</f>
        <v>AGM-contig_278</v>
      </c>
      <c r="B43" s="1">
        <v>1</v>
      </c>
      <c r="C43" s="1">
        <v>103</v>
      </c>
      <c r="D43" s="1">
        <v>4.9</v>
      </c>
      <c r="E43" s="1">
        <v>61.2</v>
      </c>
      <c r="F43" s="1">
        <v>51</v>
      </c>
      <c r="G43" t="str">
        <f>HYPERLINK("http://exon.niaid.nih.gov/transcriptome/An_gambiae_male_2006/ST1/links/AGM-7-90-90-asb-278.txt","Contig-278")</f>
        <v>Contig-278</v>
      </c>
      <c r="H43" s="1">
        <v>278</v>
      </c>
      <c r="I43" t="str">
        <f>HYPERLINK("http://exon.niaid.nih.gov/transcriptome/An_gambiae_male_2006/ST1/links/AGM-7-90-90-278-CLU.txt","Contig278")</f>
        <v>Contig278</v>
      </c>
      <c r="J43" t="s">
        <v>145</v>
      </c>
      <c r="K43" s="2" t="str">
        <f>HYPERLINK("http://exon.niaid.nih.gov/transcriptome/An_gambiae_male_2006/ST1/links/AGM-contig_278-AGFRAG.txt","2L_Piece#1305")</f>
        <v>2L_Piece#1305</v>
      </c>
      <c r="L43" s="4">
        <v>1E-16</v>
      </c>
      <c r="M43" s="2" t="str">
        <f>HYPERLINK("http://exon.niaid.nih.gov/transcriptome/An_gambiae_male_2006/ST1/links/AGM-contig_278-AG3P.txt","ENSANGP00000009995")</f>
        <v>ENSANGP00000009995</v>
      </c>
      <c r="N43" s="1" t="str">
        <f>HYPERLINK("http://www.anobase.org/cgi-bin/uniexcel_new_var6.pl?proteinname=ENSANGP00000009995","3.E-17")</f>
        <v>3.E-17</v>
      </c>
      <c r="O43" s="2"/>
      <c r="P43" s="1"/>
      <c r="Q43" s="2"/>
      <c r="R43" s="1"/>
      <c r="S43" s="1"/>
      <c r="T43" s="2"/>
      <c r="U43" s="1"/>
      <c r="V43" s="2"/>
      <c r="W43" s="1"/>
      <c r="X43" s="1"/>
      <c r="Y43" s="1"/>
      <c r="Z43" s="2" t="str">
        <f>HYPERLINK("http://exon.niaid.nih.gov/transcriptome/An_gambiae_male_2006/ST1/links/AGM-contig_278-AGNUC.txt","AG-contig_138")</f>
        <v>AG-contig_138</v>
      </c>
      <c r="AA43" s="1">
        <v>1E-21</v>
      </c>
      <c r="AB43" s="2"/>
      <c r="AC43" s="1"/>
      <c r="AD43" s="1"/>
      <c r="AE43" s="9"/>
      <c r="AF43" s="6" t="s">
        <v>41</v>
      </c>
      <c r="AG43" s="6" t="s">
        <v>40</v>
      </c>
      <c r="AH43" s="6"/>
      <c r="AI43" s="2"/>
      <c r="AJ43" s="4"/>
      <c r="AK43" s="2"/>
      <c r="AL43" s="4"/>
      <c r="AM43" s="1"/>
      <c r="AN43" s="2"/>
      <c r="AO43" s="1"/>
      <c r="AP43" s="2"/>
      <c r="AQ43" s="1"/>
    </row>
    <row r="44" spans="1:43" ht="9.75">
      <c r="A44" t="str">
        <f>HYPERLINK("http://exon.niaid.nih.gov/transcriptome/An_gambiae_male_2006/ST1/links/AGM-contig_207.txt","AGM-contig_207")</f>
        <v>AGM-contig_207</v>
      </c>
      <c r="B44" s="1">
        <v>1</v>
      </c>
      <c r="C44" s="1">
        <v>92</v>
      </c>
      <c r="D44" s="1">
        <v>6.5</v>
      </c>
      <c r="E44" s="1">
        <v>65.2</v>
      </c>
      <c r="F44" s="1">
        <v>45</v>
      </c>
      <c r="G44" t="str">
        <f>HYPERLINK("http://exon.niaid.nih.gov/transcriptome/An_gambiae_male_2006/ST1/links/AGM-7-90-90-asb-207.txt","Contig-207")</f>
        <v>Contig-207</v>
      </c>
      <c r="H44" s="1">
        <v>207</v>
      </c>
      <c r="I44" t="str">
        <f>HYPERLINK("http://exon.niaid.nih.gov/transcriptome/An_gambiae_male_2006/ST1/links/AGM-7-90-90-207-CLU.txt","Contig207")</f>
        <v>Contig207</v>
      </c>
      <c r="J44" t="s">
        <v>660</v>
      </c>
      <c r="K44" s="2" t="str">
        <f>HYPERLINK("http://exon.niaid.nih.gov/transcriptome/An_gambiae_male_2006/ST1/links/AGM-contig_207-AGFRAG.txt","2L_Piece#1305")</f>
        <v>2L_Piece#1305</v>
      </c>
      <c r="L44" s="4">
        <v>2E-14</v>
      </c>
      <c r="M44" s="2" t="str">
        <f>HYPERLINK("http://exon.niaid.nih.gov/transcriptome/An_gambiae_male_2006/ST1/links/AGM-contig_207-AG3P.txt","ENSANGP00000009995")</f>
        <v>ENSANGP00000009995</v>
      </c>
      <c r="N44" s="1" t="str">
        <f>HYPERLINK("http://www.anobase.org/cgi-bin/uniexcel_new_var6.pl?proteinname=ENSANGP00000009995","5.E-15")</f>
        <v>5.E-15</v>
      </c>
      <c r="O44" s="2"/>
      <c r="P44" s="1"/>
      <c r="Q44" s="2"/>
      <c r="R44" s="1"/>
      <c r="S44" s="1"/>
      <c r="T44" s="2"/>
      <c r="U44" s="1"/>
      <c r="V44" s="2"/>
      <c r="W44" s="1"/>
      <c r="X44" s="1"/>
      <c r="Y44" s="1"/>
      <c r="Z44" s="2" t="str">
        <f>HYPERLINK("http://exon.niaid.nih.gov/transcriptome/An_gambiae_male_2006/ST1/links/AGM-contig_207-AGNUC.txt","AG-contig_138")</f>
        <v>AG-contig_138</v>
      </c>
      <c r="AA44" s="1">
        <v>3E-18</v>
      </c>
      <c r="AB44" s="2"/>
      <c r="AC44" s="1"/>
      <c r="AD44" s="1"/>
      <c r="AE44" s="9"/>
      <c r="AF44" s="6" t="s">
        <v>41</v>
      </c>
      <c r="AG44" s="6" t="s">
        <v>40</v>
      </c>
      <c r="AH44" s="6"/>
      <c r="AI44" s="2"/>
      <c r="AJ44" s="4"/>
      <c r="AK44" s="2"/>
      <c r="AL44" s="4"/>
      <c r="AM44" s="1"/>
      <c r="AN44" s="2"/>
      <c r="AO44" s="1"/>
      <c r="AP44" s="2"/>
      <c r="AQ44" s="1"/>
    </row>
    <row r="45" spans="1:43" ht="9.75">
      <c r="A45" t="str">
        <f>HYPERLINK("http://exon.niaid.nih.gov/transcriptome/An_gambiae_male_2006/ST1/links/AGM-contig_101.txt","AGM-contig_101")</f>
        <v>AGM-contig_101</v>
      </c>
      <c r="B45" s="1">
        <v>2</v>
      </c>
      <c r="C45" s="1">
        <v>67</v>
      </c>
      <c r="D45" s="1" t="s">
        <v>209</v>
      </c>
      <c r="E45" s="1">
        <v>74.6</v>
      </c>
      <c r="F45" s="1">
        <v>48</v>
      </c>
      <c r="G45" t="str">
        <f>HYPERLINK("http://exon.niaid.nih.gov/transcriptome/An_gambiae_male_2006/ST1/links/AGM-7-90-90-asb-101.txt","Contig-101")</f>
        <v>Contig-101</v>
      </c>
      <c r="H45" s="1">
        <v>101</v>
      </c>
      <c r="I45" t="str">
        <f>HYPERLINK("http://exon.niaid.nih.gov/transcriptome/An_gambiae_male_2006/ST1/links/AGM-7-90-90-101-CLU.txt","Contig101")</f>
        <v>Contig101</v>
      </c>
      <c r="J45" t="s">
        <v>554</v>
      </c>
      <c r="K45" s="2" t="str">
        <f>HYPERLINK("http://exon.niaid.nih.gov/transcriptome/An_gambiae_male_2006/ST1/links/AGM-contig_101-AGFRAG.txt","2L_Piece#1305")</f>
        <v>2L_Piece#1305</v>
      </c>
      <c r="L45" s="4">
        <v>2E-14</v>
      </c>
      <c r="M45" s="2" t="str">
        <f>HYPERLINK("http://exon.niaid.nih.gov/transcriptome/An_gambiae_male_2006/ST1/links/AGM-contig_101-AG3P.txt","ENSANGP00000009995")</f>
        <v>ENSANGP00000009995</v>
      </c>
      <c r="N45" s="1" t="str">
        <f>HYPERLINK("http://www.anobase.org/cgi-bin/uniexcel_new_var6.pl?proteinname=ENSANGP00000009995","4.E-15")</f>
        <v>4.E-15</v>
      </c>
      <c r="O45" s="2"/>
      <c r="P45" s="1"/>
      <c r="Q45" s="2"/>
      <c r="R45" s="1"/>
      <c r="S45" s="1"/>
      <c r="T45" s="2"/>
      <c r="U45" s="1"/>
      <c r="V45" s="2"/>
      <c r="W45" s="1"/>
      <c r="X45" s="1"/>
      <c r="Y45" s="1"/>
      <c r="Z45" s="2" t="str">
        <f>HYPERLINK("http://exon.niaid.nih.gov/transcriptome/An_gambiae_male_2006/ST1/links/AGM-contig_101-AGNUC.txt","AG-contig_137")</f>
        <v>AG-contig_137</v>
      </c>
      <c r="AA45" s="1">
        <v>4E-20</v>
      </c>
      <c r="AB45" s="2"/>
      <c r="AC45" s="1"/>
      <c r="AD45" s="1"/>
      <c r="AE45" s="9"/>
      <c r="AF45" s="6" t="s">
        <v>41</v>
      </c>
      <c r="AG45" s="6" t="s">
        <v>40</v>
      </c>
      <c r="AH45" s="6"/>
      <c r="AI45" s="2"/>
      <c r="AJ45" s="4"/>
      <c r="AK45" s="2"/>
      <c r="AL45" s="4"/>
      <c r="AM45" s="1"/>
      <c r="AN45" s="2"/>
      <c r="AO45" s="1"/>
      <c r="AP45" s="2"/>
      <c r="AQ45" s="1"/>
    </row>
    <row r="46" spans="1:43" ht="9.75">
      <c r="A46" t="str">
        <f>HYPERLINK("http://exon.niaid.nih.gov/transcriptome/An_gambiae_male_2006/ST1/links/AGM-contig_3.txt","AGM-contig_3")</f>
        <v>AGM-contig_3</v>
      </c>
      <c r="B46" s="1">
        <v>60</v>
      </c>
      <c r="C46" s="1">
        <v>477</v>
      </c>
      <c r="D46" s="1" t="s">
        <v>209</v>
      </c>
      <c r="E46" s="1">
        <v>49.1</v>
      </c>
      <c r="F46" s="1">
        <v>458</v>
      </c>
      <c r="G46" t="str">
        <f>HYPERLINK("http://exon.niaid.nih.gov/transcriptome/An_gambiae_male_2006/ST1/links/AGM-7-90-90-asb-3.txt","Contig-3")</f>
        <v>Contig-3</v>
      </c>
      <c r="H46" s="1">
        <v>3</v>
      </c>
      <c r="I46" t="str">
        <f>HYPERLINK("http://exon.niaid.nih.gov/transcriptome/An_gambiae_male_2006/ST1/links/AGM-7-90-90-3-CLU.txt","Contig3")</f>
        <v>Contig3</v>
      </c>
      <c r="J46" t="s">
        <v>212</v>
      </c>
      <c r="K46" s="2" t="str">
        <f>HYPERLINK("http://exon.niaid.nih.gov/transcriptome/An_gambiae_male_2006/ST1/links/AGM-contig_3-AGFRAG.txt","2L_Piece#1305")</f>
        <v>2L_Piece#1305</v>
      </c>
      <c r="L46" s="4">
        <v>0</v>
      </c>
      <c r="M46" s="2" t="str">
        <f>HYPERLINK("http://exon.niaid.nih.gov/transcriptome/An_gambiae_male_2006/ST1/links/AGM-contig_3-AG3P.txt","ENSANGP00000009995")</f>
        <v>ENSANGP00000009995</v>
      </c>
      <c r="N46" s="1" t="str">
        <f>HYPERLINK("http://www.anobase.org/cgi-bin/uniexcel_new_var6.pl?proteinname=ENSANGP00000009995","0.E+00")</f>
        <v>0.E+00</v>
      </c>
      <c r="O46" s="2" t="str">
        <f>HYPERLINK("http://exon.niaid.nih.gov/transcriptome/An_gambiae_male_2006/ST1/links/AGM-contig_3-AG5P.txt","ENSANGP00000010054")</f>
        <v>ENSANGP00000010054</v>
      </c>
      <c r="P46" s="1" t="str">
        <f>HYPERLINK("http://www.anobase.org/cgi-bin/uniexcel_new_var6.pl?proteinname=ENSANGP00000010054","1.E-87")</f>
        <v>1.E-87</v>
      </c>
      <c r="Q46" s="2" t="str">
        <f>HYPERLINK("http://exon.niaid.nih.gov/transcriptome/An_gambiae_male_2006/ST1/links/AGM-contig_3-AGPROT.txt","ENSANGP00000010054")</f>
        <v>ENSANGP00000010054</v>
      </c>
      <c r="R46" s="1" t="str">
        <f>HYPERLINK("http://www.ensembl.org/Anopheles_gambiae/protview?peptide=ENSANGP00000010054","2E-061")</f>
        <v>2E-061</v>
      </c>
      <c r="S46" s="1" t="str">
        <f>HYPERLINK("http://www.anobase.org/cgi-bin/uniexcel_new_var6.pl?proteinname=ENSANGP00000010054","2E-061")</f>
        <v>2E-061</v>
      </c>
      <c r="T46" s="2" t="str">
        <f>HYPERLINK("http://exon.niaid.nih.gov/transcriptome/An_gambiae_male_2006/ST1/links/AGCDS/AGM-contig_3-AGCDS.txt","ENSANGT00000010054")</f>
        <v>ENSANGT00000010054</v>
      </c>
      <c r="U46" s="1">
        <v>1E-173</v>
      </c>
      <c r="V46" s="2" t="str">
        <f>HYPERLINK("http://exon.niaid.nih.gov/transcriptome/An_gambiae_male_2006/ST1/links/AGM-contig_3-AGSAL.txt","sg2")</f>
        <v>sg2</v>
      </c>
      <c r="W46" s="1">
        <v>1E-63</v>
      </c>
      <c r="X46" s="1">
        <v>96</v>
      </c>
      <c r="Y46" s="1">
        <v>100</v>
      </c>
      <c r="Z46" s="2" t="str">
        <f>HYPERLINK("http://exon.niaid.nih.gov/transcriptome/An_gambiae_male_2006/ST1/links/AGM-contig_3-AGNUC.txt","AG-contig_136")</f>
        <v>AG-contig_136</v>
      </c>
      <c r="AA46" s="1">
        <v>0</v>
      </c>
      <c r="AB46" s="2" t="str">
        <f>HYPERLINK("http://exon.niaid.nih.gov/transcriptome/An_gambiae_male_2006/ST1/links/AGM-contig_3-NR.txt","SG2 protein [Anopheles gambiae]            231   4e-060")</f>
        <v>SG2 protein [Anopheles gambiae]            231   4e-060</v>
      </c>
      <c r="AC46" s="1" t="str">
        <f>HYPERLINK("http://www.ncbi.nlm.nih.gov/sutils/blink.cgi?pid=4210617","4E-060")</f>
        <v>4E-060</v>
      </c>
      <c r="AD46" s="1" t="s">
        <v>313</v>
      </c>
      <c r="AE46" s="9" t="s">
        <v>808</v>
      </c>
      <c r="AF46" s="6" t="s">
        <v>41</v>
      </c>
      <c r="AG46" s="6" t="s">
        <v>40</v>
      </c>
      <c r="AH46" s="6"/>
      <c r="AI46" s="2"/>
      <c r="AJ46" s="4"/>
      <c r="AK46" s="2"/>
      <c r="AL46" s="4"/>
      <c r="AM46" s="1"/>
      <c r="AN46" s="2"/>
      <c r="AO46" s="1"/>
      <c r="AP46" s="2"/>
      <c r="AQ46" s="1"/>
    </row>
    <row r="47" spans="1:43" ht="9.75">
      <c r="A47" t="str">
        <f>HYPERLINK("http://exon.niaid.nih.gov/transcriptome/An_gambiae_male_2006/ST1/links/AGM-contig_91.txt","AGM-contig_91")</f>
        <v>AGM-contig_91</v>
      </c>
      <c r="B47" s="1">
        <v>2</v>
      </c>
      <c r="C47" s="1">
        <v>220</v>
      </c>
      <c r="D47" s="1" t="s">
        <v>209</v>
      </c>
      <c r="E47" s="1">
        <v>66.4</v>
      </c>
      <c r="F47" s="1">
        <v>201</v>
      </c>
      <c r="G47" t="str">
        <f>HYPERLINK("http://exon.niaid.nih.gov/transcriptome/An_gambiae_male_2006/ST1/links/AGM-7-90-90-asb-91.txt","Contig-91")</f>
        <v>Contig-91</v>
      </c>
      <c r="H47" s="1">
        <v>91</v>
      </c>
      <c r="I47" t="str">
        <f>HYPERLINK("http://exon.niaid.nih.gov/transcriptome/An_gambiae_male_2006/ST1/links/AGM-7-90-90-91-CLU.txt","Contig91")</f>
        <v>Contig91</v>
      </c>
      <c r="J47" t="s">
        <v>544</v>
      </c>
      <c r="K47" s="2" t="str">
        <f>HYPERLINK("http://exon.niaid.nih.gov/transcriptome/An_gambiae_male_2006/ST1/links/AGM-contig_91-AGFRAG.txt","2L_Piece#1304")</f>
        <v>2L_Piece#1304</v>
      </c>
      <c r="L47" s="4">
        <v>1E-73</v>
      </c>
      <c r="M47" s="2" t="str">
        <f>HYPERLINK("http://exon.niaid.nih.gov/transcriptome/An_gambiae_male_2006/ST1/links/AGM-contig_91-AG3P.txt","ENSANGP00000010065")</f>
        <v>ENSANGP00000010065</v>
      </c>
      <c r="N47" s="1" t="str">
        <f>HYPERLINK("http://www.anobase.org/cgi-bin/uniexcel_new_var6.pl?proteinname=ENSANGP00000010065","3.E-74")</f>
        <v>3.E-74</v>
      </c>
      <c r="O47" s="2"/>
      <c r="P47" s="1"/>
      <c r="Q47" s="2"/>
      <c r="R47" s="1"/>
      <c r="S47" s="1"/>
      <c r="T47" s="2"/>
      <c r="U47" s="1"/>
      <c r="V47" s="2"/>
      <c r="W47" s="1"/>
      <c r="X47" s="1"/>
      <c r="Y47" s="1"/>
      <c r="Z47" s="2" t="str">
        <f>HYPERLINK("http://exon.niaid.nih.gov/transcriptome/An_gambiae_male_2006/ST1/links/AGM-contig_91-AGNUC.txt","AG-contig_24")</f>
        <v>AG-contig_24</v>
      </c>
      <c r="AA47" s="1">
        <v>1E-108</v>
      </c>
      <c r="AB47" s="2" t="str">
        <f>HYPERLINK("http://exon.niaid.nih.gov/transcriptome/An_gambiae_male_2006/ST1/links/AGM-contig_91-NR.txt","predicted CDS, endonuclease/exonucl")</f>
        <v>predicted CDS, endonuclease/exonucl</v>
      </c>
      <c r="AC47" s="1" t="str">
        <f>HYPERLINK("http://www.ncbi.nlm.nih.gov/sutils/blink.cgi?pid=17567523","9.3")</f>
        <v>9.3</v>
      </c>
      <c r="AD47" s="1" t="s">
        <v>314</v>
      </c>
      <c r="AE47" s="9" t="s">
        <v>347</v>
      </c>
      <c r="AF47" s="6" t="s">
        <v>355</v>
      </c>
      <c r="AG47" s="6" t="s">
        <v>40</v>
      </c>
      <c r="AH47" s="6"/>
      <c r="AI47" s="2"/>
      <c r="AJ47" s="4"/>
      <c r="AK47" s="2"/>
      <c r="AL47" s="4"/>
      <c r="AM47" s="1"/>
      <c r="AN47" s="2"/>
      <c r="AO47" s="1"/>
      <c r="AP47" s="2"/>
      <c r="AQ47" s="1"/>
    </row>
    <row r="48" spans="1:43" ht="9.75">
      <c r="A48" t="str">
        <f>HYPERLINK("http://exon.niaid.nih.gov/transcriptome/An_gambiae_male_2006/ST1/links/AGM-contig_34.txt","AGM-contig_34")</f>
        <v>AGM-contig_34</v>
      </c>
      <c r="B48" s="1">
        <v>1</v>
      </c>
      <c r="C48" s="1">
        <v>510</v>
      </c>
      <c r="D48" s="1">
        <v>0.4</v>
      </c>
      <c r="E48" s="1">
        <v>59.4</v>
      </c>
      <c r="F48" s="1">
        <v>239</v>
      </c>
      <c r="G48" t="str">
        <f>HYPERLINK("http://exon.niaid.nih.gov/transcriptome/An_gambiae_male_2006/ST1/links/AGM-7-90-90-asb-34.txt","Contig-34")</f>
        <v>Contig-34</v>
      </c>
      <c r="H48" s="1">
        <v>34</v>
      </c>
      <c r="I48" t="str">
        <f>HYPERLINK("http://exon.niaid.nih.gov/transcriptome/An_gambiae_male_2006/ST1/links/AGM-7-90-90-34-CLU.txt","Contig34")</f>
        <v>Contig34</v>
      </c>
      <c r="J48" t="s">
        <v>243</v>
      </c>
      <c r="K48" s="2" t="str">
        <f>HYPERLINK("http://exon.niaid.nih.gov/transcriptome/An_gambiae_male_2006/ST1/links/AGM-contig_34-AGFRAG.txt","2L_Piece#1304")</f>
        <v>2L_Piece#1304</v>
      </c>
      <c r="L48" s="4">
        <v>2E-83</v>
      </c>
      <c r="M48" s="2" t="str">
        <f>HYPERLINK("http://exon.niaid.nih.gov/transcriptome/An_gambiae_male_2006/ST1/links/AGM-contig_34-AG3P.txt","ENSANGP00000010065")</f>
        <v>ENSANGP00000010065</v>
      </c>
      <c r="N48" s="1" t="str">
        <f>HYPERLINK("http://www.anobase.org/cgi-bin/uniexcel_new_var6.pl?proteinname=ENSANGP00000010065","5.E-84")</f>
        <v>5.E-84</v>
      </c>
      <c r="O48" s="2"/>
      <c r="P48" s="1"/>
      <c r="Q48" s="2" t="str">
        <f>HYPERLINK("http://exon.niaid.nih.gov/transcriptome/An_gambiae_male_2006/ST1/links/AGM-contig_34-AGPROT.txt","ENSANGP00000010065")</f>
        <v>ENSANGP00000010065</v>
      </c>
      <c r="R48" s="1" t="str">
        <f>HYPERLINK("http://www.ensembl.org/Anopheles_gambiae/protview?peptide=ENSANGP00000010065","2E-010")</f>
        <v>2E-010</v>
      </c>
      <c r="S48" s="1" t="str">
        <f>HYPERLINK("http://www.anobase.org/cgi-bin/uniexcel_new_var6.pl?proteinname=ENSANGP00000010065","2E-010")</f>
        <v>2E-010</v>
      </c>
      <c r="T48" s="2" t="str">
        <f>HYPERLINK("http://exon.niaid.nih.gov/transcriptome/An_gambiae_male_2006/ST1/links/AGCDS/AGM-contig_34-AGCDS.txt","ENSANGT00000010065")</f>
        <v>ENSANGT00000010065</v>
      </c>
      <c r="U48" s="1">
        <v>1E-32</v>
      </c>
      <c r="V48" s="2" t="str">
        <f>HYPERLINK("http://exon.niaid.nih.gov/transcriptome/An_gambiae_male_2006/ST1/links/AGM-contig_34-AGSAL.txt","sg2a")</f>
        <v>sg2a</v>
      </c>
      <c r="W48" s="1">
        <v>1E-12</v>
      </c>
      <c r="X48" s="1">
        <v>86</v>
      </c>
      <c r="Y48" s="1">
        <v>17</v>
      </c>
      <c r="Z48" s="2" t="str">
        <f>HYPERLINK("http://exon.niaid.nih.gov/transcriptome/An_gambiae_male_2006/ST1/links/AGM-contig_34-AGNUC.txt","AG-contig_24")</f>
        <v>AG-contig_24</v>
      </c>
      <c r="AA48" s="1">
        <v>1E-131</v>
      </c>
      <c r="AB48" s="2" t="str">
        <f>HYPERLINK("http://exon.niaid.nih.gov/transcriptome/An_gambiae_male_2006/ST1/links/AGM-contig_34-NR.txt","gSG2-like protein [Anopheles gambiae]      67   3e-010")</f>
        <v>gSG2-like protein [Anopheles gambiae]      67   3e-010</v>
      </c>
      <c r="AC48" s="1" t="str">
        <f>HYPERLINK("http://www.ncbi.nlm.nih.gov/sutils/blink.cgi?pid=13537660","3E-010")</f>
        <v>3E-010</v>
      </c>
      <c r="AD48" s="1" t="s">
        <v>313</v>
      </c>
      <c r="AE48" s="9" t="s">
        <v>101</v>
      </c>
      <c r="AF48" s="6" t="s">
        <v>355</v>
      </c>
      <c r="AG48" s="6" t="s">
        <v>40</v>
      </c>
      <c r="AH48" s="6"/>
      <c r="AI48" s="2"/>
      <c r="AJ48" s="4"/>
      <c r="AK48" s="2"/>
      <c r="AL48" s="4"/>
      <c r="AM48" s="1"/>
      <c r="AN48" s="2"/>
      <c r="AO48" s="1"/>
      <c r="AP48" s="2"/>
      <c r="AQ48" s="1"/>
    </row>
    <row r="49" spans="1:43" ht="9.75">
      <c r="A49" t="str">
        <f>HYPERLINK("http://exon.niaid.nih.gov/transcriptome/An_gambiae_male_2006/ST1/links/AGM-contig_287.txt","AGM-contig_287")</f>
        <v>AGM-contig_287</v>
      </c>
      <c r="B49" s="1">
        <v>1</v>
      </c>
      <c r="C49" s="1">
        <v>109</v>
      </c>
      <c r="D49" s="1">
        <v>5.5</v>
      </c>
      <c r="E49" s="1">
        <v>64.2</v>
      </c>
      <c r="F49" s="1">
        <v>56</v>
      </c>
      <c r="G49" t="str">
        <f>HYPERLINK("http://exon.niaid.nih.gov/transcriptome/An_gambiae_male_2006/ST1/links/AGM-7-90-90-asb-287.txt","Contig-287")</f>
        <v>Contig-287</v>
      </c>
      <c r="H49" s="1">
        <v>287</v>
      </c>
      <c r="I49" t="str">
        <f>HYPERLINK("http://exon.niaid.nih.gov/transcriptome/An_gambiae_male_2006/ST1/links/AGM-7-90-90-287-CLU.txt","Contig287")</f>
        <v>Contig287</v>
      </c>
      <c r="J49" t="s">
        <v>154</v>
      </c>
      <c r="K49" s="2" t="str">
        <f>HYPERLINK("http://exon.niaid.nih.gov/transcriptome/An_gambiae_male_2006/ST1/links/AGM-contig_287-AGFRAG.txt","2L_Piece#1304")</f>
        <v>2L_Piece#1304</v>
      </c>
      <c r="L49" s="4">
        <v>5E-13</v>
      </c>
      <c r="M49" s="2" t="str">
        <f>HYPERLINK("http://exon.niaid.nih.gov/transcriptome/An_gambiae_male_2006/ST1/links/AGM-contig_287-AG3P.txt","ENSANGP00000010065")</f>
        <v>ENSANGP00000010065</v>
      </c>
      <c r="N49" s="1" t="str">
        <f>HYPERLINK("http://www.anobase.org/cgi-bin/uniexcel_new_var6.pl?proteinname=ENSANGP00000010065","1.E-13")</f>
        <v>1.E-13</v>
      </c>
      <c r="O49" s="2"/>
      <c r="P49" s="1"/>
      <c r="Q49" s="2"/>
      <c r="R49" s="1"/>
      <c r="S49" s="1"/>
      <c r="T49" s="2"/>
      <c r="U49" s="1"/>
      <c r="V49" s="2"/>
      <c r="W49" s="1"/>
      <c r="X49" s="1"/>
      <c r="Y49" s="1"/>
      <c r="Z49" s="2" t="str">
        <f>HYPERLINK("http://exon.niaid.nih.gov/transcriptome/An_gambiae_male_2006/ST1/links/AGM-contig_287-AGNUC.txt","AG-contig_24")</f>
        <v>AG-contig_24</v>
      </c>
      <c r="AA49" s="1">
        <v>4E-21</v>
      </c>
      <c r="AB49" s="2"/>
      <c r="AC49" s="1"/>
      <c r="AD49" s="1"/>
      <c r="AE49" s="9"/>
      <c r="AF49" s="6" t="s">
        <v>355</v>
      </c>
      <c r="AG49" s="6" t="s">
        <v>40</v>
      </c>
      <c r="AH49" s="6"/>
      <c r="AI49" s="2"/>
      <c r="AJ49" s="4"/>
      <c r="AK49" s="2"/>
      <c r="AL49" s="4"/>
      <c r="AM49" s="1"/>
      <c r="AN49" s="2"/>
      <c r="AO49" s="1"/>
      <c r="AP49" s="2"/>
      <c r="AQ49" s="1"/>
    </row>
    <row r="50" spans="1:43" ht="9.75">
      <c r="A50" t="str">
        <f>HYPERLINK("http://exon.niaid.nih.gov/transcriptome/An_gambiae_male_2006/ST1/links/AGM-contig_8.txt","AGM-contig_8")</f>
        <v>AGM-contig_8</v>
      </c>
      <c r="B50" s="1">
        <v>3</v>
      </c>
      <c r="C50" s="1">
        <v>159</v>
      </c>
      <c r="D50" s="1" t="s">
        <v>209</v>
      </c>
      <c r="E50" s="1">
        <v>73</v>
      </c>
      <c r="F50" s="1">
        <v>140</v>
      </c>
      <c r="G50" t="str">
        <f>HYPERLINK("http://exon.niaid.nih.gov/transcriptome/An_gambiae_male_2006/ST1/links/AGM-7-90-90-asb-8.txt","Contig-8")</f>
        <v>Contig-8</v>
      </c>
      <c r="H50" s="1">
        <v>8</v>
      </c>
      <c r="I50" t="str">
        <f>HYPERLINK("http://exon.niaid.nih.gov/transcriptome/An_gambiae_male_2006/ST1/links/AGM-7-90-90-8-CLU.txt","Contig8")</f>
        <v>Contig8</v>
      </c>
      <c r="J50" t="s">
        <v>217</v>
      </c>
      <c r="K50" s="2" t="str">
        <f>HYPERLINK("http://exon.niaid.nih.gov/transcriptome/An_gambiae_male_2006/ST1/links/AGM-contig_8-AGFRAG.txt","2L_Piece#1304")</f>
        <v>2L_Piece#1304</v>
      </c>
      <c r="L50" s="4">
        <v>2E-38</v>
      </c>
      <c r="M50" s="2" t="str">
        <f>HYPERLINK("http://exon.niaid.nih.gov/transcriptome/An_gambiae_male_2006/ST1/links/AGM-contig_8-AG3P.txt","ENSANGP00000010065")</f>
        <v>ENSANGP00000010065</v>
      </c>
      <c r="N50" s="1" t="str">
        <f>HYPERLINK("http://www.anobase.org/cgi-bin/uniexcel_new_var6.pl?proteinname=ENSANGP00000010065","3.E-39")</f>
        <v>3.E-39</v>
      </c>
      <c r="O50" s="2"/>
      <c r="P50" s="1"/>
      <c r="Q50" s="2"/>
      <c r="R50" s="1"/>
      <c r="S50" s="1"/>
      <c r="T50" s="2"/>
      <c r="U50" s="1"/>
      <c r="V50" s="2"/>
      <c r="W50" s="1"/>
      <c r="X50" s="1"/>
      <c r="Y50" s="1"/>
      <c r="Z50" s="2" t="str">
        <f>HYPERLINK("http://exon.niaid.nih.gov/transcriptome/An_gambiae_male_2006/ST1/links/AGM-contig_8-AGNUC.txt","AG-contig_23")</f>
        <v>AG-contig_23</v>
      </c>
      <c r="AA50" s="1">
        <v>5E-71</v>
      </c>
      <c r="AB50" s="2"/>
      <c r="AC50" s="1"/>
      <c r="AD50" s="1"/>
      <c r="AE50" s="9"/>
      <c r="AF50" s="6" t="s">
        <v>355</v>
      </c>
      <c r="AG50" s="6" t="s">
        <v>40</v>
      </c>
      <c r="AH50" s="6"/>
      <c r="AI50" s="2"/>
      <c r="AJ50" s="4"/>
      <c r="AK50" s="2"/>
      <c r="AL50" s="4"/>
      <c r="AM50" s="1"/>
      <c r="AN50" s="2"/>
      <c r="AO50" s="1"/>
      <c r="AP50" s="2"/>
      <c r="AQ50" s="1"/>
    </row>
    <row r="51" spans="1:43" ht="9.75">
      <c r="A51" t="str">
        <f>HYPERLINK("http://exon.niaid.nih.gov/transcriptome/An_gambiae_male_2006/ST1/links/AGM-contig_10.txt","AGM-contig_10")</f>
        <v>AGM-contig_10</v>
      </c>
      <c r="B51" s="1">
        <v>2</v>
      </c>
      <c r="C51" s="1">
        <v>160</v>
      </c>
      <c r="D51" s="1" t="s">
        <v>209</v>
      </c>
      <c r="E51" s="1">
        <v>56.3</v>
      </c>
      <c r="F51" s="1">
        <v>141</v>
      </c>
      <c r="G51" t="str">
        <f>HYPERLINK("http://exon.niaid.nih.gov/transcriptome/An_gambiae_male_2006/ST1/links/AGM-7-90-90-asb-10.txt","Contig-10")</f>
        <v>Contig-10</v>
      </c>
      <c r="H51" s="1">
        <v>10</v>
      </c>
      <c r="I51" t="str">
        <f>HYPERLINK("http://exon.niaid.nih.gov/transcriptome/An_gambiae_male_2006/ST1/links/AGM-7-90-90-10-CLU.txt","Contig10")</f>
        <v>Contig10</v>
      </c>
      <c r="J51" t="s">
        <v>219</v>
      </c>
      <c r="K51" s="2" t="str">
        <f>HYPERLINK("http://exon.niaid.nih.gov/transcriptome/An_gambiae_male_2006/ST1/links/AGM-contig_10-AGFRAG.txt","2L_Piece#1304")</f>
        <v>2L_Piece#1304</v>
      </c>
      <c r="L51" s="4">
        <v>1E-63</v>
      </c>
      <c r="M51" s="2" t="str">
        <f>HYPERLINK("http://exon.niaid.nih.gov/transcriptome/An_gambiae_male_2006/ST1/links/AGM-contig_10-AG3P.txt","ENSANGP00000010065")</f>
        <v>ENSANGP00000010065</v>
      </c>
      <c r="N51" s="1" t="str">
        <f>HYPERLINK("http://www.anobase.org/cgi-bin/uniexcel_new_var6.pl?proteinname=ENSANGP00000010065","3.E-64")</f>
        <v>3.E-64</v>
      </c>
      <c r="O51" s="2"/>
      <c r="P51" s="1"/>
      <c r="Q51" s="2" t="str">
        <f>HYPERLINK("http://exon.niaid.nih.gov/transcriptome/An_gambiae_male_2006/ST1/links/AGM-contig_10-AGPROT.txt","ENSANGP00000010065")</f>
        <v>ENSANGP00000010065</v>
      </c>
      <c r="R51" s="1" t="str">
        <f>HYPERLINK("http://www.ensembl.org/Anopheles_gambiae/protview?peptide=ENSANGP00000010065","4E-014")</f>
        <v>4E-014</v>
      </c>
      <c r="S51" s="1" t="str">
        <f>HYPERLINK("http://www.anobase.org/cgi-bin/uniexcel_new_var6.pl?proteinname=ENSANGP00000010065","4E-014")</f>
        <v>4E-014</v>
      </c>
      <c r="T51" s="2" t="str">
        <f>HYPERLINK("http://exon.niaid.nih.gov/transcriptome/An_gambiae_male_2006/ST1/links/AGCDS/AGM-contig_10-AGCDS.txt","ENSANGT00000010065")</f>
        <v>ENSANGT00000010065</v>
      </c>
      <c r="U51" s="1">
        <v>3E-49</v>
      </c>
      <c r="V51" s="2" t="str">
        <f>HYPERLINK("http://exon.niaid.nih.gov/transcriptome/An_gambiae_male_2006/ST1/links/AGM-contig_10-AGSAL.txt","sg2a")</f>
        <v>sg2a</v>
      </c>
      <c r="W51" s="1">
        <v>1E-16</v>
      </c>
      <c r="X51" s="1">
        <v>94</v>
      </c>
      <c r="Y51" s="1">
        <v>20</v>
      </c>
      <c r="Z51" s="2" t="str">
        <f>HYPERLINK("http://exon.niaid.nih.gov/transcriptome/An_gambiae_male_2006/ST1/links/AGM-contig_10-AGNUC.txt","AG-contig_23")</f>
        <v>AG-contig_23</v>
      </c>
      <c r="AA51" s="1">
        <v>5E-71</v>
      </c>
      <c r="AB51" s="2" t="str">
        <f>HYPERLINK("http://exon.niaid.nih.gov/transcriptome/An_gambiae_male_2006/ST1/links/AGM-contig_10-NR.txt","ENSANGP00000010065 [Anopheles gambiae]    72   4e-012")</f>
        <v>ENSANGP00000010065 [Anopheles gambiae]    72   4e-012</v>
      </c>
      <c r="AC51" s="1" t="str">
        <f>HYPERLINK("http://www.ncbi.nlm.nih.gov/sutils/blink.cgi?pid=31217928","4E-012")</f>
        <v>4E-012</v>
      </c>
      <c r="AD51" s="1" t="s">
        <v>313</v>
      </c>
      <c r="AE51" s="9" t="s">
        <v>98</v>
      </c>
      <c r="AF51" s="6" t="s">
        <v>355</v>
      </c>
      <c r="AG51" s="6" t="s">
        <v>40</v>
      </c>
      <c r="AH51" s="6"/>
      <c r="AI51" s="2"/>
      <c r="AJ51" s="4"/>
      <c r="AK51" s="2"/>
      <c r="AL51" s="4"/>
      <c r="AM51" s="1"/>
      <c r="AN51" s="2"/>
      <c r="AO51" s="1"/>
      <c r="AP51" s="2"/>
      <c r="AQ51" s="1"/>
    </row>
    <row r="52" spans="1:43" ht="9.75">
      <c r="A52" t="str">
        <f>HYPERLINK("http://exon.niaid.nih.gov/transcriptome/An_gambiae_male_2006/ST1/links/AGM-contig_11.txt","AGM-contig_11")</f>
        <v>AGM-contig_11</v>
      </c>
      <c r="B52" s="1">
        <v>2</v>
      </c>
      <c r="C52" s="1">
        <v>115</v>
      </c>
      <c r="D52" s="1" t="s">
        <v>209</v>
      </c>
      <c r="E52" s="1">
        <v>70.4</v>
      </c>
      <c r="F52" s="1">
        <v>96</v>
      </c>
      <c r="G52" t="str">
        <f>HYPERLINK("http://exon.niaid.nih.gov/transcriptome/An_gambiae_male_2006/ST1/links/AGM-7-90-90-asb-11.txt","Contig-11")</f>
        <v>Contig-11</v>
      </c>
      <c r="H52" s="1">
        <v>11</v>
      </c>
      <c r="I52" t="str">
        <f>HYPERLINK("http://exon.niaid.nih.gov/transcriptome/An_gambiae_male_2006/ST1/links/AGM-7-90-90-11-CLU.txt","Contig11")</f>
        <v>Contig11</v>
      </c>
      <c r="J52" t="s">
        <v>220</v>
      </c>
      <c r="K52" s="2" t="str">
        <f>HYPERLINK("http://exon.niaid.nih.gov/transcriptome/An_gambiae_male_2006/ST1/links/AGM-contig_11-AGFRAG.txt","2L_Piece#1304")</f>
        <v>2L_Piece#1304</v>
      </c>
      <c r="L52" s="4">
        <v>2E-28</v>
      </c>
      <c r="M52" s="2" t="str">
        <f>HYPERLINK("http://exon.niaid.nih.gov/transcriptome/An_gambiae_male_2006/ST1/links/AGM-contig_11-AG3P.txt","ENSANGP00000010065")</f>
        <v>ENSANGP00000010065</v>
      </c>
      <c r="N52" s="1" t="str">
        <f>HYPERLINK("http://www.anobase.org/cgi-bin/uniexcel_new_var6.pl?proteinname=ENSANGP00000010065","3.E-29")</f>
        <v>3.E-29</v>
      </c>
      <c r="O52" s="2"/>
      <c r="P52" s="1"/>
      <c r="Q52" s="2"/>
      <c r="R52" s="1"/>
      <c r="S52" s="1"/>
      <c r="T52" s="2"/>
      <c r="U52" s="1"/>
      <c r="V52" s="2"/>
      <c r="W52" s="1"/>
      <c r="X52" s="1"/>
      <c r="Y52" s="1"/>
      <c r="Z52" s="2" t="str">
        <f>HYPERLINK("http://exon.niaid.nih.gov/transcriptome/An_gambiae_male_2006/ST1/links/AGM-contig_11-AGNUC.txt","AG-contig_23")</f>
        <v>AG-contig_23</v>
      </c>
      <c r="AA52" s="1">
        <v>4E-43</v>
      </c>
      <c r="AB52" s="2"/>
      <c r="AC52" s="1"/>
      <c r="AD52" s="1"/>
      <c r="AE52" s="9"/>
      <c r="AF52" s="6" t="s">
        <v>355</v>
      </c>
      <c r="AG52" s="6" t="s">
        <v>40</v>
      </c>
      <c r="AH52" s="6"/>
      <c r="AI52" s="2"/>
      <c r="AJ52" s="4"/>
      <c r="AK52" s="2"/>
      <c r="AL52" s="4"/>
      <c r="AM52" s="1"/>
      <c r="AN52" s="2"/>
      <c r="AO52" s="1"/>
      <c r="AP52" s="2"/>
      <c r="AQ52" s="1"/>
    </row>
    <row r="53" spans="1:43" ht="9.75">
      <c r="A53" t="str">
        <f>HYPERLINK("http://exon.niaid.nih.gov/transcriptome/An_gambiae_male_2006/ST1/links/AGM-contig_16.txt","AGM-contig_16")</f>
        <v>AGM-contig_16</v>
      </c>
      <c r="B53" s="1">
        <v>2</v>
      </c>
      <c r="C53" s="1">
        <v>103</v>
      </c>
      <c r="D53" s="1">
        <v>1</v>
      </c>
      <c r="E53" s="1">
        <v>69.9</v>
      </c>
      <c r="F53" s="1">
        <v>84</v>
      </c>
      <c r="G53" t="str">
        <f>HYPERLINK("http://exon.niaid.nih.gov/transcriptome/An_gambiae_male_2006/ST1/links/AGM-7-90-90-asb-16.txt","Contig-16")</f>
        <v>Contig-16</v>
      </c>
      <c r="H53" s="1">
        <v>16</v>
      </c>
      <c r="I53" t="str">
        <f>HYPERLINK("http://exon.niaid.nih.gov/transcriptome/An_gambiae_male_2006/ST1/links/AGM-7-90-90-16-CLU.txt","Contig16")</f>
        <v>Contig16</v>
      </c>
      <c r="J53" t="s">
        <v>225</v>
      </c>
      <c r="K53" s="2" t="str">
        <f>HYPERLINK("http://exon.niaid.nih.gov/transcriptome/An_gambiae_male_2006/ST1/links/AGM-contig_16-AGFRAG.txt","2L_Piece#1304")</f>
        <v>2L_Piece#1304</v>
      </c>
      <c r="L53" s="4">
        <v>3E-23</v>
      </c>
      <c r="M53" s="2" t="str">
        <f>HYPERLINK("http://exon.niaid.nih.gov/transcriptome/An_gambiae_male_2006/ST1/links/AGM-contig_16-AG3P.txt","ENSANGP00000010065")</f>
        <v>ENSANGP00000010065</v>
      </c>
      <c r="N53" s="1" t="str">
        <f>HYPERLINK("http://www.anobase.org/cgi-bin/uniexcel_new_var6.pl?proteinname=ENSANGP00000010065","7.E-24")</f>
        <v>7.E-24</v>
      </c>
      <c r="O53" s="2"/>
      <c r="P53" s="1"/>
      <c r="Q53" s="2"/>
      <c r="R53" s="1"/>
      <c r="S53" s="1"/>
      <c r="T53" s="2"/>
      <c r="U53" s="1"/>
      <c r="V53" s="2"/>
      <c r="W53" s="1"/>
      <c r="X53" s="1"/>
      <c r="Y53" s="1"/>
      <c r="Z53" s="2" t="str">
        <f>HYPERLINK("http://exon.niaid.nih.gov/transcriptome/An_gambiae_male_2006/ST1/links/AGM-contig_16-AGNUC.txt","AG-contig_23")</f>
        <v>AG-contig_23</v>
      </c>
      <c r="AA53" s="1">
        <v>2E-35</v>
      </c>
      <c r="AB53" s="2"/>
      <c r="AC53" s="1"/>
      <c r="AD53" s="1"/>
      <c r="AE53" s="9"/>
      <c r="AF53" s="6" t="s">
        <v>355</v>
      </c>
      <c r="AG53" s="6" t="s">
        <v>40</v>
      </c>
      <c r="AH53" s="6"/>
      <c r="AI53" s="2"/>
      <c r="AJ53" s="4"/>
      <c r="AK53" s="2"/>
      <c r="AL53" s="4"/>
      <c r="AM53" s="1"/>
      <c r="AN53" s="2"/>
      <c r="AO53" s="1"/>
      <c r="AP53" s="2"/>
      <c r="AQ53" s="1"/>
    </row>
    <row r="54" spans="1:43" ht="9.75">
      <c r="A54" t="str">
        <f>HYPERLINK("http://exon.niaid.nih.gov/transcriptome/An_gambiae_male_2006/ST1/links/AGM-contig_35.txt","AGM-contig_35")</f>
        <v>AGM-contig_35</v>
      </c>
      <c r="B54" s="1">
        <v>1</v>
      </c>
      <c r="C54" s="1">
        <v>600</v>
      </c>
      <c r="D54" s="1" t="s">
        <v>209</v>
      </c>
      <c r="E54" s="1">
        <v>50.8</v>
      </c>
      <c r="F54" s="1">
        <v>225</v>
      </c>
      <c r="G54" t="str">
        <f>HYPERLINK("http://exon.niaid.nih.gov/transcriptome/An_gambiae_male_2006/ST1/links/AGM-7-90-90-asb-35.txt","Contig-35")</f>
        <v>Contig-35</v>
      </c>
      <c r="H54" s="1">
        <v>35</v>
      </c>
      <c r="I54" t="str">
        <f>HYPERLINK("http://exon.niaid.nih.gov/transcriptome/An_gambiae_male_2006/ST1/links/AGM-7-90-90-35-CLU.txt","Contig35")</f>
        <v>Contig35</v>
      </c>
      <c r="J54" t="s">
        <v>244</v>
      </c>
      <c r="K54" s="2" t="str">
        <f>HYPERLINK("http://exon.niaid.nih.gov/transcriptome/An_gambiae_male_2006/ST1/links/AGM-contig_35-AGFRAG.txt","2L_Piece#1304")</f>
        <v>2L_Piece#1304</v>
      </c>
      <c r="L54" s="4">
        <v>1E-118</v>
      </c>
      <c r="M54" s="2" t="str">
        <f>HYPERLINK("http://exon.niaid.nih.gov/transcriptome/An_gambiae_male_2006/ST1/links/AGM-contig_35-AG3P.txt","ENSANGP00000010065")</f>
        <v>ENSANGP00000010065</v>
      </c>
      <c r="N54" s="1" t="str">
        <f>HYPERLINK("http://www.anobase.org/cgi-bin/uniexcel_new_var6.pl?proteinname=ENSANGP00000010065","1.E-118")</f>
        <v>1.E-118</v>
      </c>
      <c r="O54" s="2" t="str">
        <f>HYPERLINK("http://exon.niaid.nih.gov/transcriptome/An_gambiae_male_2006/ST1/links/AGM-contig_35-AG5P.txt","ENSANGP00000024158")</f>
        <v>ENSANGP00000024158</v>
      </c>
      <c r="P54" s="1" t="str">
        <f>HYPERLINK("http://www.anobase.org/cgi-bin/uniexcel_new_var6.pl?proteinname=ENSANGP00000024158","2.E-09")</f>
        <v>2.E-09</v>
      </c>
      <c r="Q54" s="2" t="str">
        <f>HYPERLINK("http://exon.niaid.nih.gov/transcriptome/An_gambiae_male_2006/ST1/links/AGM-contig_35-AGPROT.txt","ENSANGP00000010065")</f>
        <v>ENSANGP00000010065</v>
      </c>
      <c r="R54" s="1" t="str">
        <f>HYPERLINK("http://www.ensembl.org/Anopheles_gambiae/protview?peptide=ENSANGP00000010065","9E-036")</f>
        <v>9E-036</v>
      </c>
      <c r="S54" s="1" t="str">
        <f>HYPERLINK("http://www.anobase.org/cgi-bin/uniexcel_new_var6.pl?proteinname=ENSANGP00000010065","9E-036")</f>
        <v>9E-036</v>
      </c>
      <c r="T54" s="2" t="str">
        <f>HYPERLINK("http://exon.niaid.nih.gov/transcriptome/An_gambiae_male_2006/ST1/links/AGCDS/AGM-contig_35-AGCDS.txt","ENSANGT00000010065")</f>
        <v>ENSANGT00000010065</v>
      </c>
      <c r="U54" s="1">
        <v>1E-110</v>
      </c>
      <c r="V54" s="2" t="str">
        <f>HYPERLINK("http://exon.niaid.nih.gov/transcriptome/An_gambiae_male_2006/ST1/links/AGM-contig_35-AGSAL.txt","sg2a")</f>
        <v>sg2a</v>
      </c>
      <c r="W54" s="1">
        <v>4E-38</v>
      </c>
      <c r="X54" s="1">
        <v>97</v>
      </c>
      <c r="Y54" s="1">
        <v>39</v>
      </c>
      <c r="Z54" s="2" t="str">
        <f>HYPERLINK("http://exon.niaid.nih.gov/transcriptome/An_gambiae_male_2006/ST1/links/AGM-contig_35-AGNUC.txt","AG-contig_23")</f>
        <v>AG-contig_23</v>
      </c>
      <c r="AA54" s="1">
        <v>1E-125</v>
      </c>
      <c r="AB54" s="2" t="str">
        <f>HYPERLINK("http://exon.niaid.nih.gov/transcriptome/An_gambiae_male_2006/ST1/links/AGM-contig_35-NR.txt","ENSANGP00000010065 [Anopheles gambiae")</f>
        <v>ENSANGP00000010065 [Anopheles gambiae</v>
      </c>
      <c r="AC54" s="1" t="str">
        <f>HYPERLINK("http://www.ncbi.nlm.nih.gov/sutils/blink.cgi?pid=55239274","6E-034")</f>
        <v>6E-034</v>
      </c>
      <c r="AD54" s="1" t="s">
        <v>313</v>
      </c>
      <c r="AE54" s="9" t="s">
        <v>446</v>
      </c>
      <c r="AF54" s="6" t="s">
        <v>355</v>
      </c>
      <c r="AG54" s="6" t="s">
        <v>40</v>
      </c>
      <c r="AH54" s="6"/>
      <c r="AI54" s="2"/>
      <c r="AJ54" s="4"/>
      <c r="AK54" s="2"/>
      <c r="AL54" s="4"/>
      <c r="AM54" s="1"/>
      <c r="AN54" s="2"/>
      <c r="AO54" s="1"/>
      <c r="AP54" s="2"/>
      <c r="AQ54" s="1"/>
    </row>
    <row r="55" spans="1:43" ht="9.75">
      <c r="A55" t="str">
        <f>HYPERLINK("http://exon.niaid.nih.gov/transcriptome/An_gambiae_male_2006/ST1/links/AGM-contig_36.txt","AGM-contig_36")</f>
        <v>AGM-contig_36</v>
      </c>
      <c r="B55" s="1">
        <v>1</v>
      </c>
      <c r="C55" s="1">
        <v>735</v>
      </c>
      <c r="D55" s="1">
        <v>0.5</v>
      </c>
      <c r="E55" s="1">
        <v>63.4</v>
      </c>
      <c r="F55" s="1">
        <v>159</v>
      </c>
      <c r="G55" t="str">
        <f>HYPERLINK("http://exon.niaid.nih.gov/transcriptome/An_gambiae_male_2006/ST1/links/AGM-7-90-90-asb-36.txt","Contig-36")</f>
        <v>Contig-36</v>
      </c>
      <c r="H55" s="1">
        <v>36</v>
      </c>
      <c r="I55" t="str">
        <f>HYPERLINK("http://exon.niaid.nih.gov/transcriptome/An_gambiae_male_2006/ST1/links/AGM-7-90-90-36-CLU.txt","Contig36")</f>
        <v>Contig36</v>
      </c>
      <c r="J55" t="s">
        <v>245</v>
      </c>
      <c r="K55" s="2" t="str">
        <f>HYPERLINK("http://exon.niaid.nih.gov/transcriptome/An_gambiae_male_2006/ST1/links/AGM-contig_36-AGFRAG.txt","2L_Piece#1304")</f>
        <v>2L_Piece#1304</v>
      </c>
      <c r="L55" s="4">
        <v>2E-29</v>
      </c>
      <c r="M55" s="2" t="str">
        <f>HYPERLINK("http://exon.niaid.nih.gov/transcriptome/An_gambiae_male_2006/ST1/links/AGM-contig_36-AG3P.txt","ENSANGP00000010065")</f>
        <v>ENSANGP00000010065</v>
      </c>
      <c r="N55" s="1" t="str">
        <f>HYPERLINK("http://www.anobase.org/cgi-bin/uniexcel_new_var6.pl?proteinname=ENSANGP00000010065","4.E-30")</f>
        <v>4.E-30</v>
      </c>
      <c r="O55" s="2" t="str">
        <f>HYPERLINK("http://exon.niaid.nih.gov/transcriptome/An_gambiae_male_2006/ST1/links/AGM-contig_36-AG5P.txt","ENSANGP00000029156")</f>
        <v>ENSANGP00000029156</v>
      </c>
      <c r="P55" s="1" t="str">
        <f>HYPERLINK("http://www.anobase.org/cgi-bin/uniexcel_new_var6.pl?proteinname=ENSANGP00000029156","5.E-11")</f>
        <v>5.E-11</v>
      </c>
      <c r="Q55" s="2" t="str">
        <f>HYPERLINK("http://exon.niaid.nih.gov/transcriptome/An_gambiae_male_2006/ST1/links/AGM-contig_36-AGPROT.txt","ENSANGP00000002593")</f>
        <v>ENSANGP00000002593</v>
      </c>
      <c r="R55" s="1" t="str">
        <f>HYPERLINK("http://www.ensembl.org/Anopheles_gambiae/protview?peptide=ENSANGP00000002593","2.2")</f>
        <v>2.2</v>
      </c>
      <c r="S55" s="1" t="str">
        <f>HYPERLINK("http://www.anobase.org/cgi-bin/uniexcel_new_var6.pl?proteinname=ENSANGP00000002593","2.2")</f>
        <v>2.2</v>
      </c>
      <c r="T55" s="2"/>
      <c r="U55" s="1"/>
      <c r="V55" s="2"/>
      <c r="W55" s="1"/>
      <c r="X55" s="1"/>
      <c r="Y55" s="1"/>
      <c r="Z55" s="2" t="str">
        <f>HYPERLINK("http://exon.niaid.nih.gov/transcriptome/An_gambiae_male_2006/ST1/links/AGM-contig_36-AGNUC.txt","AG-contig_23")</f>
        <v>AG-contig_23</v>
      </c>
      <c r="AA55" s="1">
        <v>1E-65</v>
      </c>
      <c r="AB55" s="2" t="str">
        <f>HYPERLINK("http://exon.niaid.nih.gov/transcriptome/An_gambiae_male_2006/ST1/links/AGM-contig_36-NR.txt","ENSANGP00000022785 [Anopheles gambiae]    42   0.019")</f>
        <v>ENSANGP00000022785 [Anopheles gambiae]    42   0.019</v>
      </c>
      <c r="AC55" s="1" t="str">
        <f>HYPERLINK("http://www.ncbi.nlm.nih.gov/sutils/blink.cgi?pid=31210903","0.019")</f>
        <v>0.019</v>
      </c>
      <c r="AD55" s="1" t="s">
        <v>313</v>
      </c>
      <c r="AE55" s="9" t="s">
        <v>90</v>
      </c>
      <c r="AF55" s="6" t="s">
        <v>355</v>
      </c>
      <c r="AG55" s="6" t="s">
        <v>40</v>
      </c>
      <c r="AH55" s="6"/>
      <c r="AI55" s="2"/>
      <c r="AJ55" s="4"/>
      <c r="AK55" s="2"/>
      <c r="AL55" s="4"/>
      <c r="AM55" s="1"/>
      <c r="AN55" s="2"/>
      <c r="AO55" s="1"/>
      <c r="AP55" s="2"/>
      <c r="AQ55" s="1"/>
    </row>
    <row r="56" spans="1:43" ht="9.75">
      <c r="A56" t="str">
        <f>HYPERLINK("http://exon.niaid.nih.gov/transcriptome/An_gambiae_male_2006/ST1/links/AGM-contig_366.txt","AGM-contig_366")</f>
        <v>AGM-contig_366</v>
      </c>
      <c r="B56" s="1">
        <v>1</v>
      </c>
      <c r="C56" s="1">
        <v>138</v>
      </c>
      <c r="D56" s="1">
        <v>1.4</v>
      </c>
      <c r="E56" s="1">
        <v>87.7</v>
      </c>
      <c r="F56" s="1">
        <v>67</v>
      </c>
      <c r="G56" t="str">
        <f>HYPERLINK("http://exon.niaid.nih.gov/transcriptome/An_gambiae_male_2006/ST1/links/AGM-7-90-90-asb-366.txt","Contig-366")</f>
        <v>Contig-366</v>
      </c>
      <c r="H56" s="1">
        <v>366</v>
      </c>
      <c r="I56" t="str">
        <f>HYPERLINK("http://exon.niaid.nih.gov/transcriptome/An_gambiae_male_2006/ST1/links/AGM-7-90-90-366-CLU.txt","Contig366")</f>
        <v>Contig366</v>
      </c>
      <c r="J56" t="s">
        <v>306</v>
      </c>
      <c r="K56" s="2" t="str">
        <f>HYPERLINK("http://exon.niaid.nih.gov/transcriptome/An_gambiae_male_2006/ST1/links/AGM-contig_366-AGFRAG.txt","2L_Piece#1304")</f>
        <v>2L_Piece#1304</v>
      </c>
      <c r="L56" s="4">
        <v>9E-09</v>
      </c>
      <c r="M56" s="2" t="str">
        <f>HYPERLINK("http://exon.niaid.nih.gov/transcriptome/An_gambiae_male_2006/ST1/links/AGM-contig_366-AG3P.txt","ENSANGP00000010065")</f>
        <v>ENSANGP00000010065</v>
      </c>
      <c r="N56" s="1" t="str">
        <f>HYPERLINK("http://www.anobase.org/cgi-bin/uniexcel_new_var6.pl?proteinname=ENSANGP00000010065","2.E-09")</f>
        <v>2.E-09</v>
      </c>
      <c r="O56" s="2"/>
      <c r="P56" s="1"/>
      <c r="Q56" s="2"/>
      <c r="R56" s="1"/>
      <c r="S56" s="1"/>
      <c r="T56" s="2"/>
      <c r="U56" s="1"/>
      <c r="V56" s="2"/>
      <c r="W56" s="1"/>
      <c r="X56" s="1"/>
      <c r="Y56" s="1"/>
      <c r="Z56" s="2" t="str">
        <f>HYPERLINK("http://exon.niaid.nih.gov/transcriptome/An_gambiae_male_2006/ST1/links/AGM-contig_366-AGNUC.txt","AG-contig_23")</f>
        <v>AG-contig_23</v>
      </c>
      <c r="AA56" s="1">
        <v>8E-14</v>
      </c>
      <c r="AB56" s="2"/>
      <c r="AC56" s="1"/>
      <c r="AD56" s="1"/>
      <c r="AE56" s="9"/>
      <c r="AF56" s="6" t="s">
        <v>355</v>
      </c>
      <c r="AG56" s="6" t="s">
        <v>40</v>
      </c>
      <c r="AH56" s="6"/>
      <c r="AI56" s="2"/>
      <c r="AJ56" s="4"/>
      <c r="AK56" s="2"/>
      <c r="AL56" s="4"/>
      <c r="AM56" s="1"/>
      <c r="AN56" s="2"/>
      <c r="AO56" s="1"/>
      <c r="AP56" s="2"/>
      <c r="AQ56" s="1"/>
    </row>
    <row r="57" spans="1:42" s="14" customFormat="1" ht="9.75">
      <c r="A57" s="13" t="s">
        <v>777</v>
      </c>
      <c r="K57" s="15"/>
      <c r="L57" s="16"/>
      <c r="M57" s="15"/>
      <c r="O57" s="15"/>
      <c r="Q57" s="15"/>
      <c r="T57" s="15"/>
      <c r="V57" s="15"/>
      <c r="Z57" s="15"/>
      <c r="AB57" s="15"/>
      <c r="AE57" s="17"/>
      <c r="AF57" s="18"/>
      <c r="AG57" s="18"/>
      <c r="AH57" s="18"/>
      <c r="AI57" s="15"/>
      <c r="AJ57" s="16"/>
      <c r="AK57" s="15"/>
      <c r="AL57" s="16"/>
      <c r="AN57" s="15"/>
      <c r="AP57" s="15"/>
    </row>
    <row r="58" spans="1:43" ht="9.75">
      <c r="A58" t="str">
        <f>HYPERLINK("http://exon.niaid.nih.gov/transcriptome/An_gambiae_male_2006/ST1/links/AGM-contig_224.txt","AGM-contig_224")</f>
        <v>AGM-contig_224</v>
      </c>
      <c r="B58" s="1">
        <v>1</v>
      </c>
      <c r="C58" s="1">
        <v>496</v>
      </c>
      <c r="D58" s="1" t="s">
        <v>209</v>
      </c>
      <c r="E58" s="1">
        <v>58.9</v>
      </c>
      <c r="F58" s="1">
        <v>477</v>
      </c>
      <c r="G58" t="str">
        <f>HYPERLINK("http://exon.niaid.nih.gov/transcriptome/An_gambiae_male_2006/ST1/links/AGM-7-90-90-asb-224.txt","Contig-224")</f>
        <v>Contig-224</v>
      </c>
      <c r="H58" s="1">
        <v>224</v>
      </c>
      <c r="I58" t="str">
        <f>HYPERLINK("http://exon.niaid.nih.gov/transcriptome/An_gambiae_male_2006/ST1/links/AGM-7-90-90-224-CLU.txt","Contig224")</f>
        <v>Contig224</v>
      </c>
      <c r="J58" t="s">
        <v>677</v>
      </c>
      <c r="K58" s="2" t="str">
        <f>HYPERLINK("http://exon.niaid.nih.gov/transcriptome/An_gambiae_male_2006/ST1/links/AGM-contig_224-AGFRAG.txt","2R_Piece#2150")</f>
        <v>2R_Piece#2150</v>
      </c>
      <c r="L58" s="4">
        <v>0</v>
      </c>
      <c r="M58" s="2" t="str">
        <f>HYPERLINK("http://exon.niaid.nih.gov/transcriptome/An_gambiae_male_2006/ST1/links/AGM-contig_224-AG3P.txt","ENSANGP00000012895")</f>
        <v>ENSANGP00000012895</v>
      </c>
      <c r="N58" s="1" t="str">
        <f>HYPERLINK("http://www.anobase.org/cgi-bin/uniexcel_new_var6.pl?proteinname=ENSANGP00000012895","0.E+00")</f>
        <v>0.E+00</v>
      </c>
      <c r="O58" s="2"/>
      <c r="P58" s="1"/>
      <c r="Q58" s="2" t="str">
        <f>HYPERLINK("http://exon.niaid.nih.gov/transcriptome/An_gambiae_male_2006/ST1/links/AGM-contig_224-AGPROT.txt","ENSANGP00000028826")</f>
        <v>ENSANGP00000028826</v>
      </c>
      <c r="R58" s="1" t="str">
        <f>HYPERLINK("http://www.ensembl.org/Anopheles_gambiae/protview?peptide=ENSANGP00000028826","1.1")</f>
        <v>1.1</v>
      </c>
      <c r="S58" s="1" t="str">
        <f>HYPERLINK("http://www.anobase.org/cgi-bin/uniexcel_new_var6.pl?proteinname=ENSANGP00000028826","1.1")</f>
        <v>1.1</v>
      </c>
      <c r="T58" s="2" t="str">
        <f>HYPERLINK("http://exon.niaid.nih.gov/transcriptome/An_gambiae_male_2006/ST1/links/AGCDS/AGM-contig_224-AGCDS.txt","ENSANGT00000012895")</f>
        <v>ENSANGT00000012895</v>
      </c>
      <c r="U58" s="1">
        <v>0</v>
      </c>
      <c r="V58" s="2"/>
      <c r="W58" s="1"/>
      <c r="X58" s="1"/>
      <c r="Y58" s="1"/>
      <c r="Z58" s="2" t="str">
        <f>HYPERLINK("http://exon.niaid.nih.gov/transcriptome/An_gambiae_male_2006/ST1/links/AGM-contig_224-AGNUC.txt","AG-contig_811")</f>
        <v>AG-contig_811</v>
      </c>
      <c r="AA58" s="1">
        <v>0</v>
      </c>
      <c r="AB58" s="2" t="str">
        <f>HYPERLINK("http://exon.niaid.nih.gov/transcriptome/An_gambiae_male_2006/ST1/links/AGM-contig_224-NR.txt","GA10457-PA [Drosophila pseudoobscura]       35   0.96")</f>
        <v>GA10457-PA [Drosophila pseudoobscura]       35   0.96</v>
      </c>
      <c r="AC58" s="1" t="str">
        <f>HYPERLINK("http://www.ncbi.nlm.nih.gov/sutils/blink.cgi?pid=54645217","0.96")</f>
        <v>0.96</v>
      </c>
      <c r="AD58" s="1" t="s">
        <v>314</v>
      </c>
      <c r="AE58" s="9" t="s">
        <v>127</v>
      </c>
      <c r="AF58" s="6" t="s">
        <v>771</v>
      </c>
      <c r="AG58" s="6" t="s">
        <v>81</v>
      </c>
      <c r="AH58" s="6"/>
      <c r="AI58" s="2"/>
      <c r="AJ58" s="4"/>
      <c r="AK58" s="2"/>
      <c r="AL58" s="4"/>
      <c r="AM58" s="1"/>
      <c r="AN58" s="2"/>
      <c r="AO58" s="1"/>
      <c r="AP58" s="2"/>
      <c r="AQ58" s="1"/>
    </row>
    <row r="59" spans="1:42" s="14" customFormat="1" ht="12.75" customHeight="1">
      <c r="A59" s="13" t="s">
        <v>778</v>
      </c>
      <c r="K59" s="15"/>
      <c r="L59" s="16"/>
      <c r="M59" s="15"/>
      <c r="O59" s="15"/>
      <c r="Q59" s="15"/>
      <c r="T59" s="15"/>
      <c r="V59" s="15"/>
      <c r="Z59" s="15"/>
      <c r="AB59" s="15"/>
      <c r="AE59" s="17"/>
      <c r="AF59" s="18"/>
      <c r="AG59" s="18"/>
      <c r="AH59" s="18"/>
      <c r="AI59" s="15"/>
      <c r="AJ59" s="16"/>
      <c r="AK59" s="15"/>
      <c r="AL59" s="16"/>
      <c r="AN59" s="15"/>
      <c r="AP59" s="15"/>
    </row>
    <row r="60" spans="1:43" ht="9.75">
      <c r="A60" t="str">
        <f>HYPERLINK("http://exon.niaid.nih.gov/transcriptome/An_gambiae_male_2006/ST1/links/AGM-contig_51.txt","AGM-contig_51")</f>
        <v>AGM-contig_51</v>
      </c>
      <c r="B60" s="1">
        <v>15</v>
      </c>
      <c r="C60" s="1">
        <v>314</v>
      </c>
      <c r="D60" s="1" t="s">
        <v>209</v>
      </c>
      <c r="E60" s="1">
        <v>56.4</v>
      </c>
      <c r="F60" s="1">
        <v>295</v>
      </c>
      <c r="G60" t="str">
        <f>HYPERLINK("http://exon.niaid.nih.gov/transcriptome/An_gambiae_male_2006/ST1/links/AGM-7-90-90-asb-51.txt","Contig-51")</f>
        <v>Contig-51</v>
      </c>
      <c r="H60" s="1">
        <v>51</v>
      </c>
      <c r="I60" t="str">
        <f>HYPERLINK("http://exon.niaid.nih.gov/transcriptome/An_gambiae_male_2006/ST1/links/AGM-7-90-90-51-CLU.txt","Contig51")</f>
        <v>Contig51</v>
      </c>
      <c r="J60" t="s">
        <v>261</v>
      </c>
      <c r="K60" s="2" t="str">
        <f>HYPERLINK("http://exon.niaid.nih.gov/transcriptome/An_gambiae_male_2006/ST1/links/AGM-contig_51-AGFRAG.txt","2L_Piece#1246")</f>
        <v>2L_Piece#1246</v>
      </c>
      <c r="L60" s="4">
        <v>1E-141</v>
      </c>
      <c r="M60" s="2" t="str">
        <f>HYPERLINK("http://exon.niaid.nih.gov/transcriptome/An_gambiae_male_2006/ST1/links/AGM-contig_51-AG3P.txt","ENSANGP00000021028")</f>
        <v>ENSANGP00000021028</v>
      </c>
      <c r="N60" s="1" t="str">
        <f>HYPERLINK("http://www.anobase.org/cgi-bin/uniexcel_new_var6.pl?proteinname=ENSANGP00000021028","1.E-142")</f>
        <v>1.E-142</v>
      </c>
      <c r="O60" s="2"/>
      <c r="P60" s="1"/>
      <c r="Q60" s="2" t="str">
        <f>HYPERLINK("http://exon.niaid.nih.gov/transcriptome/An_gambiae_male_2006/ST1/links/AGM-contig_51-AGPROT.txt","ENSANGP00000021046")</f>
        <v>ENSANGP00000021046</v>
      </c>
      <c r="R60" s="1" t="str">
        <f>HYPERLINK("http://www.ensembl.org/Anopheles_gambiae/protview?peptide=ENSANGP00000021046","2E-013")</f>
        <v>2E-013</v>
      </c>
      <c r="S60" s="1" t="str">
        <f>HYPERLINK("http://www.anobase.org/cgi-bin/uniexcel_new_var6.pl?proteinname=ENSANGP00000021046","2E-013")</f>
        <v>2E-013</v>
      </c>
      <c r="T60" s="2" t="str">
        <f>HYPERLINK("http://exon.niaid.nih.gov/transcriptome/An_gambiae_male_2006/ST1/links/AGCDS/AGM-contig_51-AGCDS.txt","ENSANGT00000021028")</f>
        <v>ENSANGT00000021028</v>
      </c>
      <c r="U60" s="1">
        <v>1E-142</v>
      </c>
      <c r="V60" s="2" t="str">
        <f>HYPERLINK("http://exon.niaid.nih.gov/transcriptome/An_gambiae_male_2006/ST1/links/AGM-contig_51-AGSAL.txt","gvag")</f>
        <v>gvag</v>
      </c>
      <c r="W60" s="1">
        <v>1E-32</v>
      </c>
      <c r="X60" s="1">
        <v>98</v>
      </c>
      <c r="Y60" s="1">
        <v>22</v>
      </c>
      <c r="Z60" s="2" t="str">
        <f>HYPERLINK("http://exon.niaid.nih.gov/transcriptome/An_gambiae_male_2006/ST1/links/AGM-contig_51-AGNUC.txt","AG-contig_22")</f>
        <v>AG-contig_22</v>
      </c>
      <c r="AA60" s="1">
        <v>1E-165</v>
      </c>
      <c r="AB60" s="2" t="str">
        <f>HYPERLINK("http://exon.niaid.nih.gov/transcriptome/An_gambiae_male_2006/ST1/links/AGM-contig_51-NR.txt","ENSANGP00000021028 [Anopheles gambiae]   125   3e-028")</f>
        <v>ENSANGP00000021028 [Anopheles gambiae]   125   3e-028</v>
      </c>
      <c r="AC60" s="1" t="str">
        <f>HYPERLINK("http://www.ncbi.nlm.nih.gov/sutils/blink.cgi?pid=31217598","3E-028")</f>
        <v>3E-028</v>
      </c>
      <c r="AD60" s="1" t="s">
        <v>313</v>
      </c>
      <c r="AE60" s="9" t="s">
        <v>113</v>
      </c>
      <c r="AF60" s="6" t="str">
        <f>HYPERLINK("http://exon.niaid.nih.gov/transcriptome/An_gambiae_male_2006/ST1/links/AGM-contig_51-AGSAL.txt","gvag")</f>
        <v>gvag</v>
      </c>
      <c r="AG60" s="6" t="s">
        <v>22</v>
      </c>
      <c r="AH60" s="6"/>
      <c r="AI60" s="2"/>
      <c r="AJ60" s="4"/>
      <c r="AK60" s="2"/>
      <c r="AL60" s="4"/>
      <c r="AM60" s="1"/>
      <c r="AN60" s="2"/>
      <c r="AO60" s="1"/>
      <c r="AP60" s="2"/>
      <c r="AQ60" s="1"/>
    </row>
    <row r="61" spans="1:43" ht="9.75">
      <c r="A61" t="str">
        <f>HYPERLINK("http://exon.niaid.nih.gov/transcriptome/An_gambiae_male_2006/ST1/links/AGM-contig_62.txt","AGM-contig_62")</f>
        <v>AGM-contig_62</v>
      </c>
      <c r="B61" s="1">
        <v>3</v>
      </c>
      <c r="C61" s="1">
        <v>263</v>
      </c>
      <c r="D61" s="1" t="s">
        <v>209</v>
      </c>
      <c r="E61" s="1">
        <v>58.9</v>
      </c>
      <c r="F61" s="1">
        <v>244</v>
      </c>
      <c r="G61" t="str">
        <f>HYPERLINK("http://exon.niaid.nih.gov/transcriptome/An_gambiae_male_2006/ST1/links/AGM-7-90-90-asb-62.txt","Contig-62")</f>
        <v>Contig-62</v>
      </c>
      <c r="H61" s="1">
        <v>62</v>
      </c>
      <c r="I61" t="str">
        <f>HYPERLINK("http://exon.niaid.nih.gov/transcriptome/An_gambiae_male_2006/ST1/links/AGM-7-90-90-62-CLU.txt","Contig62")</f>
        <v>Contig62</v>
      </c>
      <c r="J61" t="s">
        <v>515</v>
      </c>
      <c r="K61" s="2" t="str">
        <f>HYPERLINK("http://exon.niaid.nih.gov/transcriptome/An_gambiae_male_2006/ST1/links/AGM-contig_62-AGFRAG.txt","2L_Piece#1245")</f>
        <v>2L_Piece#1245</v>
      </c>
      <c r="L61" s="4">
        <v>1E-128</v>
      </c>
      <c r="M61" s="2" t="str">
        <f>HYPERLINK("http://exon.niaid.nih.gov/transcriptome/An_gambiae_male_2006/ST1/links/AGM-contig_62-AG3P.txt","ENSANGP00000021046")</f>
        <v>ENSANGP00000021046</v>
      </c>
      <c r="N61" s="1" t="str">
        <f>HYPERLINK("http://www.anobase.org/cgi-bin/uniexcel_new_var6.pl?proteinname=ENSANGP00000021046","1.E-100")</f>
        <v>1.E-100</v>
      </c>
      <c r="O61" s="2"/>
      <c r="P61" s="1"/>
      <c r="Q61" s="2" t="str">
        <f>HYPERLINK("http://exon.niaid.nih.gov/transcriptome/An_gambiae_male_2006/ST1/links/AGM-contig_62-AGPROT.txt","ENSANGP00000021046")</f>
        <v>ENSANGP00000021046</v>
      </c>
      <c r="R61" s="1" t="str">
        <f>HYPERLINK("http://www.ensembl.org/Anopheles_gambiae/protview?peptide=ENSANGP00000021046","1E-034")</f>
        <v>1E-034</v>
      </c>
      <c r="S61" s="1" t="str">
        <f>HYPERLINK("http://www.anobase.org/cgi-bin/uniexcel_new_var6.pl?proteinname=ENSANGP00000021046","1E-034")</f>
        <v>1E-034</v>
      </c>
      <c r="T61" s="2" t="str">
        <f>HYPERLINK("http://exon.niaid.nih.gov/transcriptome/An_gambiae_male_2006/ST1/links/AGCDS/AGM-contig_62-AGCDS.txt","ENSANGT00000021046")</f>
        <v>ENSANGT00000021046</v>
      </c>
      <c r="U61" s="1">
        <v>1E-126</v>
      </c>
      <c r="V61" s="2" t="str">
        <f>HYPERLINK("http://exon.niaid.nih.gov/transcriptome/An_gambiae_male_2006/ST1/links/AGM-contig_62-AGSAL.txt","ag5-related-2")</f>
        <v>ag5-related-2</v>
      </c>
      <c r="W61" s="1">
        <v>5E-37</v>
      </c>
      <c r="X61" s="1">
        <v>98</v>
      </c>
      <c r="Y61" s="1">
        <v>25</v>
      </c>
      <c r="Z61" s="2"/>
      <c r="AA61" s="1"/>
      <c r="AB61" s="2" t="str">
        <f>HYPERLINK("http://exon.niaid.nih.gov/transcriptome/An_gambiae_male_2006/ST1/links/AGM-contig_62-NR.txt","antigen 5-related 2 protein [Anophele")</f>
        <v>antigen 5-related 2 protein [Anophele</v>
      </c>
      <c r="AC61" s="1" t="str">
        <f>HYPERLINK("http://www.ncbi.nlm.nih.gov/sutils/blink.cgi?pid=18389885","3E-033")</f>
        <v>3E-033</v>
      </c>
      <c r="AD61" s="1" t="s">
        <v>313</v>
      </c>
      <c r="AE61" s="9" t="s">
        <v>448</v>
      </c>
      <c r="AF61" s="6" t="str">
        <f>HYPERLINK("http://exon.niaid.nih.gov/transcriptome/An_gambiae_male_2006/ST1/links/AGM-contig_62-AGSAL.txt","ag5-related-2")</f>
        <v>ag5-related-2</v>
      </c>
      <c r="AG61" s="6" t="s">
        <v>22</v>
      </c>
      <c r="AH61" s="6"/>
      <c r="AI61" s="2"/>
      <c r="AJ61" s="4"/>
      <c r="AK61" s="2"/>
      <c r="AL61" s="4"/>
      <c r="AM61" s="1"/>
      <c r="AN61" s="2"/>
      <c r="AO61" s="1"/>
      <c r="AP61" s="2"/>
      <c r="AQ61" s="1"/>
    </row>
    <row r="62" spans="1:43" ht="9.75">
      <c r="A62" t="str">
        <f>HYPERLINK("http://exon.niaid.nih.gov/transcriptome/An_gambiae_male_2006/ST1/links/AGM-contig_332.txt","AGM-contig_332")</f>
        <v>AGM-contig_332</v>
      </c>
      <c r="B62" s="1">
        <v>1</v>
      </c>
      <c r="C62" s="1">
        <v>119</v>
      </c>
      <c r="D62" s="1">
        <v>6.7</v>
      </c>
      <c r="E62" s="1">
        <v>68.1</v>
      </c>
      <c r="F62" s="1">
        <v>60</v>
      </c>
      <c r="G62" t="str">
        <f>HYPERLINK("http://exon.niaid.nih.gov/transcriptome/An_gambiae_male_2006/ST1/links/AGM-7-90-90-asb-332.txt","Contig-332")</f>
        <v>Contig-332</v>
      </c>
      <c r="H62" s="1">
        <v>332</v>
      </c>
      <c r="I62" t="str">
        <f>HYPERLINK("http://exon.niaid.nih.gov/transcriptome/An_gambiae_male_2006/ST1/links/AGM-7-90-90-332-CLU.txt","Contig332")</f>
        <v>Contig332</v>
      </c>
      <c r="J62" t="s">
        <v>272</v>
      </c>
      <c r="K62" s="2" t="str">
        <f>HYPERLINK("http://exon.niaid.nih.gov/transcriptome/An_gambiae_male_2006/ST1/links/AGM-contig_332-AGFRAG.txt","2L_Piece#1245")</f>
        <v>2L_Piece#1245</v>
      </c>
      <c r="L62" s="4">
        <v>2E-18</v>
      </c>
      <c r="M62" s="2" t="str">
        <f>HYPERLINK("http://exon.niaid.nih.gov/transcriptome/An_gambiae_male_2006/ST1/links/AGM-contig_332-AG3P.txt","ENSANGP00000021046")</f>
        <v>ENSANGP00000021046</v>
      </c>
      <c r="N62" s="1" t="str">
        <f>HYPERLINK("http://www.anobase.org/cgi-bin/uniexcel_new_var6.pl?proteinname=ENSANGP00000021046","5.E-19")</f>
        <v>5.E-19</v>
      </c>
      <c r="O62" s="2"/>
      <c r="P62" s="1"/>
      <c r="Q62" s="2"/>
      <c r="R62" s="1"/>
      <c r="S62" s="1"/>
      <c r="T62" s="2" t="str">
        <f>HYPERLINK("http://exon.niaid.nih.gov/transcriptome/An_gambiae_male_2006/ST1/links/AGCDS/AGM-contig_332-AGCDS.txt","ENSANGT00000021046")</f>
        <v>ENSANGT00000021046</v>
      </c>
      <c r="U62" s="1">
        <v>1E-19</v>
      </c>
      <c r="V62" s="2"/>
      <c r="W62" s="1"/>
      <c r="X62" s="1"/>
      <c r="Y62" s="1"/>
      <c r="Z62" s="2"/>
      <c r="AA62" s="1"/>
      <c r="AB62" s="2"/>
      <c r="AC62" s="1"/>
      <c r="AD62" s="1"/>
      <c r="AE62" s="9"/>
      <c r="AF62" s="6" t="str">
        <f>HYPERLINK("http://exon.niaid.nih.gov/transcriptome/An_gambiae_male_2006/ST1/links/AGM-contig_62-AGSAL.txt","ag5-related-2")</f>
        <v>ag5-related-2</v>
      </c>
      <c r="AG62" s="6" t="s">
        <v>22</v>
      </c>
      <c r="AH62" s="6"/>
      <c r="AI62" s="2"/>
      <c r="AJ62" s="4"/>
      <c r="AK62" s="2"/>
      <c r="AL62" s="4"/>
      <c r="AM62" s="1"/>
      <c r="AN62" s="2"/>
      <c r="AO62" s="1"/>
      <c r="AP62" s="2"/>
      <c r="AQ62" s="1"/>
    </row>
    <row r="63" spans="1:42" s="14" customFormat="1" ht="9.75">
      <c r="A63" s="13" t="s">
        <v>773</v>
      </c>
      <c r="K63" s="15"/>
      <c r="L63" s="16"/>
      <c r="M63" s="15"/>
      <c r="O63" s="15"/>
      <c r="Q63" s="15"/>
      <c r="T63" s="15"/>
      <c r="V63" s="15"/>
      <c r="Z63" s="15"/>
      <c r="AB63" s="15"/>
      <c r="AE63" s="17"/>
      <c r="AF63" s="18"/>
      <c r="AG63" s="18"/>
      <c r="AH63" s="18"/>
      <c r="AI63" s="15"/>
      <c r="AJ63" s="16"/>
      <c r="AK63" s="15"/>
      <c r="AL63" s="16"/>
      <c r="AN63" s="15"/>
      <c r="AP63" s="15"/>
    </row>
    <row r="64" spans="1:43" ht="9.75">
      <c r="A64" t="str">
        <f>HYPERLINK("http://exon.niaid.nih.gov/transcriptome/An_gambiae_male_2006/ST1/links/AGM-contig_300.txt","AGM-contig_300")</f>
        <v>AGM-contig_300</v>
      </c>
      <c r="B64" s="1">
        <v>1</v>
      </c>
      <c r="C64" s="1">
        <v>272</v>
      </c>
      <c r="D64" s="1" t="s">
        <v>209</v>
      </c>
      <c r="E64" s="1">
        <v>55.1</v>
      </c>
      <c r="F64" s="1">
        <v>253</v>
      </c>
      <c r="G64" t="str">
        <f>HYPERLINK("http://exon.niaid.nih.gov/transcriptome/An_gambiae_male_2006/ST1/links/AGM-7-90-90-asb-300.txt","Contig-300")</f>
        <v>Contig-300</v>
      </c>
      <c r="H64" s="1">
        <v>300</v>
      </c>
      <c r="I64" t="str">
        <f>HYPERLINK("http://exon.niaid.nih.gov/transcriptome/An_gambiae_male_2006/ST1/links/AGM-7-90-90-300-CLU.txt","Contig300")</f>
        <v>Contig300</v>
      </c>
      <c r="J64" t="s">
        <v>167</v>
      </c>
      <c r="K64" s="2" t="str">
        <f>HYPERLINK("http://exon.niaid.nih.gov/transcriptome/An_gambiae_male_2006/ST1/links/AGM-contig_300-AGFRAG.txt","2R_Piece#1980")</f>
        <v>2R_Piece#1980</v>
      </c>
      <c r="L64" s="4">
        <v>1E-130</v>
      </c>
      <c r="M64" s="2"/>
      <c r="N64" s="1"/>
      <c r="O64" s="2" t="str">
        <f>HYPERLINK("http://exon.niaid.nih.gov/transcriptome/An_gambiae_male_2006/ST1/links/AGM-contig_300-AG5P.txt","ENSANGP00000014376")</f>
        <v>ENSANGP00000014376</v>
      </c>
      <c r="P64" s="1" t="str">
        <f>HYPERLINK("http://www.anobase.org/cgi-bin/uniexcel_new_var6.pl?proteinname=ENSANGP00000014376","1.E-131")</f>
        <v>1.E-131</v>
      </c>
      <c r="Q64" s="2" t="str">
        <f>HYPERLINK("http://exon.niaid.nih.gov/transcriptome/An_gambiae_male_2006/ST1/links/AGM-contig_300-AGPROT.txt","ENSANGP00000028843")</f>
        <v>ENSANGP00000028843</v>
      </c>
      <c r="R64" s="1" t="str">
        <f>HYPERLINK("http://www.ensembl.org/Anopheles_gambiae/protview?peptide=ENSANGP00000028843","5.4")</f>
        <v>5.4</v>
      </c>
      <c r="S64" s="1" t="str">
        <f>HYPERLINK("http://www.anobase.org/cgi-bin/uniexcel_new_var6.pl?proteinname=ENSANGP00000028843","5.4")</f>
        <v>5.4</v>
      </c>
      <c r="T64" s="2"/>
      <c r="U64" s="1"/>
      <c r="V64" s="2"/>
      <c r="W64" s="1"/>
      <c r="X64" s="1"/>
      <c r="Y64" s="1"/>
      <c r="Z64" s="2"/>
      <c r="AA64" s="1"/>
      <c r="AB64" s="2"/>
      <c r="AC64" s="1"/>
      <c r="AD64" s="1"/>
      <c r="AE64" s="9"/>
      <c r="AF64" s="6" t="s">
        <v>421</v>
      </c>
      <c r="AG64" s="6" t="s">
        <v>422</v>
      </c>
      <c r="AH64" s="6"/>
      <c r="AI64" s="2"/>
      <c r="AJ64" s="4"/>
      <c r="AK64" s="2"/>
      <c r="AL64" s="4"/>
      <c r="AM64" s="1"/>
      <c r="AN64" s="2"/>
      <c r="AO64" s="1"/>
      <c r="AP64" s="2"/>
      <c r="AQ64" s="1"/>
    </row>
    <row r="65" spans="1:43" ht="9.75">
      <c r="A65" t="str">
        <f>HYPERLINK("http://exon.niaid.nih.gov/transcriptome/An_gambiae_male_2006/ST1/links/AGM-contig_1.txt","AGM-contig_1")</f>
        <v>AGM-contig_1</v>
      </c>
      <c r="B65" s="1">
        <v>3</v>
      </c>
      <c r="C65" s="1">
        <v>257</v>
      </c>
      <c r="D65" s="1" t="s">
        <v>209</v>
      </c>
      <c r="E65" s="1">
        <v>65</v>
      </c>
      <c r="F65" s="1">
        <v>238</v>
      </c>
      <c r="G65" t="str">
        <f>HYPERLINK("http://exon.niaid.nih.gov/transcriptome/An_gambiae_male_2006/ST1/links/AGM-7-90-90-asb-1.txt","Contig-1")</f>
        <v>Contig-1</v>
      </c>
      <c r="H65" s="1">
        <v>1</v>
      </c>
      <c r="I65" t="str">
        <f>HYPERLINK("http://exon.niaid.nih.gov/transcriptome/An_gambiae_male_2006/ST1/links/AGM-7-90-90-1-CLU.txt","Contig1")</f>
        <v>Contig1</v>
      </c>
      <c r="J65" t="s">
        <v>210</v>
      </c>
      <c r="K65" s="2" t="str">
        <f>HYPERLINK("http://exon.niaid.nih.gov/transcriptome/An_gambiae_male_2006/ST1/links/AGM-contig_1-AGFRAG.txt","2R_Piece#1848")</f>
        <v>2R_Piece#1848</v>
      </c>
      <c r="L65" s="4">
        <v>1E-126</v>
      </c>
      <c r="M65" s="2" t="str">
        <f>HYPERLINK("http://exon.niaid.nih.gov/transcriptome/An_gambiae_male_2006/ST1/links/AGM-contig_1-AG3P.txt","ENSANGP00000018919")</f>
        <v>ENSANGP00000018919</v>
      </c>
      <c r="N65" s="1" t="str">
        <f>HYPERLINK("http://www.anobase.org/cgi-bin/uniexcel_new_var6.pl?proteinname=ENSANGP00000018919","1.E-126")</f>
        <v>1.E-126</v>
      </c>
      <c r="O65" s="2"/>
      <c r="P65" s="1"/>
      <c r="Q65" s="2" t="str">
        <f>HYPERLINK("http://exon.niaid.nih.gov/transcriptome/An_gambiae_male_2006/ST1/links/AGM-contig_1-AGPROT.txt","ENSANGP00000002653")</f>
        <v>ENSANGP00000002653</v>
      </c>
      <c r="R65" s="1" t="str">
        <f>HYPERLINK("http://www.ensembl.org/Anopheles_gambiae/protview?peptide=ENSANGP00000002653","2.4")</f>
        <v>2.4</v>
      </c>
      <c r="S65" s="1" t="str">
        <f>HYPERLINK("http://www.anobase.org/cgi-bin/uniexcel_new_var6.pl?proteinname=ENSANGP00000002653","2.4")</f>
        <v>2.4</v>
      </c>
      <c r="T65" s="2"/>
      <c r="U65" s="1"/>
      <c r="V65" s="2"/>
      <c r="W65" s="1"/>
      <c r="X65" s="1"/>
      <c r="Y65" s="1"/>
      <c r="Z65" s="2" t="str">
        <f>HYPERLINK("http://exon.niaid.nih.gov/transcriptome/An_gambiae_male_2006/ST1/links/AGM-contig_1-AGNUC.txt","AG-contig_324")</f>
        <v>AG-contig_324</v>
      </c>
      <c r="AA65" s="1">
        <v>1E-133</v>
      </c>
      <c r="AB65" s="2" t="str">
        <f>HYPERLINK("http://exon.niaid.nih.gov/transcriptome/An_gambiae_male_2006/ST1/links/AGM-contig_1-NR.txt","unnamed protein product [Tetraodon n")</f>
        <v>unnamed protein product [Tetraodon n</v>
      </c>
      <c r="AC65" s="1" t="str">
        <f>HYPERLINK("http://www.ncbi.nlm.nih.gov/sutils/blink.cgi?pid=47228818","0.62")</f>
        <v>0.62</v>
      </c>
      <c r="AD65" s="1" t="s">
        <v>314</v>
      </c>
      <c r="AE65" s="9" t="s">
        <v>328</v>
      </c>
      <c r="AF65" s="6" t="s">
        <v>770</v>
      </c>
      <c r="AG65" s="6" t="s">
        <v>422</v>
      </c>
      <c r="AH65" s="6"/>
      <c r="AI65" s="2"/>
      <c r="AJ65" s="4"/>
      <c r="AK65" s="2"/>
      <c r="AL65" s="4"/>
      <c r="AM65" s="1"/>
      <c r="AN65" s="2"/>
      <c r="AO65" s="1"/>
      <c r="AP65" s="2"/>
      <c r="AQ65" s="1"/>
    </row>
    <row r="67" ht="9.75">
      <c r="B67">
        <f>SUM(B2:B65)</f>
        <v>649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319"/>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37" sqref="A37"/>
    </sheetView>
  </sheetViews>
  <sheetFormatPr defaultColWidth="9.33203125" defaultRowHeight="11.25"/>
  <cols>
    <col min="1" max="1" width="14.5" style="0" customWidth="1"/>
    <col min="2" max="2" width="6" style="1" customWidth="1"/>
    <col min="3" max="7" width="7.66015625" style="1" customWidth="1"/>
    <col min="8" max="8" width="7.66015625" style="0" customWidth="1"/>
    <col min="9" max="9" width="12.66015625" style="1" customWidth="1"/>
    <col min="10" max="11" width="12.66015625" style="0" customWidth="1"/>
    <col min="12" max="12" width="14.33203125" style="2" customWidth="1"/>
    <col min="13" max="13" width="9.5" style="4" customWidth="1"/>
    <col min="14" max="14" width="22.5" style="2" customWidth="1"/>
    <col min="15" max="15" width="9.16015625" style="1" customWidth="1"/>
    <col min="16" max="16" width="11.5" style="2" customWidth="1"/>
    <col min="17" max="17" width="9" style="4" customWidth="1"/>
    <col min="18" max="18" width="9.16015625" style="2" customWidth="1"/>
    <col min="19" max="19" width="7.16015625" style="1" customWidth="1"/>
    <col min="20" max="20" width="9.16015625" style="1" customWidth="1"/>
    <col min="21" max="21" width="8" style="2" customWidth="1"/>
    <col min="22" max="22" width="9.33203125" style="1" customWidth="1"/>
    <col min="23" max="23" width="8" style="2" customWidth="1"/>
    <col min="24" max="24" width="9.33203125" style="1" customWidth="1"/>
    <col min="25" max="26" width="7.66015625" style="1" customWidth="1"/>
    <col min="27" max="27" width="9.5" style="2" customWidth="1"/>
    <col min="28" max="28" width="7.33203125" style="1" customWidth="1"/>
    <col min="29" max="29" width="22" style="2" customWidth="1"/>
    <col min="30" max="30" width="7.33203125" style="1" customWidth="1"/>
    <col min="31" max="31" width="9.16015625" style="1" customWidth="1"/>
    <col min="32" max="32" width="13.16015625" style="9" customWidth="1"/>
    <col min="33" max="33" width="26.5" style="6" customWidth="1"/>
    <col min="34" max="34" width="20.5" style="6" customWidth="1"/>
    <col min="35" max="36" width="9.5" style="6" customWidth="1"/>
    <col min="37" max="37" width="11.33203125" style="2" customWidth="1"/>
    <col min="38" max="38" width="9.5" style="4" customWidth="1"/>
    <col min="39" max="39" width="14.33203125" style="2" customWidth="1"/>
    <col min="40" max="40" width="9.5" style="4" customWidth="1"/>
    <col min="41" max="41" width="7.5" style="1" customWidth="1"/>
    <col min="42" max="42" width="12.5" style="2" customWidth="1"/>
    <col min="43" max="43" width="7.5" style="1" customWidth="1"/>
    <col min="44" max="44" width="12.5" style="2" customWidth="1"/>
    <col min="45" max="45" width="7.5" style="1" customWidth="1"/>
  </cols>
  <sheetData>
    <row r="1" spans="1:40" s="3" customFormat="1" ht="91.5">
      <c r="A1" s="3" t="s">
        <v>199</v>
      </c>
      <c r="B1" s="3" t="s">
        <v>207</v>
      </c>
      <c r="C1" s="3" t="s">
        <v>200</v>
      </c>
      <c r="E1" s="3" t="s">
        <v>201</v>
      </c>
      <c r="F1" s="3" t="s">
        <v>202</v>
      </c>
      <c r="G1" s="3" t="s">
        <v>203</v>
      </c>
      <c r="H1" s="3" t="s">
        <v>204</v>
      </c>
      <c r="I1" s="3" t="s">
        <v>205</v>
      </c>
      <c r="J1" s="3" t="s">
        <v>206</v>
      </c>
      <c r="K1" s="3" t="s">
        <v>208</v>
      </c>
      <c r="L1" s="3" t="s">
        <v>820</v>
      </c>
      <c r="M1" s="11" t="s">
        <v>311</v>
      </c>
      <c r="N1" s="3" t="s">
        <v>821</v>
      </c>
      <c r="O1" s="11" t="s">
        <v>831</v>
      </c>
      <c r="P1" s="3" t="s">
        <v>822</v>
      </c>
      <c r="Q1" s="3" t="s">
        <v>831</v>
      </c>
      <c r="R1" s="3" t="s">
        <v>823</v>
      </c>
      <c r="S1" s="3" t="s">
        <v>832</v>
      </c>
      <c r="T1" s="3" t="s">
        <v>831</v>
      </c>
      <c r="U1" s="3" t="s">
        <v>824</v>
      </c>
      <c r="V1" s="3" t="s">
        <v>311</v>
      </c>
      <c r="W1" s="27" t="str">
        <f>HYPERLINK("http://www.ncbi.nlm.nih.gov/entrez/query.fcgi?cmd=Retrieve&amp;db=pubmed&amp;dopt=Abstract&amp;list_uids=16215223&amp;query_hl=1&amp;itool=pubmed_docsum","Best match to described An. gambia salivary proteins")</f>
        <v>Best match to described An. gambia salivary proteins</v>
      </c>
      <c r="X1" s="3" t="s">
        <v>311</v>
      </c>
      <c r="Y1" s="3" t="s">
        <v>312</v>
      </c>
      <c r="Z1" s="3" t="s">
        <v>315</v>
      </c>
      <c r="AA1" s="3" t="s">
        <v>819</v>
      </c>
      <c r="AB1" s="3" t="s">
        <v>311</v>
      </c>
      <c r="AC1" s="3" t="s">
        <v>316</v>
      </c>
      <c r="AD1" s="3" t="s">
        <v>311</v>
      </c>
      <c r="AE1" s="3" t="s">
        <v>846</v>
      </c>
      <c r="AF1" s="12" t="s">
        <v>847</v>
      </c>
      <c r="AG1" s="5" t="s">
        <v>509</v>
      </c>
      <c r="AH1" s="5" t="s">
        <v>21</v>
      </c>
      <c r="AI1" s="5" t="s">
        <v>825</v>
      </c>
      <c r="AJ1" s="5" t="s">
        <v>826</v>
      </c>
      <c r="AK1" s="3" t="s">
        <v>92</v>
      </c>
      <c r="AL1" s="11" t="s">
        <v>311</v>
      </c>
      <c r="AM1" s="3" t="s">
        <v>93</v>
      </c>
      <c r="AN1" s="11" t="s">
        <v>311</v>
      </c>
    </row>
    <row r="2" spans="1:36" ht="9.75">
      <c r="A2" t="str">
        <f>HYPERLINK("http://exon.niaid.nih.gov/transcriptome/An_gambiae_male_2006/ST1/links/AGM-contig_180.txt","AGM-contig_180")</f>
        <v>AGM-contig_180</v>
      </c>
      <c r="B2" s="1">
        <v>1</v>
      </c>
      <c r="C2" s="1">
        <v>305</v>
      </c>
      <c r="D2" s="1">
        <f>D1+B2</f>
        <v>1</v>
      </c>
      <c r="E2" s="1" t="s">
        <v>209</v>
      </c>
      <c r="F2" s="1">
        <v>59.7</v>
      </c>
      <c r="G2" s="1">
        <v>286</v>
      </c>
      <c r="H2" t="str">
        <f>HYPERLINK("http://exon.niaid.nih.gov/transcriptome/An_gambiae_male_2006/ST1/links/AGM-7-90-90-asb-180.txt","Contig-180")</f>
        <v>Contig-180</v>
      </c>
      <c r="I2" s="1">
        <v>180</v>
      </c>
      <c r="J2" t="str">
        <f>HYPERLINK("http://exon.niaid.nih.gov/transcriptome/An_gambiae_male_2006/ST1/links/AGM-7-90-90-180-CLU.txt","Contig180")</f>
        <v>Contig180</v>
      </c>
      <c r="K2" t="s">
        <v>633</v>
      </c>
      <c r="L2" s="2" t="str">
        <f>HYPERLINK("http://exon.niaid.nih.gov/transcriptome/An_gambiae_male_2006/ST1/links/AGM-contig_180-AGFRAG.txt","2R_Piece#2406")</f>
        <v>2R_Piece#2406</v>
      </c>
      <c r="M2" s="4">
        <v>1E-142</v>
      </c>
      <c r="P2" s="2" t="str">
        <f>HYPERLINK("http://exon.niaid.nih.gov/transcriptome/An_gambiae_male_2006/ST1/links/AGM-contig_180-AG5P.txt","ENSANGP00000021596")</f>
        <v>ENSANGP00000021596</v>
      </c>
      <c r="Q2" s="4" t="str">
        <f>HYPERLINK("http://www.anobase.org/cgi-bin/uniexcel_new_var6.pl?proteinname=ENSANGP00000021596","1.E-142")</f>
        <v>1.E-142</v>
      </c>
      <c r="R2" s="2" t="str">
        <f>HYPERLINK("http://exon.niaid.nih.gov/transcriptome/An_gambiae_male_2006/ST1/links/AGM-contig_180-AGPROT.txt","ENSANGP00000021596")</f>
        <v>ENSANGP00000021596</v>
      </c>
      <c r="S2" s="1" t="str">
        <f>HYPERLINK("http://www.ensembl.org/Anopheles_gambiae/protview?peptide=ENSANGP00000021596","5E-028")</f>
        <v>5E-028</v>
      </c>
      <c r="T2" s="1" t="str">
        <f>HYPERLINK("http://www.anobase.org/cgi-bin/uniexcel_new_var6.pl?proteinname=ENSANGP00000021596","5E-028")</f>
        <v>5E-028</v>
      </c>
      <c r="U2" s="2" t="str">
        <f>HYPERLINK("http://exon.niaid.nih.gov/transcriptome/An_gambiae_male_2006/ST1/links/AGCDS/AGM-contig_180-AGCDS.txt","ENSANGT00000021596")</f>
        <v>ENSANGT00000021596</v>
      </c>
      <c r="V2" s="1">
        <v>1E-157</v>
      </c>
      <c r="AC2" s="2" t="str">
        <f>HYPERLINK("http://exon.niaid.nih.gov/transcriptome/An_gambiae_male_2006/ST1/links/AGM-contig_180-NR.txt","ENSANGP00000021596 [Anopheles gambiae]   127   1e-028")</f>
        <v>ENSANGP00000021596 [Anopheles gambiae]   127   1e-028</v>
      </c>
      <c r="AD2" s="1" t="str">
        <f>HYPERLINK("http://www.ncbi.nlm.nih.gov/sutils/blink.cgi?pid=31212467","1E-028")</f>
        <v>1E-028</v>
      </c>
      <c r="AE2" s="1" t="s">
        <v>313</v>
      </c>
      <c r="AF2" s="9" t="s">
        <v>112</v>
      </c>
      <c r="AG2" s="6" t="s">
        <v>742</v>
      </c>
      <c r="AH2" s="6" t="s">
        <v>51</v>
      </c>
      <c r="AJ2" s="6">
        <v>1</v>
      </c>
    </row>
    <row r="3" spans="1:36" ht="9.75">
      <c r="A3" t="str">
        <f>HYPERLINK("http://exon.niaid.nih.gov/transcriptome/An_gambiae_male_2006/ST1/links/AGM-contig_269.txt","AGM-contig_269")</f>
        <v>AGM-contig_269</v>
      </c>
      <c r="B3" s="1">
        <v>1</v>
      </c>
      <c r="C3" s="1">
        <v>164</v>
      </c>
      <c r="D3" s="1">
        <f>D2+B3</f>
        <v>2</v>
      </c>
      <c r="E3" s="1">
        <v>0.6</v>
      </c>
      <c r="F3" s="1">
        <v>57.3</v>
      </c>
      <c r="G3" s="1">
        <v>145</v>
      </c>
      <c r="H3" t="str">
        <f>HYPERLINK("http://exon.niaid.nih.gov/transcriptome/An_gambiae_male_2006/ST1/links/AGM-7-90-90-asb-269.txt","Contig-269")</f>
        <v>Contig-269</v>
      </c>
      <c r="I3" s="1">
        <v>269</v>
      </c>
      <c r="J3" t="str">
        <f>HYPERLINK("http://exon.niaid.nih.gov/transcriptome/An_gambiae_male_2006/ST1/links/AGM-7-90-90-269-CLU.txt","Contig269")</f>
        <v>Contig269</v>
      </c>
      <c r="K3" t="s">
        <v>722</v>
      </c>
      <c r="L3" s="2" t="str">
        <f>HYPERLINK("http://exon.niaid.nih.gov/transcriptome/An_gambiae_male_2006/ST1/links/AGM-contig_269-AGFRAG.txt","X_Piece#118")</f>
        <v>X_Piece#118</v>
      </c>
      <c r="M3" s="4">
        <v>6E-66</v>
      </c>
      <c r="N3" s="2" t="str">
        <f>HYPERLINK("http://exon.niaid.nih.gov/transcriptome/An_gambiae_male_2006/ST1/links/AGM-contig_269-AG3P.txt","ENSANGP00000023020")</f>
        <v>ENSANGP00000023020</v>
      </c>
      <c r="O3" s="1" t="str">
        <f>HYPERLINK("http://www.anobase.org/cgi-bin/uniexcel_new_var6.pl?proteinname=ENSANGP00000023020","1.E-66")</f>
        <v>1.E-66</v>
      </c>
      <c r="P3" s="2" t="str">
        <f>HYPERLINK("http://exon.niaid.nih.gov/transcriptome/An_gambiae_male_2006/ST1/links/AGM-contig_269-AG5P.txt","ENSANGP00000008103")</f>
        <v>ENSANGP00000008103</v>
      </c>
      <c r="Q3" s="4" t="str">
        <f>HYPERLINK("http://www.anobase.org/cgi-bin/uniexcel_new_var6.pl?proteinname=ENSANGP00000008103","1.E-66")</f>
        <v>1.E-66</v>
      </c>
      <c r="R3" s="2" t="str">
        <f>HYPERLINK("http://exon.niaid.nih.gov/transcriptome/An_gambiae_male_2006/ST1/links/AGM-contig_269-AGPROT.txt","ENSANGP00000025094")</f>
        <v>ENSANGP00000025094</v>
      </c>
      <c r="S3" s="1" t="str">
        <f>HYPERLINK("http://www.ensembl.org/Anopheles_gambiae/protview?peptide=ENSANGP00000025094","4E-013")</f>
        <v>4E-013</v>
      </c>
      <c r="T3" s="1" t="str">
        <f>HYPERLINK("http://www.anobase.org/cgi-bin/uniexcel_new_var6.pl?proteinname=ENSANGP00000025094","4E-013")</f>
        <v>4E-013</v>
      </c>
      <c r="AA3" s="2" t="str">
        <f>HYPERLINK("http://exon.niaid.nih.gov/transcriptome/An_gambiae_male_2006/ST1/links/AGM-contig_269-AGNUC.txt","AG-contig_506")</f>
        <v>AG-contig_506</v>
      </c>
      <c r="AB3" s="1">
        <v>4E-07</v>
      </c>
      <c r="AC3" s="2" t="str">
        <f>HYPERLINK("http://exon.niaid.nih.gov/transcriptome/An_gambiae_male_2006/ST1/links/AGM-contig_269-NR.txt","Hypothetical protein HHV6gp101 [Huma")</f>
        <v>Hypothetical protein HHV6gp101 [Huma</v>
      </c>
      <c r="AD3" s="1" t="str">
        <f>HYPERLINK("http://www.ncbi.nlm.nih.gov/sutils/blink.cgi?pid=9628390","2E-023")</f>
        <v>2E-023</v>
      </c>
      <c r="AE3" s="1" t="s">
        <v>313</v>
      </c>
      <c r="AF3" s="9" t="s">
        <v>838</v>
      </c>
      <c r="AG3" s="6" t="s">
        <v>499</v>
      </c>
      <c r="AH3" s="6" t="s">
        <v>51</v>
      </c>
      <c r="AJ3" s="6">
        <f>AJ2+1</f>
        <v>2</v>
      </c>
    </row>
    <row r="4" spans="1:36" ht="9.75">
      <c r="A4" t="str">
        <f>HYPERLINK("http://exon.niaid.nih.gov/transcriptome/An_gambiae_male_2006/ST1/links/AGM-contig_336.txt","AGM-contig_336")</f>
        <v>AGM-contig_336</v>
      </c>
      <c r="B4" s="1">
        <v>1</v>
      </c>
      <c r="C4" s="1">
        <v>166</v>
      </c>
      <c r="D4" s="1">
        <f>D3+B4</f>
        <v>3</v>
      </c>
      <c r="E4" s="1" t="s">
        <v>209</v>
      </c>
      <c r="F4" s="1">
        <v>66.9</v>
      </c>
      <c r="G4" s="1">
        <v>147</v>
      </c>
      <c r="H4" t="str">
        <f>HYPERLINK("http://exon.niaid.nih.gov/transcriptome/An_gambiae_male_2006/ST1/links/AGM-7-90-90-asb-336.txt","Contig-336")</f>
        <v>Contig-336</v>
      </c>
      <c r="I4" s="1">
        <v>336</v>
      </c>
      <c r="J4" t="str">
        <f>HYPERLINK("http://exon.niaid.nih.gov/transcriptome/An_gambiae_male_2006/ST1/links/AGM-7-90-90-336-CLU.txt","Contig336")</f>
        <v>Contig336</v>
      </c>
      <c r="K4" t="s">
        <v>276</v>
      </c>
      <c r="L4" s="2" t="str">
        <f>HYPERLINK("http://exon.niaid.nih.gov/transcriptome/An_gambiae_male_2006/ST1/links/AGM-contig_336-AGFRAG.txt","2R_Piece#1698")</f>
        <v>2R_Piece#1698</v>
      </c>
      <c r="M4" s="4">
        <v>6E-69</v>
      </c>
      <c r="N4" s="2" t="str">
        <f>HYPERLINK("http://exon.niaid.nih.gov/transcriptome/An_gambiae_male_2006/ST1/links/AGM-contig_336-AG3P.txt","ENSANGP00000011875")</f>
        <v>ENSANGP00000011875</v>
      </c>
      <c r="O4" s="1" t="str">
        <f>HYPERLINK("http://www.anobase.org/cgi-bin/uniexcel_new_var6.pl?proteinname=ENSANGP00000011875","1.E-69")</f>
        <v>1.E-69</v>
      </c>
      <c r="R4" s="2" t="str">
        <f>HYPERLINK("http://exon.niaid.nih.gov/transcriptome/An_gambiae_male_2006/ST1/links/AGM-contig_336-AGPROT.txt","ENSANGP00000011840")</f>
        <v>ENSANGP00000011840</v>
      </c>
      <c r="S4" s="1" t="str">
        <f>HYPERLINK("http://www.ensembl.org/Anopheles_gambiae/protview?peptide=ENSANGP00000011840","2E-007")</f>
        <v>2E-007</v>
      </c>
      <c r="T4" s="1" t="str">
        <f>HYPERLINK("http://www.anobase.org/cgi-bin/uniexcel_new_var6.pl?proteinname=ENSANGP00000011840","2E-007")</f>
        <v>2E-007</v>
      </c>
      <c r="U4" s="2" t="str">
        <f>HYPERLINK("http://exon.niaid.nih.gov/transcriptome/An_gambiae_male_2006/ST1/links/AGCDS/AGM-contig_336-AGCDS.txt","ENSANGT00000011875")</f>
        <v>ENSANGT00000011875</v>
      </c>
      <c r="V4" s="1">
        <v>4E-70</v>
      </c>
      <c r="AC4" s="2" t="str">
        <f>HYPERLINK("http://exon.niaid.nih.gov/transcriptome/An_gambiae_male_2006/ST1/links/AGM-contig_336-NR.txt","ENSANGP00000022663 [Anopheles gambiae]    49   3e-005")</f>
        <v>ENSANGP00000022663 [Anopheles gambiae]    49   3e-005</v>
      </c>
      <c r="AD4" s="1" t="str">
        <f>HYPERLINK("http://www.ncbi.nlm.nih.gov/sutils/blink.cgi?pid=31208813","3E-005")</f>
        <v>3E-005</v>
      </c>
      <c r="AE4" s="1" t="s">
        <v>314</v>
      </c>
      <c r="AF4" s="9" t="s">
        <v>370</v>
      </c>
      <c r="AG4" s="6" t="s">
        <v>379</v>
      </c>
      <c r="AH4" s="6" t="s">
        <v>51</v>
      </c>
      <c r="AJ4" s="6">
        <f>AJ3+1</f>
        <v>3</v>
      </c>
    </row>
    <row r="5" spans="1:36" ht="9.75">
      <c r="A5" t="str">
        <f>HYPERLINK("http://exon.niaid.nih.gov/transcriptome/An_gambiae_male_2006/ST1/links/AGM-contig_297.txt","AGM-contig_297")</f>
        <v>AGM-contig_297</v>
      </c>
      <c r="B5" s="1">
        <v>1</v>
      </c>
      <c r="C5" s="1">
        <v>152</v>
      </c>
      <c r="D5" s="1">
        <f>D4+B5</f>
        <v>4</v>
      </c>
      <c r="E5" s="1" t="s">
        <v>209</v>
      </c>
      <c r="F5" s="1">
        <v>63.8</v>
      </c>
      <c r="G5" s="1">
        <v>133</v>
      </c>
      <c r="H5" t="str">
        <f>HYPERLINK("http://exon.niaid.nih.gov/transcriptome/An_gambiae_male_2006/ST1/links/AGM-7-90-90-asb-297.txt","Contig-297")</f>
        <v>Contig-297</v>
      </c>
      <c r="I5" s="1">
        <v>297</v>
      </c>
      <c r="J5" t="str">
        <f>HYPERLINK("http://exon.niaid.nih.gov/transcriptome/An_gambiae_male_2006/ST1/links/AGM-7-90-90-297-CLU.txt","Contig297")</f>
        <v>Contig297</v>
      </c>
      <c r="K5" t="s">
        <v>164</v>
      </c>
      <c r="L5" s="2" t="str">
        <f>HYPERLINK("http://exon.niaid.nih.gov/transcriptome/An_gambiae_male_2006/ST1/links/AGM-contig_297-AGFRAG.txt","2R_Piece#1093")</f>
        <v>2R_Piece#1093</v>
      </c>
      <c r="M5" s="4">
        <v>2E-68</v>
      </c>
      <c r="N5" s="2" t="str">
        <f>HYPERLINK("http://exon.niaid.nih.gov/transcriptome/An_gambiae_male_2006/ST1/links/AGM-contig_297-AG3P.txt","ENSANGP00000022077")</f>
        <v>ENSANGP00000022077</v>
      </c>
      <c r="O5" s="1" t="str">
        <f>HYPERLINK("http://www.anobase.org/cgi-bin/uniexcel_new_var6.pl?proteinname=ENSANGP00000022077","5.E-69")</f>
        <v>5.E-69</v>
      </c>
      <c r="R5" s="2" t="str">
        <f>HYPERLINK("http://exon.niaid.nih.gov/transcriptome/An_gambiae_male_2006/ST1/links/AGM-contig_297-AGPROT.txt","ENSANGP00000007545")</f>
        <v>ENSANGP00000007545</v>
      </c>
      <c r="S5" s="1" t="str">
        <f>HYPERLINK("http://www.ensembl.org/Anopheles_gambiae/protview?peptide=ENSANGP00000007545","4.6")</f>
        <v>4.6</v>
      </c>
      <c r="T5" s="1" t="str">
        <f>HYPERLINK("http://www.anobase.org/cgi-bin/uniexcel_new_var6.pl?proteinname=ENSANGP00000007545","4.6")</f>
        <v>4.6</v>
      </c>
      <c r="AG5" s="6" t="s">
        <v>492</v>
      </c>
      <c r="AH5" s="6" t="s">
        <v>51</v>
      </c>
      <c r="AJ5" s="6">
        <f>AJ4+1</f>
        <v>4</v>
      </c>
    </row>
    <row r="6" spans="1:36" ht="9.75">
      <c r="A6" t="str">
        <f>HYPERLINK("http://exon.niaid.nih.gov/transcriptome/An_gambiae_male_2006/ST1/links/AGM-contig_27.txt","AGM-contig_27")</f>
        <v>AGM-contig_27</v>
      </c>
      <c r="B6" s="1">
        <v>1</v>
      </c>
      <c r="C6" s="1">
        <v>203</v>
      </c>
      <c r="D6" s="1">
        <f>D5+B6</f>
        <v>5</v>
      </c>
      <c r="E6" s="1">
        <v>0.5</v>
      </c>
      <c r="F6" s="1">
        <v>71.9</v>
      </c>
      <c r="G6" s="1">
        <v>108</v>
      </c>
      <c r="H6" t="str">
        <f>HYPERLINK("http://exon.niaid.nih.gov/transcriptome/An_gambiae_male_2006/ST1/links/AGM-7-90-90-asb-27.txt","Contig-27")</f>
        <v>Contig-27</v>
      </c>
      <c r="I6" s="1">
        <v>27</v>
      </c>
      <c r="J6" t="str">
        <f>HYPERLINK("http://exon.niaid.nih.gov/transcriptome/An_gambiae_male_2006/ST1/links/AGM-7-90-90-27-CLU.txt","Contig27")</f>
        <v>Contig27</v>
      </c>
      <c r="K6" t="s">
        <v>236</v>
      </c>
      <c r="L6" s="2" t="str">
        <f>HYPERLINK("http://exon.niaid.nih.gov/transcriptome/An_gambiae_male_2006/ST1/links/AGM-contig_27-AGFRAG.txt","3R_Piece#1384")</f>
        <v>3R_Piece#1384</v>
      </c>
      <c r="M6" s="4">
        <v>2E-47</v>
      </c>
      <c r="N6" s="2" t="str">
        <f>HYPERLINK("http://exon.niaid.nih.gov/transcriptome/An_gambiae_male_2006/ST1/links/AGM-contig_27-AG3P.txt","ENSANGP00000022879")</f>
        <v>ENSANGP00000022879</v>
      </c>
      <c r="O6" s="1" t="str">
        <f>HYPERLINK("http://www.anobase.org/cgi-bin/uniexcel_new_var6.pl?proteinname=ENSANGP00000022879","5.E-48")</f>
        <v>5.E-48</v>
      </c>
      <c r="R6" s="2" t="str">
        <f>HYPERLINK("http://exon.niaid.nih.gov/transcriptome/An_gambiae_male_2006/ST1/links/AGM-contig_27-AGPROT.txt","ENSANGP00000022879")</f>
        <v>ENSANGP00000022879</v>
      </c>
      <c r="S6" s="1" t="str">
        <f>HYPERLINK("http://www.ensembl.org/Anopheles_gambiae/protview?peptide=ENSANGP00000022879","2E-005")</f>
        <v>2E-005</v>
      </c>
      <c r="T6" s="1" t="str">
        <f>HYPERLINK("http://www.anobase.org/cgi-bin/uniexcel_new_var6.pl?proteinname=ENSANGP00000022879","2E-005")</f>
        <v>2E-005</v>
      </c>
      <c r="AC6" s="2" t="str">
        <f>HYPERLINK("http://exon.niaid.nih.gov/transcriptome/An_gambiae_male_2006/ST1/links/AGM-contig_27-NR.txt","ENSANGP00000024596 [Anopheles gambiae]    45   6e-004")</f>
        <v>ENSANGP00000024596 [Anopheles gambiae]    45   6e-004</v>
      </c>
      <c r="AD6" s="1" t="str">
        <f>HYPERLINK("http://www.ncbi.nlm.nih.gov/sutils/blink.cgi?pid=31202557","6E-004")</f>
        <v>6E-004</v>
      </c>
      <c r="AE6" s="1" t="s">
        <v>314</v>
      </c>
      <c r="AF6" s="9" t="s">
        <v>325</v>
      </c>
      <c r="AG6" s="6" t="s">
        <v>498</v>
      </c>
      <c r="AH6" s="6" t="s">
        <v>51</v>
      </c>
      <c r="AJ6" s="6">
        <f>AJ5+1</f>
        <v>5</v>
      </c>
    </row>
    <row r="7" spans="1:36" ht="9.75">
      <c r="A7" t="str">
        <f>HYPERLINK("http://exon.niaid.nih.gov/transcriptome/An_gambiae_male_2006/ST1/links/AGM-contig_252.txt","AGM-contig_252")</f>
        <v>AGM-contig_252</v>
      </c>
      <c r="B7" s="1">
        <v>1</v>
      </c>
      <c r="C7" s="1">
        <v>409</v>
      </c>
      <c r="D7" s="1">
        <f>D6+B7</f>
        <v>6</v>
      </c>
      <c r="E7" s="1" t="s">
        <v>209</v>
      </c>
      <c r="F7" s="1">
        <v>67.2</v>
      </c>
      <c r="G7" s="1">
        <v>390</v>
      </c>
      <c r="H7" t="str">
        <f>HYPERLINK("http://exon.niaid.nih.gov/transcriptome/An_gambiae_male_2006/ST1/links/AGM-7-90-90-asb-252.txt","Contig-252")</f>
        <v>Contig-252</v>
      </c>
      <c r="I7" s="1">
        <v>252</v>
      </c>
      <c r="J7" t="str">
        <f>HYPERLINK("http://exon.niaid.nih.gov/transcriptome/An_gambiae_male_2006/ST1/links/AGM-7-90-90-252-CLU.txt","Contig252")</f>
        <v>Contig252</v>
      </c>
      <c r="K7" t="s">
        <v>705</v>
      </c>
      <c r="L7" s="2" t="str">
        <f>HYPERLINK("http://exon.niaid.nih.gov/transcriptome/An_gambiae_male_2006/ST1/links/AGM-contig_252-AGFRAG.txt","2L_Piece#1751")</f>
        <v>2L_Piece#1751</v>
      </c>
      <c r="M7" s="4">
        <v>1E-178</v>
      </c>
      <c r="N7" s="2" t="str">
        <f>HYPERLINK("http://exon.niaid.nih.gov/transcriptome/An_gambiae_male_2006/ST1/links/AGM-contig_252-AG3P.txt","ENSANGP00000018889")</f>
        <v>ENSANGP00000018889</v>
      </c>
      <c r="O7" s="1" t="str">
        <f>HYPERLINK("http://www.anobase.org/cgi-bin/uniexcel_new_var6.pl?proteinname=ENSANGP00000018889","1.E-179")</f>
        <v>1.E-179</v>
      </c>
      <c r="R7" s="2" t="str">
        <f>HYPERLINK("http://exon.niaid.nih.gov/transcriptome/An_gambiae_male_2006/ST1/links/AGM-contig_252-AGPROT.txt","ENSANGP00000005397")</f>
        <v>ENSANGP00000005397</v>
      </c>
      <c r="S7" s="1" t="str">
        <f>HYPERLINK("http://www.ensembl.org/Anopheles_gambiae/protview?peptide=ENSANGP00000005397","0.44")</f>
        <v>0.44</v>
      </c>
      <c r="T7" s="1" t="str">
        <f>HYPERLINK("http://www.anobase.org/cgi-bin/uniexcel_new_var6.pl?proteinname=ENSANGP00000005397","0.44")</f>
        <v>0.44</v>
      </c>
      <c r="AC7" s="2" t="str">
        <f>HYPERLINK("http://exon.niaid.nih.gov/transcriptome/An_gambiae_male_2006/ST1/links/AGM-contig_252-NR.txt","galanin receptor GALR1 &gt;gnl|BL_ORD_ID|")</f>
        <v>galanin receptor GALR1 &gt;gnl|BL_ORD_ID|</v>
      </c>
      <c r="AD7" s="1" t="str">
        <f>HYPERLINK("http://www.ncbi.nlm.nih.gov/sutils/blink.cgi?pid=1049072","3.3")</f>
        <v>3.3</v>
      </c>
      <c r="AE7" s="1" t="s">
        <v>314</v>
      </c>
      <c r="AF7" s="9" t="s">
        <v>329</v>
      </c>
      <c r="AG7" s="6" t="s">
        <v>401</v>
      </c>
      <c r="AH7" s="6" t="s">
        <v>51</v>
      </c>
      <c r="AJ7" s="6">
        <f>AJ6+1</f>
        <v>6</v>
      </c>
    </row>
    <row r="8" spans="1:36" ht="9.75">
      <c r="A8" t="str">
        <f>HYPERLINK("http://exon.niaid.nih.gov/transcriptome/An_gambiae_male_2006/ST1/links/AGM-contig_205.txt","AGM-contig_205")</f>
        <v>AGM-contig_205</v>
      </c>
      <c r="B8" s="1">
        <v>1</v>
      </c>
      <c r="C8" s="1">
        <v>256</v>
      </c>
      <c r="D8" s="1">
        <f>D7+B8</f>
        <v>7</v>
      </c>
      <c r="E8" s="1" t="s">
        <v>209</v>
      </c>
      <c r="F8" s="1">
        <v>50.4</v>
      </c>
      <c r="G8" s="1" t="s">
        <v>260</v>
      </c>
      <c r="H8" t="str">
        <f>HYPERLINK("http://exon.niaid.nih.gov/transcriptome/An_gambiae_male_2006/ST1/links/AGM-7-90-90-asb-205.txt","Contig-205")</f>
        <v>Contig-205</v>
      </c>
      <c r="I8" s="1">
        <v>205</v>
      </c>
      <c r="J8" t="str">
        <f>HYPERLINK("http://exon.niaid.nih.gov/transcriptome/An_gambiae_male_2006/ST1/links/AGM-7-90-90-205-CLU.txt","Contig205")</f>
        <v>Contig205</v>
      </c>
      <c r="K8" t="s">
        <v>658</v>
      </c>
      <c r="L8" s="2" t="str">
        <f>HYPERLINK("http://exon.niaid.nih.gov/transcriptome/An_gambiae_male_2006/ST1/links/AGM-contig_205-AGFRAG.txt","X_Piece#650")</f>
        <v>X_Piece#650</v>
      </c>
      <c r="M8" s="4">
        <v>1E-124</v>
      </c>
      <c r="N8" s="2" t="str">
        <f>HYPERLINK("http://exon.niaid.nih.gov/transcriptome/An_gambiae_male_2006/ST1/links/AGM-contig_205-AG3P.txt","ENSANGP00000001912")</f>
        <v>ENSANGP00000001912</v>
      </c>
      <c r="O8" s="1" t="str">
        <f>HYPERLINK("http://www.anobase.org/cgi-bin/uniexcel_new_var6.pl?proteinname=ENSANGP00000001912","1.E-125")</f>
        <v>1.E-125</v>
      </c>
      <c r="R8" s="2" t="str">
        <f>HYPERLINK("http://exon.niaid.nih.gov/transcriptome/An_gambiae_male_2006/ST1/links/AGM-contig_205-AGPROT.txt","ENSANGP00000020066")</f>
        <v>ENSANGP00000020066</v>
      </c>
      <c r="S8" s="1" t="str">
        <f>HYPERLINK("http://www.ensembl.org/Anopheles_gambiae/protview?peptide=ENSANGP00000020066","2.5")</f>
        <v>2.5</v>
      </c>
      <c r="T8" s="1" t="str">
        <f>HYPERLINK("http://www.anobase.org/cgi-bin/uniexcel_new_var6.pl?proteinname=ENSANGP00000020066","2.5")</f>
        <v>2.5</v>
      </c>
      <c r="AC8" s="2" t="str">
        <f>HYPERLINK("http://exon.niaid.nih.gov/transcriptome/An_gambiae_male_2006/ST1/links/AGM-contig_205-NR.txt","hypothetical protein [Arabidopsis tha")</f>
        <v>hypothetical protein [Arabidopsis tha</v>
      </c>
      <c r="AD8" s="1" t="str">
        <f>HYPERLINK("http://www.ncbi.nlm.nih.gov/sutils/blink.cgi?pid=12321183","5E-020")</f>
        <v>5E-020</v>
      </c>
      <c r="AE8" s="1" t="s">
        <v>314</v>
      </c>
      <c r="AF8" s="9" t="s">
        <v>110</v>
      </c>
      <c r="AG8" s="6" t="s">
        <v>456</v>
      </c>
      <c r="AH8" s="6" t="s">
        <v>51</v>
      </c>
      <c r="AJ8" s="6">
        <f>AJ7+1</f>
        <v>7</v>
      </c>
    </row>
    <row r="9" spans="1:36" ht="9.75">
      <c r="A9" t="str">
        <f>HYPERLINK("http://exon.niaid.nih.gov/transcriptome/An_gambiae_male_2006/ST1/links/AGM-contig_214.txt","AGM-contig_214")</f>
        <v>AGM-contig_214</v>
      </c>
      <c r="B9" s="1">
        <v>1</v>
      </c>
      <c r="C9" s="1">
        <v>398</v>
      </c>
      <c r="D9" s="1">
        <f>D8+B9</f>
        <v>8</v>
      </c>
      <c r="E9" s="1">
        <v>0.3</v>
      </c>
      <c r="F9" s="1">
        <v>62.8</v>
      </c>
      <c r="G9" s="1">
        <v>379</v>
      </c>
      <c r="H9" t="str">
        <f>HYPERLINK("http://exon.niaid.nih.gov/transcriptome/An_gambiae_male_2006/ST1/links/AGM-7-90-90-asb-214.txt","Contig-214")</f>
        <v>Contig-214</v>
      </c>
      <c r="I9" s="1">
        <v>214</v>
      </c>
      <c r="J9" t="str">
        <f>HYPERLINK("http://exon.niaid.nih.gov/transcriptome/An_gambiae_male_2006/ST1/links/AGM-7-90-90-214-CLU.txt","Contig214")</f>
        <v>Contig214</v>
      </c>
      <c r="K9" t="s">
        <v>667</v>
      </c>
      <c r="L9" s="2" t="str">
        <f>HYPERLINK("http://exon.niaid.nih.gov/transcriptome/An_gambiae_male_2006/ST1/links/AGM-contig_214-AGFRAG.txt","2R_Piece#2354")</f>
        <v>2R_Piece#2354</v>
      </c>
      <c r="M9" s="4">
        <v>0</v>
      </c>
      <c r="R9" s="2" t="str">
        <f>HYPERLINK("http://exon.niaid.nih.gov/transcriptome/An_gambiae_male_2006/ST1/links/AGM-contig_214-AGPROT.txt","ENSANGP00000021239")</f>
        <v>ENSANGP00000021239</v>
      </c>
      <c r="S9" s="1" t="str">
        <f>HYPERLINK("http://www.ensembl.org/Anopheles_gambiae/protview?peptide=ENSANGP00000021239","2.7")</f>
        <v>2.7</v>
      </c>
      <c r="T9" s="1" t="str">
        <f>HYPERLINK("http://www.anobase.org/cgi-bin/uniexcel_new_var6.pl?proteinname=ENSANGP00000021239","2.7")</f>
        <v>2.7</v>
      </c>
      <c r="AG9" s="6" t="s">
        <v>424</v>
      </c>
      <c r="AH9" s="6" t="s">
        <v>51</v>
      </c>
      <c r="AJ9" s="6">
        <f>AJ8+1</f>
        <v>8</v>
      </c>
    </row>
    <row r="10" spans="1:36" ht="9.75">
      <c r="A10" t="str">
        <f>HYPERLINK("http://exon.niaid.nih.gov/transcriptome/An_gambiae_male_2006/ST1/links/AGM-contig_25.txt","AGM-contig_25")</f>
        <v>AGM-contig_25</v>
      </c>
      <c r="B10" s="1">
        <v>1</v>
      </c>
      <c r="C10" s="1">
        <v>296</v>
      </c>
      <c r="D10" s="1">
        <f>D9+B10</f>
        <v>9</v>
      </c>
      <c r="E10" s="1" t="s">
        <v>209</v>
      </c>
      <c r="F10" s="1">
        <v>79.7</v>
      </c>
      <c r="G10" s="1">
        <v>188</v>
      </c>
      <c r="H10" t="str">
        <f>HYPERLINK("http://exon.niaid.nih.gov/transcriptome/An_gambiae_male_2006/ST1/links/AGM-7-90-90-asb-25.txt","Contig-25")</f>
        <v>Contig-25</v>
      </c>
      <c r="I10" s="1">
        <v>25</v>
      </c>
      <c r="J10" t="str">
        <f>HYPERLINK("http://exon.niaid.nih.gov/transcriptome/An_gambiae_male_2006/ST1/links/AGM-7-90-90-25-CLU.txt","Contig25")</f>
        <v>Contig25</v>
      </c>
      <c r="K10" t="s">
        <v>234</v>
      </c>
      <c r="L10" s="2" t="str">
        <f>HYPERLINK("http://exon.niaid.nih.gov/transcriptome/An_gambiae_male_2006/ST1/links/AGM-contig_25-AGFRAG.txt","3R_Piece#2075")</f>
        <v>3R_Piece#2075</v>
      </c>
      <c r="M10" s="4">
        <v>1E-96</v>
      </c>
      <c r="N10" s="2" t="str">
        <f>HYPERLINK("http://exon.niaid.nih.gov/transcriptome/An_gambiae_male_2006/ST1/links/AGM-contig_25-AG3P.txt","ENSANGP00000002836")</f>
        <v>ENSANGP00000002836</v>
      </c>
      <c r="O10" s="1" t="str">
        <f>HYPERLINK("http://www.anobase.org/cgi-bin/uniexcel_new_var6.pl?proteinname=ENSANGP00000002836","2.E-97")</f>
        <v>2.E-97</v>
      </c>
      <c r="R10" s="2" t="str">
        <f>HYPERLINK("http://exon.niaid.nih.gov/transcriptome/An_gambiae_male_2006/ST1/links/AGM-contig_25-AGPROT.txt","ENSANGP00000002426")</f>
        <v>ENSANGP00000002426</v>
      </c>
      <c r="S10" s="1" t="str">
        <f>HYPERLINK("http://www.ensembl.org/Anopheles_gambiae/protview?peptide=ENSANGP00000002426","4.0")</f>
        <v>4.0</v>
      </c>
      <c r="T10" s="1" t="str">
        <f>HYPERLINK("http://www.anobase.org/cgi-bin/uniexcel_new_var6.pl?proteinname=ENSANGP00000002426","4.0")</f>
        <v>4.0</v>
      </c>
      <c r="AC10" s="2" t="str">
        <f>HYPERLINK("http://exon.niaid.nih.gov/transcriptome/An_gambiae_male_2006/ST1/links/AGM-contig_25-NR.txt","hypothetical protein with signal pept")</f>
        <v>hypothetical protein with signal pept</v>
      </c>
      <c r="AD10" s="1" t="str">
        <f>HYPERLINK("http://www.ncbi.nlm.nih.gov/sutils/blink.cgi?pid=46228395","5.0")</f>
        <v>5.0</v>
      </c>
      <c r="AE10" s="1" t="s">
        <v>314</v>
      </c>
      <c r="AF10" s="9" t="s">
        <v>321</v>
      </c>
      <c r="AG10" s="6" t="s">
        <v>458</v>
      </c>
      <c r="AH10" s="6" t="s">
        <v>51</v>
      </c>
      <c r="AJ10" s="6">
        <f>AJ9+1</f>
        <v>9</v>
      </c>
    </row>
    <row r="11" spans="1:36" ht="9.75">
      <c r="A11" t="str">
        <f>HYPERLINK("http://exon.niaid.nih.gov/transcriptome/An_gambiae_male_2006/ST1/links/AGM-contig_32.txt","AGM-contig_32")</f>
        <v>AGM-contig_32</v>
      </c>
      <c r="B11" s="1">
        <v>1</v>
      </c>
      <c r="C11" s="1">
        <v>151</v>
      </c>
      <c r="D11" s="1">
        <f>D10+B11</f>
        <v>10</v>
      </c>
      <c r="E11" s="1">
        <v>0.7</v>
      </c>
      <c r="F11" s="1">
        <v>78.8</v>
      </c>
      <c r="G11" s="1">
        <v>64</v>
      </c>
      <c r="H11" t="str">
        <f>HYPERLINK("http://exon.niaid.nih.gov/transcriptome/An_gambiae_male_2006/ST1/links/AGM-7-90-90-asb-32.txt","Contig-32")</f>
        <v>Contig-32</v>
      </c>
      <c r="I11" s="1">
        <v>32</v>
      </c>
      <c r="J11" t="str">
        <f>HYPERLINK("http://exon.niaid.nih.gov/transcriptome/An_gambiae_male_2006/ST1/links/AGM-7-90-90-32-CLU.txt","Contig32")</f>
        <v>Contig32</v>
      </c>
      <c r="K11" t="s">
        <v>241</v>
      </c>
      <c r="L11" s="2" t="str">
        <f>HYPERLINK("http://exon.niaid.nih.gov/transcriptome/An_gambiae_male_2006/ST1/links/AGM-contig_32-AGFRAG.txt","3L_Piece#674")</f>
        <v>3L_Piece#674</v>
      </c>
      <c r="M11" s="4">
        <v>5E-26</v>
      </c>
      <c r="N11" s="2" t="str">
        <f>HYPERLINK("http://exon.niaid.nih.gov/transcriptome/An_gambiae_male_2006/ST1/links/AGM-contig_32-AG3P.txt","ENSANGP00000012583")</f>
        <v>ENSANGP00000012583</v>
      </c>
      <c r="O11" s="1" t="str">
        <f>HYPERLINK("http://www.anobase.org/cgi-bin/uniexcel_new_var6.pl?proteinname=ENSANGP00000012583","1.E-26")</f>
        <v>1.E-26</v>
      </c>
      <c r="U11" s="2" t="str">
        <f>HYPERLINK("http://exon.niaid.nih.gov/transcriptome/An_gambiae_male_2006/ST1/links/AGCDS/AGM-contig_32-AGCDS.txt","ENSANGT00000012669")</f>
        <v>ENSANGT00000012669</v>
      </c>
      <c r="V11" s="1">
        <v>3E-27</v>
      </c>
      <c r="AG11" s="6" t="s">
        <v>385</v>
      </c>
      <c r="AH11" s="6" t="s">
        <v>51</v>
      </c>
      <c r="AJ11" s="6">
        <f>AJ10+1</f>
        <v>10</v>
      </c>
    </row>
    <row r="12" spans="1:36" ht="9.75">
      <c r="A12" t="str">
        <f>HYPERLINK("http://exon.niaid.nih.gov/transcriptome/An_gambiae_male_2006/ST1/links/AGM-contig_176.txt","AGM-contig_176")</f>
        <v>AGM-contig_176</v>
      </c>
      <c r="B12" s="1">
        <v>1</v>
      </c>
      <c r="C12" s="1">
        <v>98</v>
      </c>
      <c r="D12" s="1">
        <f>D11+B12</f>
        <v>11</v>
      </c>
      <c r="E12" s="1">
        <v>2</v>
      </c>
      <c r="F12" s="1">
        <v>58.2</v>
      </c>
      <c r="G12" s="1">
        <v>79</v>
      </c>
      <c r="H12" t="str">
        <f>HYPERLINK("http://exon.niaid.nih.gov/transcriptome/An_gambiae_male_2006/ST1/links/AGM-7-90-90-asb-176.txt","Contig-176")</f>
        <v>Contig-176</v>
      </c>
      <c r="I12" s="1">
        <v>176</v>
      </c>
      <c r="J12" t="str">
        <f>HYPERLINK("http://exon.niaid.nih.gov/transcriptome/An_gambiae_male_2006/ST1/links/AGM-7-90-90-176-CLU.txt","Contig176")</f>
        <v>Contig176</v>
      </c>
      <c r="K12" t="s">
        <v>629</v>
      </c>
      <c r="L12" s="2" t="str">
        <f>HYPERLINK("http://exon.niaid.nih.gov/transcriptome/An_gambiae_male_2006/ST1/links/AGM-contig_176-AGFRAG.txt","3R_Piece#754")</f>
        <v>3R_Piece#754</v>
      </c>
      <c r="M12" s="4">
        <v>1E-19</v>
      </c>
      <c r="N12" s="2" t="str">
        <f>HYPERLINK("http://exon.niaid.nih.gov/transcriptome/An_gambiae_male_2006/ST1/links/AGM-contig_176-AG3P.txt","ENSANGP00000022640")</f>
        <v>ENSANGP00000022640</v>
      </c>
      <c r="O12" s="1" t="str">
        <f>HYPERLINK("http://www.anobase.org/cgi-bin/uniexcel_new_var6.pl?proteinname=ENSANGP00000022640","2.E-20")</f>
        <v>2.E-20</v>
      </c>
      <c r="AG12" s="6" t="s">
        <v>497</v>
      </c>
      <c r="AH12" s="6" t="s">
        <v>51</v>
      </c>
      <c r="AJ12" s="6">
        <f>AJ11+1</f>
        <v>11</v>
      </c>
    </row>
    <row r="13" spans="1:36" ht="9.75">
      <c r="A13" t="str">
        <f>HYPERLINK("http://exon.niaid.nih.gov/transcriptome/An_gambiae_male_2006/ST1/links/AGM-contig_100.txt","AGM-contig_100")</f>
        <v>AGM-contig_100</v>
      </c>
      <c r="B13" s="1">
        <v>2</v>
      </c>
      <c r="C13" s="1">
        <v>229</v>
      </c>
      <c r="D13" s="1">
        <f>D12+B13</f>
        <v>13</v>
      </c>
      <c r="E13" s="1" t="s">
        <v>209</v>
      </c>
      <c r="F13" s="1">
        <v>62.4</v>
      </c>
      <c r="G13" s="1">
        <v>210</v>
      </c>
      <c r="H13" t="str">
        <f>HYPERLINK("http://exon.niaid.nih.gov/transcriptome/An_gambiae_male_2006/ST1/links/AGM-7-90-90-asb-100.txt","Contig-100")</f>
        <v>Contig-100</v>
      </c>
      <c r="I13" s="1">
        <v>100</v>
      </c>
      <c r="J13" t="str">
        <f>HYPERLINK("http://exon.niaid.nih.gov/transcriptome/An_gambiae_male_2006/ST1/links/AGM-7-90-90-100-CLU.txt","Contig100")</f>
        <v>Contig100</v>
      </c>
      <c r="K13" t="s">
        <v>553</v>
      </c>
      <c r="L13" s="2" t="str">
        <f>HYPERLINK("http://exon.niaid.nih.gov/transcriptome/An_gambiae_male_2006/ST1/links/AGM-contig_100-AGFRAG.txt","3R_Piece#1385")</f>
        <v>3R_Piece#1385</v>
      </c>
      <c r="M13" s="4">
        <v>1E-104</v>
      </c>
      <c r="R13" s="2" t="str">
        <f>HYPERLINK("http://exon.niaid.nih.gov/transcriptome/An_gambiae_male_2006/ST1/links/AGM-contig_100-AGPROT.txt","ENSANGP00000018334")</f>
        <v>ENSANGP00000018334</v>
      </c>
      <c r="S13" s="1" t="str">
        <f>HYPERLINK("http://www.ensembl.org/Anopheles_gambiae/protview?peptide=ENSANGP00000018334","5.6")</f>
        <v>5.6</v>
      </c>
      <c r="T13" s="1" t="str">
        <f>HYPERLINK("http://www.anobase.org/cgi-bin/uniexcel_new_var6.pl?proteinname=ENSANGP00000018334","5.6")</f>
        <v>5.6</v>
      </c>
      <c r="AA13" s="2" t="str">
        <f>HYPERLINK("http://exon.niaid.nih.gov/transcriptome/An_gambiae_male_2006/ST1/links/AGM-contig_100-AGNUC.txt","AG-contig_157")</f>
        <v>AG-contig_157</v>
      </c>
      <c r="AB13" s="1">
        <v>1E-107</v>
      </c>
      <c r="AG13" s="6" t="s">
        <v>361</v>
      </c>
      <c r="AH13" s="6" t="s">
        <v>51</v>
      </c>
      <c r="AJ13" s="6">
        <f>AJ12+1</f>
        <v>12</v>
      </c>
    </row>
    <row r="14" spans="1:36" ht="9.75">
      <c r="A14" t="str">
        <f>HYPERLINK("http://exon.niaid.nih.gov/transcriptome/An_gambiae_male_2006/ST1/links/AGM-contig_66.txt","AGM-contig_66")</f>
        <v>AGM-contig_66</v>
      </c>
      <c r="B14" s="1">
        <v>2</v>
      </c>
      <c r="C14" s="1">
        <v>339</v>
      </c>
      <c r="D14" s="1">
        <f>D13+B14</f>
        <v>15</v>
      </c>
      <c r="E14" s="1" t="s">
        <v>209</v>
      </c>
      <c r="F14" s="1">
        <v>54.6</v>
      </c>
      <c r="G14" s="1">
        <v>320</v>
      </c>
      <c r="H14" t="str">
        <f>HYPERLINK("http://exon.niaid.nih.gov/transcriptome/An_gambiae_male_2006/ST1/links/AGM-7-90-90-asb-66.txt","Contig-66")</f>
        <v>Contig-66</v>
      </c>
      <c r="I14" s="1">
        <v>66</v>
      </c>
      <c r="J14" t="str">
        <f>HYPERLINK("http://exon.niaid.nih.gov/transcriptome/An_gambiae_male_2006/ST1/links/AGM-7-90-90-66-CLU.txt","Contig66")</f>
        <v>Contig66</v>
      </c>
      <c r="K14" t="s">
        <v>519</v>
      </c>
      <c r="L14" s="2" t="str">
        <f>HYPERLINK("http://exon.niaid.nih.gov/transcriptome/An_gambiae_male_2006/ST1/links/AGM-contig_66-AGFRAG.txt","3L_Piece#1647")</f>
        <v>3L_Piece#1647</v>
      </c>
      <c r="M14" s="4">
        <v>4E-90</v>
      </c>
      <c r="N14" s="2" t="str">
        <f>HYPERLINK("http://exon.niaid.nih.gov/transcriptome/An_gambiae_male_2006/ST1/links/AGM-contig_66-AG3P.txt","ENSANGP00000011689")</f>
        <v>ENSANGP00000011689</v>
      </c>
      <c r="O14" s="1" t="str">
        <f>HYPERLINK("http://www.anobase.org/cgi-bin/uniexcel_new_var6.pl?proteinname=ENSANGP00000011689","3.E-63")</f>
        <v>3.E-63</v>
      </c>
      <c r="P14" s="2" t="str">
        <f>HYPERLINK("http://exon.niaid.nih.gov/transcriptome/An_gambiae_male_2006/ST1/links/AGM-contig_66-AG5P.txt","ENSANGP00000027128")</f>
        <v>ENSANGP00000027128</v>
      </c>
      <c r="Q14" s="4" t="str">
        <f>HYPERLINK("http://www.anobase.org/cgi-bin/uniexcel_new_var6.pl?proteinname=ENSANGP00000027128","9.E-91")</f>
        <v>9.E-91</v>
      </c>
      <c r="R14" s="2" t="str">
        <f>HYPERLINK("http://exon.niaid.nih.gov/transcriptome/An_gambiae_male_2006/ST1/links/AGM-contig_66-AGPROT.txt","ENSANGP00000011689")</f>
        <v>ENSANGP00000011689</v>
      </c>
      <c r="S14" s="1" t="str">
        <f>HYPERLINK("http://www.ensembl.org/Anopheles_gambiae/protview?peptide=ENSANGP00000011689","3E-043")</f>
        <v>3E-043</v>
      </c>
      <c r="T14" s="1" t="str">
        <f>HYPERLINK("http://www.anobase.org/cgi-bin/uniexcel_new_var6.pl?proteinname=ENSANGP00000011689","3E-043")</f>
        <v>3E-043</v>
      </c>
      <c r="U14" s="2" t="str">
        <f>HYPERLINK("http://exon.niaid.nih.gov/transcriptome/An_gambiae_male_2006/ST1/links/AGCDS/AGM-contig_66-AGCDS.txt","ENSANGT00000011689")</f>
        <v>ENSANGT00000011689</v>
      </c>
      <c r="V14" s="1">
        <v>1E-174</v>
      </c>
      <c r="AC14" s="2" t="str">
        <f>HYPERLINK("http://exon.niaid.nih.gov/transcriptome/An_gambiae_male_2006/ST1/links/AGM-contig_66-NR.txt","ENSANGP00000011689 [Anopheles gambiae]   168   4e-041")</f>
        <v>ENSANGP00000011689 [Anopheles gambiae]   168   4e-041</v>
      </c>
      <c r="AD14" s="1" t="str">
        <f>HYPERLINK("http://www.ncbi.nlm.nih.gov/sutils/blink.cgi?pid=31239447","4E-041")</f>
        <v>4E-041</v>
      </c>
      <c r="AE14" s="1" t="s">
        <v>313</v>
      </c>
      <c r="AF14" s="9" t="s">
        <v>9</v>
      </c>
      <c r="AG14" s="6" t="s">
        <v>511</v>
      </c>
      <c r="AH14" s="6" t="s">
        <v>51</v>
      </c>
      <c r="AJ14" s="6">
        <f>AJ13+1</f>
        <v>13</v>
      </c>
    </row>
    <row r="15" spans="1:36" ht="9.75">
      <c r="A15" t="str">
        <f>HYPERLINK("http://exon.niaid.nih.gov/transcriptome/An_gambiae_male_2006/ST1/links/AGM-contig_263.txt","AGM-contig_263")</f>
        <v>AGM-contig_263</v>
      </c>
      <c r="B15" s="1">
        <v>1</v>
      </c>
      <c r="C15" s="1">
        <v>234</v>
      </c>
      <c r="D15" s="1">
        <f>D14+B15</f>
        <v>16</v>
      </c>
      <c r="E15" s="1" t="s">
        <v>209</v>
      </c>
      <c r="F15" s="1">
        <v>52.6</v>
      </c>
      <c r="G15" s="1">
        <v>215</v>
      </c>
      <c r="H15" t="str">
        <f>HYPERLINK("http://exon.niaid.nih.gov/transcriptome/An_gambiae_male_2006/ST1/links/AGM-7-90-90-asb-263.txt","Contig-263")</f>
        <v>Contig-263</v>
      </c>
      <c r="I15" s="1">
        <v>263</v>
      </c>
      <c r="J15" t="str">
        <f>HYPERLINK("http://exon.niaid.nih.gov/transcriptome/An_gambiae_male_2006/ST1/links/AGM-7-90-90-263-CLU.txt","Contig263")</f>
        <v>Contig263</v>
      </c>
      <c r="K15" t="s">
        <v>716</v>
      </c>
      <c r="L15" s="2" t="str">
        <f>HYPERLINK("http://exon.niaid.nih.gov/transcriptome/An_gambiae_male_2006/ST1/links/AGM-contig_263-AGFRAG.txt","UNKN_Piece#2048")</f>
        <v>UNKN_Piece#2048</v>
      </c>
      <c r="M15" s="4">
        <v>1E-114</v>
      </c>
      <c r="N15" s="2" t="str">
        <f>HYPERLINK("http://exon.niaid.nih.gov/transcriptome/An_gambiae_male_2006/ST1/links/AGM-contig_263-AG3P.txt","ENSANGP00000013489")</f>
        <v>ENSANGP00000013489</v>
      </c>
      <c r="O15" s="1" t="str">
        <f>HYPERLINK("http://www.anobase.org/cgi-bin/uniexcel_new_var6.pl?proteinname=ENSANGP00000013489","1.E-115")</f>
        <v>1.E-115</v>
      </c>
      <c r="P15" s="2" t="str">
        <f>HYPERLINK("http://exon.niaid.nih.gov/transcriptome/An_gambiae_male_2006/ST1/links/AGM-contig_263-AG5P.txt","ENSANGP00000013472")</f>
        <v>ENSANGP00000013472</v>
      </c>
      <c r="Q15" s="4" t="str">
        <f>HYPERLINK("http://www.anobase.org/cgi-bin/uniexcel_new_var6.pl?proteinname=ENSANGP00000013472","1.E-115")</f>
        <v>1.E-115</v>
      </c>
      <c r="R15" s="2" t="str">
        <f>HYPERLINK("http://exon.niaid.nih.gov/transcriptome/An_gambiae_male_2006/ST1/links/AGM-contig_263-AGPROT.txt","ENSANGP00000029611")</f>
        <v>ENSANGP00000029611</v>
      </c>
      <c r="S15" s="1" t="str">
        <f>HYPERLINK("http://www.ensembl.org/Anopheles_gambiae/protview?peptide=ENSANGP00000029611","0.78")</f>
        <v>0.78</v>
      </c>
      <c r="T15" s="1" t="str">
        <f>HYPERLINK("http://www.anobase.org/cgi-bin/uniexcel_new_var6.pl?proteinname=ENSANGP00000029611","0.78")</f>
        <v>0.78</v>
      </c>
      <c r="U15" s="2" t="str">
        <f>HYPERLINK("http://exon.niaid.nih.gov/transcriptome/An_gambiae_male_2006/ST1/links/AGCDS/AGM-contig_263-AGCDS.txt","ENSANGT00000014100")</f>
        <v>ENSANGT00000014100</v>
      </c>
      <c r="V15" s="1">
        <v>1E-116</v>
      </c>
      <c r="AC15" s="2" t="str">
        <f>HYPERLINK("http://exon.niaid.nih.gov/transcriptome/An_gambiae_male_2006/ST1/links/AGM-contig_263-NR.txt","similar to abdominal-B [Apis mellif")</f>
        <v>similar to abdominal-B [Apis mellif</v>
      </c>
      <c r="AD15" s="1" t="str">
        <f>HYPERLINK("http://www.ncbi.nlm.nih.gov/sutils/blink.cgi?pid=48098639","9.1")</f>
        <v>9.1</v>
      </c>
      <c r="AE15" s="1" t="s">
        <v>314</v>
      </c>
      <c r="AF15" s="9" t="s">
        <v>350</v>
      </c>
      <c r="AG15" s="6" t="s">
        <v>490</v>
      </c>
      <c r="AH15" s="6" t="s">
        <v>83</v>
      </c>
      <c r="AJ15" s="6">
        <f>AJ14+1</f>
        <v>14</v>
      </c>
    </row>
    <row r="16" spans="1:36" ht="9.75">
      <c r="A16" t="str">
        <f>HYPERLINK("http://exon.niaid.nih.gov/transcriptome/An_gambiae_male_2006/ST1/links/AGM-contig_222.txt","AGM-contig_222")</f>
        <v>AGM-contig_222</v>
      </c>
      <c r="B16" s="1">
        <v>1</v>
      </c>
      <c r="C16" s="1">
        <v>200</v>
      </c>
      <c r="D16" s="1">
        <f>D15+B16</f>
        <v>17</v>
      </c>
      <c r="E16" s="1" t="s">
        <v>209</v>
      </c>
      <c r="F16" s="1">
        <v>50</v>
      </c>
      <c r="G16" s="1">
        <v>181</v>
      </c>
      <c r="H16" t="str">
        <f>HYPERLINK("http://exon.niaid.nih.gov/transcriptome/An_gambiae_male_2006/ST1/links/AGM-7-90-90-asb-222.txt","Contig-222")</f>
        <v>Contig-222</v>
      </c>
      <c r="I16" s="1">
        <v>222</v>
      </c>
      <c r="J16" t="str">
        <f>HYPERLINK("http://exon.niaid.nih.gov/transcriptome/An_gambiae_male_2006/ST1/links/AGM-7-90-90-222-CLU.txt","Contig222")</f>
        <v>Contig222</v>
      </c>
      <c r="K16" t="s">
        <v>675</v>
      </c>
      <c r="L16" s="2" t="str">
        <f>HYPERLINK("http://exon.niaid.nih.gov/transcriptome/An_gambiae_male_2006/ST1/links/AGM-contig_222-AGFRAG.txt","2R_Piece#423")</f>
        <v>2R_Piece#423</v>
      </c>
      <c r="M16" s="4">
        <v>2E-63</v>
      </c>
      <c r="R16" s="2" t="str">
        <f>HYPERLINK("http://exon.niaid.nih.gov/transcriptome/An_gambiae_male_2006/ST1/links/AGM-contig_222-AGPROT.txt","ENSANGP00000011813")</f>
        <v>ENSANGP00000011813</v>
      </c>
      <c r="S16" s="1" t="str">
        <f>HYPERLINK("http://www.ensembl.org/Anopheles_gambiae/protview?peptide=ENSANGP00000011813","6E-006")</f>
        <v>6E-006</v>
      </c>
      <c r="T16" s="1" t="str">
        <f>HYPERLINK("http://www.anobase.org/cgi-bin/uniexcel_new_var6.pl?proteinname=ENSANGP00000011813","6E-006")</f>
        <v>6E-006</v>
      </c>
      <c r="AC16" s="2" t="str">
        <f>HYPERLINK("http://exon.niaid.nih.gov/transcriptome/An_gambiae_male_2006/ST1/links/AGM-contig_222-NR.txt","unnamed protein product [Tetraodon n")</f>
        <v>unnamed protein product [Tetraodon n</v>
      </c>
      <c r="AD16" s="1" t="str">
        <f>HYPERLINK("http://www.ncbi.nlm.nih.gov/sutils/blink.cgi?pid=47197775","2E-075")</f>
        <v>2E-075</v>
      </c>
      <c r="AE16" s="1" t="s">
        <v>313</v>
      </c>
      <c r="AF16" s="9" t="s">
        <v>799</v>
      </c>
      <c r="AG16" s="6" t="s">
        <v>425</v>
      </c>
      <c r="AH16" s="6" t="s">
        <v>83</v>
      </c>
      <c r="AJ16" s="6">
        <f>AJ15+1</f>
        <v>15</v>
      </c>
    </row>
    <row r="17" spans="1:36" ht="9.75">
      <c r="A17" t="str">
        <f>HYPERLINK("http://exon.niaid.nih.gov/transcriptome/An_gambiae_male_2006/ST1/links/AGM-contig_228.txt","AGM-contig_228")</f>
        <v>AGM-contig_228</v>
      </c>
      <c r="B17" s="1">
        <v>1</v>
      </c>
      <c r="C17" s="1">
        <v>505</v>
      </c>
      <c r="D17" s="1">
        <f>D16+B17</f>
        <v>18</v>
      </c>
      <c r="E17" s="1" t="s">
        <v>209</v>
      </c>
      <c r="F17" s="1">
        <v>58</v>
      </c>
      <c r="G17" s="1">
        <v>486</v>
      </c>
      <c r="H17" t="str">
        <f>HYPERLINK("http://exon.niaid.nih.gov/transcriptome/An_gambiae_male_2006/ST1/links/AGM-7-90-90-asb-228.txt","Contig-228")</f>
        <v>Contig-228</v>
      </c>
      <c r="I17" s="1">
        <v>228</v>
      </c>
      <c r="J17" t="str">
        <f>HYPERLINK("http://exon.niaid.nih.gov/transcriptome/An_gambiae_male_2006/ST1/links/AGM-7-90-90-228-CLU.txt","Contig228")</f>
        <v>Contig228</v>
      </c>
      <c r="K17" t="s">
        <v>681</v>
      </c>
      <c r="L17" s="2" t="str">
        <f>HYPERLINK("http://exon.niaid.nih.gov/transcriptome/An_gambiae_male_2006/ST1/links/AGM-contig_228-AGFRAG.txt","X_Piece#467")</f>
        <v>X_Piece#467</v>
      </c>
      <c r="M17" s="4">
        <v>0</v>
      </c>
      <c r="N17" s="2" t="str">
        <f>HYPERLINK("http://exon.niaid.nih.gov/transcriptome/An_gambiae_male_2006/ST1/links/AGM-contig_228-AG3P.txt","ENSANGP00000019055")</f>
        <v>ENSANGP00000019055</v>
      </c>
      <c r="O17" s="1" t="str">
        <f>HYPERLINK("http://www.anobase.org/cgi-bin/uniexcel_new_var6.pl?proteinname=ENSANGP00000019055","0.E+00")</f>
        <v>0.E+00</v>
      </c>
      <c r="P17" s="2" t="str">
        <f>HYPERLINK("http://exon.niaid.nih.gov/transcriptome/An_gambiae_male_2006/ST1/links/AGM-contig_228-AG5P.txt","ENSANGP00000024239")</f>
        <v>ENSANGP00000024239</v>
      </c>
      <c r="Q17" s="4" t="str">
        <f>HYPERLINK("http://www.anobase.org/cgi-bin/uniexcel_new_var6.pl?proteinname=ENSANGP00000024239","0.E+00")</f>
        <v>0.E+00</v>
      </c>
      <c r="R17" s="2" t="str">
        <f>HYPERLINK("http://exon.niaid.nih.gov/transcriptome/An_gambiae_male_2006/ST1/links/AGM-contig_228-AGPROT.txt","ENSANGP00000014963")</f>
        <v>ENSANGP00000014963</v>
      </c>
      <c r="S17" s="1" t="str">
        <f>HYPERLINK("http://www.ensembl.org/Anopheles_gambiae/protview?peptide=ENSANGP00000014963","4.3")</f>
        <v>4.3</v>
      </c>
      <c r="T17" s="1" t="str">
        <f>HYPERLINK("http://www.anobase.org/cgi-bin/uniexcel_new_var6.pl?proteinname=ENSANGP00000014963","4.3")</f>
        <v>4.3</v>
      </c>
      <c r="U17" s="2" t="str">
        <f>HYPERLINK("http://exon.niaid.nih.gov/transcriptome/An_gambiae_male_2006/ST1/links/AGCDS/AGM-contig_228-AGCDS.txt","ENSANGT00000019055")</f>
        <v>ENSANGT00000019055</v>
      </c>
      <c r="V17" s="1">
        <v>0</v>
      </c>
      <c r="AA17" s="2" t="str">
        <f>HYPERLINK("http://exon.niaid.nih.gov/transcriptome/An_gambiae_male_2006/ST1/links/AGM-contig_228-AGNUC.txt","AG-contig_190")</f>
        <v>AG-contig_190</v>
      </c>
      <c r="AB17" s="1">
        <v>0</v>
      </c>
      <c r="AC17" s="2" t="str">
        <f>HYPERLINK("http://exon.niaid.nih.gov/transcriptome/An_gambiae_male_2006/ST1/links/AGM-contig_228-NR.txt","IgM heavy chain (VDJ1)                        35   0.78")</f>
        <v>IgM heavy chain (VDJ1)                        35   0.78</v>
      </c>
      <c r="AD17" s="1" t="str">
        <f>HYPERLINK("http://www.ncbi.nlm.nih.gov/sutils/blink.cgi?pid=195211","0.78")</f>
        <v>0.78</v>
      </c>
      <c r="AE17" s="1" t="s">
        <v>313</v>
      </c>
      <c r="AF17" s="9" t="s">
        <v>787</v>
      </c>
      <c r="AG17" s="6" t="s">
        <v>82</v>
      </c>
      <c r="AH17" s="6" t="s">
        <v>83</v>
      </c>
      <c r="AJ17" s="6">
        <f>AJ16+1</f>
        <v>16</v>
      </c>
    </row>
    <row r="18" spans="1:36" ht="9.75">
      <c r="A18" t="str">
        <f>HYPERLINK("http://exon.niaid.nih.gov/transcriptome/An_gambiae_male_2006/ST1/links/AGM-contig_280.txt","AGM-contig_280")</f>
        <v>AGM-contig_280</v>
      </c>
      <c r="B18" s="1">
        <v>1</v>
      </c>
      <c r="C18" s="1">
        <v>138</v>
      </c>
      <c r="D18" s="1">
        <f>D17+B18</f>
        <v>19</v>
      </c>
      <c r="E18" s="1" t="s">
        <v>209</v>
      </c>
      <c r="F18" s="1">
        <v>63.8</v>
      </c>
      <c r="G18" s="1">
        <v>119</v>
      </c>
      <c r="H18" t="str">
        <f>HYPERLINK("http://exon.niaid.nih.gov/transcriptome/An_gambiae_male_2006/ST1/links/AGM-7-90-90-asb-280.txt","Contig-280")</f>
        <v>Contig-280</v>
      </c>
      <c r="I18" s="1">
        <v>280</v>
      </c>
      <c r="J18" t="str">
        <f>HYPERLINK("http://exon.niaid.nih.gov/transcriptome/An_gambiae_male_2006/ST1/links/AGM-7-90-90-280-CLU.txt","Contig280")</f>
        <v>Contig280</v>
      </c>
      <c r="K18" t="s">
        <v>147</v>
      </c>
      <c r="L18" s="2" t="str">
        <f>HYPERLINK("http://exon.niaid.nih.gov/transcriptome/An_gambiae_male_2006/ST1/links/AGM-contig_280-AGFRAG.txt","3R_Piece#1809")</f>
        <v>3R_Piece#1809</v>
      </c>
      <c r="M18" s="4">
        <v>1E-51</v>
      </c>
      <c r="N18" s="2" t="str">
        <f>HYPERLINK("http://exon.niaid.nih.gov/transcriptome/An_gambiae_male_2006/ST1/links/AGM-contig_280-AG3P.txt","ENSANGP00000029546")</f>
        <v>ENSANGP00000029546</v>
      </c>
      <c r="O18" s="1" t="str">
        <f>HYPERLINK("http://www.anobase.org/cgi-bin/uniexcel_new_var6.pl?proteinname=ENSANGP00000029546","2.E-52")</f>
        <v>2.E-52</v>
      </c>
      <c r="R18" s="2" t="str">
        <f>HYPERLINK("http://exon.niaid.nih.gov/transcriptome/An_gambiae_male_2006/ST1/links/AGM-contig_280-AGPROT.txt","ENSANGP00000026202")</f>
        <v>ENSANGP00000026202</v>
      </c>
      <c r="S18" s="1" t="str">
        <f>HYPERLINK("http://www.ensembl.org/Anopheles_gambiae/protview?peptide=ENSANGP00000026202","6.6")</f>
        <v>6.6</v>
      </c>
      <c r="T18" s="1" t="str">
        <f>HYPERLINK("http://www.anobase.org/cgi-bin/uniexcel_new_var6.pl?proteinname=ENSANGP00000026202","6.6")</f>
        <v>6.6</v>
      </c>
      <c r="AG18" s="6" t="s">
        <v>738</v>
      </c>
      <c r="AH18" s="6" t="s">
        <v>83</v>
      </c>
      <c r="AJ18" s="6">
        <f>AJ17+1</f>
        <v>17</v>
      </c>
    </row>
    <row r="19" spans="1:36" ht="9.75">
      <c r="A19" t="str">
        <f>HYPERLINK("http://exon.niaid.nih.gov/transcriptome/An_gambiae_male_2006/ST1/links/AGM-contig_328.txt","AGM-contig_328")</f>
        <v>AGM-contig_328</v>
      </c>
      <c r="B19" s="1">
        <v>1</v>
      </c>
      <c r="C19" s="1">
        <v>179</v>
      </c>
      <c r="D19" s="1">
        <f>D18+B19</f>
        <v>20</v>
      </c>
      <c r="E19" s="1">
        <v>2.2</v>
      </c>
      <c r="F19" s="1">
        <v>56.4</v>
      </c>
      <c r="G19" s="1">
        <v>160</v>
      </c>
      <c r="H19" t="str">
        <f>HYPERLINK("http://exon.niaid.nih.gov/transcriptome/An_gambiae_male_2006/ST1/links/AGM-7-90-90-asb-328.txt","Contig-328")</f>
        <v>Contig-328</v>
      </c>
      <c r="I19" s="1">
        <v>328</v>
      </c>
      <c r="J19" t="str">
        <f>HYPERLINK("http://exon.niaid.nih.gov/transcriptome/An_gambiae_male_2006/ST1/links/AGM-7-90-90-328-CLU.txt","Contig328")</f>
        <v>Contig328</v>
      </c>
      <c r="K19" t="s">
        <v>195</v>
      </c>
      <c r="L19" s="2" t="str">
        <f>HYPERLINK("http://exon.niaid.nih.gov/transcriptome/An_gambiae_male_2006/ST1/links/AGM-contig_328-AGFRAG.txt","X_Piece#220")</f>
        <v>X_Piece#220</v>
      </c>
      <c r="M19" s="4">
        <v>1E-57</v>
      </c>
      <c r="N19" s="2" t="str">
        <f>HYPERLINK("http://exon.niaid.nih.gov/transcriptome/An_gambiae_male_2006/ST1/links/AGM-contig_328-AG3P.txt","ENSANGP00000015566")</f>
        <v>ENSANGP00000015566</v>
      </c>
      <c r="O19" s="1" t="str">
        <f>HYPERLINK("http://www.anobase.org/cgi-bin/uniexcel_new_var6.pl?proteinname=ENSANGP00000015566","3.E-58")</f>
        <v>3.E-58</v>
      </c>
      <c r="R19" s="2" t="str">
        <f>HYPERLINK("http://exon.niaid.nih.gov/transcriptome/An_gambiae_male_2006/ST1/links/AGM-contig_328-AGPROT.txt","ENSANGP00000017576")</f>
        <v>ENSANGP00000017576</v>
      </c>
      <c r="S19" s="1" t="str">
        <f>HYPERLINK("http://www.ensembl.org/Anopheles_gambiae/protview?peptide=ENSANGP00000017576","3.9")</f>
        <v>3.9</v>
      </c>
      <c r="T19" s="1" t="str">
        <f>HYPERLINK("http://www.anobase.org/cgi-bin/uniexcel_new_var6.pl?proteinname=ENSANGP00000017576","3.9")</f>
        <v>3.9</v>
      </c>
      <c r="AG19" s="6" t="s">
        <v>391</v>
      </c>
      <c r="AH19" s="6" t="s">
        <v>392</v>
      </c>
      <c r="AJ19" s="6">
        <f>AJ18+1</f>
        <v>18</v>
      </c>
    </row>
    <row r="20" spans="1:36" ht="9.75">
      <c r="A20" t="str">
        <f>HYPERLINK("http://exon.niaid.nih.gov/transcriptome/An_gambiae_male_2006/ST1/links/AGM-contig_223.txt","AGM-contig_223")</f>
        <v>AGM-contig_223</v>
      </c>
      <c r="B20" s="1">
        <v>1</v>
      </c>
      <c r="C20" s="1">
        <v>129</v>
      </c>
      <c r="D20" s="1">
        <f>D19+B20</f>
        <v>21</v>
      </c>
      <c r="E20" s="1">
        <v>2.3</v>
      </c>
      <c r="F20" s="1">
        <v>82.2</v>
      </c>
      <c r="G20" s="1">
        <v>66</v>
      </c>
      <c r="H20" t="str">
        <f>HYPERLINK("http://exon.niaid.nih.gov/transcriptome/An_gambiae_male_2006/ST1/links/AGM-7-90-90-asb-223.txt","Contig-223")</f>
        <v>Contig-223</v>
      </c>
      <c r="I20" s="1">
        <v>223</v>
      </c>
      <c r="J20" t="str">
        <f>HYPERLINK("http://exon.niaid.nih.gov/transcriptome/An_gambiae_male_2006/ST1/links/AGM-7-90-90-223-CLU.txt","Contig223")</f>
        <v>Contig223</v>
      </c>
      <c r="K20" t="s">
        <v>676</v>
      </c>
      <c r="L20" s="2" t="str">
        <f>HYPERLINK("http://exon.niaid.nih.gov/transcriptome/An_gambiae_male_2006/ST1/links/AGM-contig_223-AGFRAG.txt","X_Piece#121")</f>
        <v>X_Piece#121</v>
      </c>
      <c r="M20" s="4">
        <v>2E-19</v>
      </c>
      <c r="N20" s="2" t="str">
        <f>HYPERLINK("http://exon.niaid.nih.gov/transcriptome/An_gambiae_male_2006/ST1/links/AGM-contig_223-AG3P.txt","ENSANGP00000019421")</f>
        <v>ENSANGP00000019421</v>
      </c>
      <c r="O20" s="1" t="str">
        <f>HYPERLINK("http://www.anobase.org/cgi-bin/uniexcel_new_var6.pl?proteinname=ENSANGP00000019421","3.E-20")</f>
        <v>3.E-20</v>
      </c>
      <c r="AG20" s="6" t="s">
        <v>403</v>
      </c>
      <c r="AH20" s="6" t="s">
        <v>404</v>
      </c>
      <c r="AJ20" s="6">
        <f>AJ19+1</f>
        <v>19</v>
      </c>
    </row>
    <row r="21" spans="1:36" ht="9.75">
      <c r="A21" t="str">
        <f>HYPERLINK("http://exon.niaid.nih.gov/transcriptome/An_gambiae_male_2006/ST1/links/AGM-contig_210.txt","AGM-contig_210")</f>
        <v>AGM-contig_210</v>
      </c>
      <c r="B21" s="1">
        <v>1</v>
      </c>
      <c r="C21" s="1">
        <v>232</v>
      </c>
      <c r="D21" s="1">
        <f>D20+B21</f>
        <v>22</v>
      </c>
      <c r="E21" s="1">
        <v>0.4</v>
      </c>
      <c r="F21" s="1">
        <v>57.8</v>
      </c>
      <c r="G21" s="1">
        <v>213</v>
      </c>
      <c r="H21" t="str">
        <f>HYPERLINK("http://exon.niaid.nih.gov/transcriptome/An_gambiae_male_2006/ST1/links/AGM-7-90-90-asb-210.txt","Contig-210")</f>
        <v>Contig-210</v>
      </c>
      <c r="I21" s="1">
        <v>210</v>
      </c>
      <c r="J21" t="str">
        <f>HYPERLINK("http://exon.niaid.nih.gov/transcriptome/An_gambiae_male_2006/ST1/links/AGM-7-90-90-210-CLU.txt","Contig210")</f>
        <v>Contig210</v>
      </c>
      <c r="K21" t="s">
        <v>663</v>
      </c>
      <c r="L21" s="2" t="str">
        <f>HYPERLINK("http://exon.niaid.nih.gov/transcriptome/An_gambiae_male_2006/ST1/links/AGM-contig_210-AGFRAG.txt","2R_Piece#912")</f>
        <v>2R_Piece#912</v>
      </c>
      <c r="M21" s="4">
        <v>1E-106</v>
      </c>
      <c r="N21" s="2" t="str">
        <f>HYPERLINK("http://exon.niaid.nih.gov/transcriptome/An_gambiae_male_2006/ST1/links/AGM-contig_210-AG3P.txt","ENSANGP00000012169")</f>
        <v>ENSANGP00000012169</v>
      </c>
      <c r="O21" s="1" t="str">
        <f>HYPERLINK("http://www.anobase.org/cgi-bin/uniexcel_new_var6.pl?proteinname=ENSANGP00000012169","1.E-107")</f>
        <v>1.E-107</v>
      </c>
      <c r="R21" s="2" t="str">
        <f>HYPERLINK("http://exon.niaid.nih.gov/transcriptome/An_gambiae_male_2006/ST1/links/AGM-contig_210-AGPROT.txt","ENSANGP00000006166")</f>
        <v>ENSANGP00000006166</v>
      </c>
      <c r="S21" s="1" t="str">
        <f>HYPERLINK("http://www.ensembl.org/Anopheles_gambiae/protview?peptide=ENSANGP00000006166","0.60")</f>
        <v>0.60</v>
      </c>
      <c r="T21" s="1" t="str">
        <f>HYPERLINK("http://www.anobase.org/cgi-bin/uniexcel_new_var6.pl?proteinname=ENSANGP00000006166","0.60")</f>
        <v>0.60</v>
      </c>
      <c r="AG21" s="6" t="s">
        <v>382</v>
      </c>
      <c r="AH21" s="6" t="s">
        <v>739</v>
      </c>
      <c r="AJ21" s="6">
        <f>AJ20+1</f>
        <v>20</v>
      </c>
    </row>
    <row r="22" spans="1:36" ht="9.75">
      <c r="A22" t="str">
        <f>HYPERLINK("http://exon.niaid.nih.gov/transcriptome/An_gambiae_male_2006/ST1/links/AGM-contig_160.txt","AGM-contig_160")</f>
        <v>AGM-contig_160</v>
      </c>
      <c r="B22" s="1">
        <v>1</v>
      </c>
      <c r="C22" s="1">
        <v>124</v>
      </c>
      <c r="D22" s="1">
        <f>D21+B22</f>
        <v>23</v>
      </c>
      <c r="E22" s="1" t="s">
        <v>209</v>
      </c>
      <c r="F22" s="1">
        <v>72.6</v>
      </c>
      <c r="G22" s="1">
        <v>105</v>
      </c>
      <c r="H22" t="str">
        <f>HYPERLINK("http://exon.niaid.nih.gov/transcriptome/An_gambiae_male_2006/ST1/links/AGM-7-90-90-asb-160.txt","Contig-160")</f>
        <v>Contig-160</v>
      </c>
      <c r="I22" s="1">
        <v>160</v>
      </c>
      <c r="J22" t="str">
        <f>HYPERLINK("http://exon.niaid.nih.gov/transcriptome/An_gambiae_male_2006/ST1/links/AGM-7-90-90-160-CLU.txt","Contig160")</f>
        <v>Contig160</v>
      </c>
      <c r="K22" t="s">
        <v>613</v>
      </c>
      <c r="L22" s="2" t="str">
        <f>HYPERLINK("http://exon.niaid.nih.gov/transcriptome/An_gambiae_male_2006/ST1/links/AGM-contig_160-AGFRAG.txt","3L_Piece#832")</f>
        <v>3L_Piece#832</v>
      </c>
      <c r="M22" s="4">
        <v>2E-49</v>
      </c>
      <c r="N22" s="2" t="str">
        <f>HYPERLINK("http://exon.niaid.nih.gov/transcriptome/An_gambiae_male_2006/ST1/links/AGM-contig_160-AG3P.txt","ENSANGP00000018425")</f>
        <v>ENSANGP00000018425</v>
      </c>
      <c r="O22" s="1" t="str">
        <f>HYPERLINK("http://www.anobase.org/cgi-bin/uniexcel_new_var6.pl?proteinname=ENSANGP00000018425","5.E-50")</f>
        <v>5.E-50</v>
      </c>
      <c r="R22" s="2" t="str">
        <f>HYPERLINK("http://exon.niaid.nih.gov/transcriptome/An_gambiae_male_2006/ST1/links/AGM-contig_160-AGPROT.txt","ENSANGP00000004842")</f>
        <v>ENSANGP00000004842</v>
      </c>
      <c r="S22" s="1" t="str">
        <f>HYPERLINK("http://www.ensembl.org/Anopheles_gambiae/protview?peptide=ENSANGP00000004842","8.8")</f>
        <v>8.8</v>
      </c>
      <c r="T22" s="1" t="str">
        <f>HYPERLINK("http://www.anobase.org/cgi-bin/uniexcel_new_var6.pl?proteinname=ENSANGP00000004842","8.8")</f>
        <v>8.8</v>
      </c>
      <c r="AG22" s="6" t="s">
        <v>426</v>
      </c>
      <c r="AH22" s="6" t="s">
        <v>60</v>
      </c>
      <c r="AJ22" s="6">
        <f>AJ21+1</f>
        <v>21</v>
      </c>
    </row>
    <row r="23" spans="1:36" ht="9.75">
      <c r="A23" t="str">
        <f>HYPERLINK("http://exon.niaid.nih.gov/transcriptome/An_gambiae_male_2006/ST1/links/AGM-contig_348.txt","AGM-contig_348")</f>
        <v>AGM-contig_348</v>
      </c>
      <c r="B23" s="1">
        <v>1</v>
      </c>
      <c r="C23" s="1">
        <v>162</v>
      </c>
      <c r="D23" s="1">
        <f>D22+B23</f>
        <v>24</v>
      </c>
      <c r="E23" s="1" t="s">
        <v>209</v>
      </c>
      <c r="F23" s="1">
        <v>60.5</v>
      </c>
      <c r="G23" s="1">
        <v>143</v>
      </c>
      <c r="H23" t="str">
        <f>HYPERLINK("http://exon.niaid.nih.gov/transcriptome/An_gambiae_male_2006/ST1/links/AGM-7-90-90-asb-348.txt","Contig-348")</f>
        <v>Contig-348</v>
      </c>
      <c r="I23" s="1">
        <v>348</v>
      </c>
      <c r="J23" t="str">
        <f>HYPERLINK("http://exon.niaid.nih.gov/transcriptome/An_gambiae_male_2006/ST1/links/AGM-7-90-90-348-CLU.txt","Contig348")</f>
        <v>Contig348</v>
      </c>
      <c r="K23" t="s">
        <v>288</v>
      </c>
      <c r="L23" s="2" t="str">
        <f>HYPERLINK("http://exon.niaid.nih.gov/transcriptome/An_gambiae_male_2006/ST1/links/AGM-contig_348-AGFRAG.txt","2R_Piece#190")</f>
        <v>2R_Piece#190</v>
      </c>
      <c r="M23" s="4">
        <v>2E-72</v>
      </c>
      <c r="N23" s="2" t="str">
        <f>HYPERLINK("http://exon.niaid.nih.gov/transcriptome/An_gambiae_male_2006/ST1/links/AGM-contig_348-AG3P.txt","ENSANGP00000015800")</f>
        <v>ENSANGP00000015800</v>
      </c>
      <c r="O23" s="1" t="str">
        <f>HYPERLINK("http://www.anobase.org/cgi-bin/uniexcel_new_var6.pl?proteinname=ENSANGP00000015800","3.E-73")</f>
        <v>3.E-73</v>
      </c>
      <c r="R23" s="2" t="str">
        <f>HYPERLINK("http://exon.niaid.nih.gov/transcriptome/An_gambiae_male_2006/ST1/links/AGM-contig_348-AGPROT.txt","ENSANGP00000010799")</f>
        <v>ENSANGP00000010799</v>
      </c>
      <c r="S23" s="1" t="str">
        <f>HYPERLINK("http://www.ensembl.org/Anopheles_gambiae/protview?peptide=ENSANGP00000010799","0.003")</f>
        <v>0.003</v>
      </c>
      <c r="T23" s="1" t="str">
        <f>HYPERLINK("http://www.anobase.org/cgi-bin/uniexcel_new_var6.pl?proteinname=ENSANGP00000010799","0.003")</f>
        <v>0.003</v>
      </c>
      <c r="AA23" s="2" t="str">
        <f>HYPERLINK("http://exon.niaid.nih.gov/transcriptome/An_gambiae_male_2006/ST1/links/AGM-contig_348-AGNUC.txt","AG-contig_456")</f>
        <v>AG-contig_456</v>
      </c>
      <c r="AB23" s="1">
        <v>8E-73</v>
      </c>
      <c r="AC23" s="2" t="str">
        <f>HYPERLINK("http://exon.niaid.nih.gov/transcriptome/An_gambiae_male_2006/ST1/links/AGM-contig_348-NR.txt","hypothetical protein [Plasmodium yoel")</f>
        <v>hypothetical protein [Plasmodium yoel</v>
      </c>
      <c r="AD23" s="1" t="str">
        <f>HYPERLINK("http://www.ncbi.nlm.nih.gov/sutils/blink.cgi?pid=23482181","7.6")</f>
        <v>7.6</v>
      </c>
      <c r="AE23" s="1" t="s">
        <v>314</v>
      </c>
      <c r="AF23" s="9" t="s">
        <v>341</v>
      </c>
      <c r="AG23" s="6" t="s">
        <v>59</v>
      </c>
      <c r="AH23" s="6" t="s">
        <v>60</v>
      </c>
      <c r="AJ23" s="6">
        <f>AJ22+1</f>
        <v>22</v>
      </c>
    </row>
    <row r="24" spans="1:36" ht="9.75">
      <c r="A24" t="str">
        <f>HYPERLINK("http://exon.niaid.nih.gov/transcriptome/An_gambiae_male_2006/ST1/links/AGM-contig_238.txt","AGM-contig_238")</f>
        <v>AGM-contig_238</v>
      </c>
      <c r="B24" s="1">
        <v>1</v>
      </c>
      <c r="C24" s="1">
        <v>102</v>
      </c>
      <c r="D24" s="1">
        <f>D23+B24</f>
        <v>25</v>
      </c>
      <c r="E24" s="1" t="s">
        <v>209</v>
      </c>
      <c r="F24" s="1">
        <v>68.6</v>
      </c>
      <c r="G24" s="1">
        <v>83</v>
      </c>
      <c r="H24" t="str">
        <f>HYPERLINK("http://exon.niaid.nih.gov/transcriptome/An_gambiae_male_2006/ST1/links/AGM-7-90-90-asb-238.txt","Contig-238")</f>
        <v>Contig-238</v>
      </c>
      <c r="I24" s="1">
        <v>238</v>
      </c>
      <c r="J24" t="str">
        <f>HYPERLINK("http://exon.niaid.nih.gov/transcriptome/An_gambiae_male_2006/ST1/links/AGM-7-90-90-238-CLU.txt","Contig238")</f>
        <v>Contig238</v>
      </c>
      <c r="K24" t="s">
        <v>691</v>
      </c>
      <c r="L24" s="2" t="str">
        <f>HYPERLINK("http://exon.niaid.nih.gov/transcriptome/An_gambiae_male_2006/ST1/links/AGM-contig_238-AGFRAG.txt","X_Piece#398")</f>
        <v>X_Piece#398</v>
      </c>
      <c r="M24" s="4">
        <v>2E-24</v>
      </c>
      <c r="N24" s="2" t="str">
        <f>HYPERLINK("http://exon.niaid.nih.gov/transcriptome/An_gambiae_male_2006/ST1/links/AGM-contig_238-AG3P.txt","ENSANGP00000017297")</f>
        <v>ENSANGP00000017297</v>
      </c>
      <c r="O24" s="1" t="str">
        <f>HYPERLINK("http://www.anobase.org/cgi-bin/uniexcel_new_var6.pl?proteinname=ENSANGP00000017297","4.E-25")</f>
        <v>4.E-25</v>
      </c>
      <c r="R24" s="2" t="str">
        <f>HYPERLINK("http://exon.niaid.nih.gov/transcriptome/An_gambiae_male_2006/ST1/links/AGM-contig_238-AGPROT.txt","ENSANGP00000027702")</f>
        <v>ENSANGP00000027702</v>
      </c>
      <c r="S24" s="1" t="str">
        <f>HYPERLINK("http://www.ensembl.org/Anopheles_gambiae/protview?peptide=ENSANGP00000027702","0.44")</f>
        <v>0.44</v>
      </c>
      <c r="T24" s="1" t="str">
        <f>HYPERLINK("http://www.anobase.org/cgi-bin/uniexcel_new_var6.pl?proteinname=ENSANGP00000027702","0.44")</f>
        <v>0.44</v>
      </c>
      <c r="AC24" s="2" t="str">
        <f>HYPERLINK("http://exon.niaid.nih.gov/transcriptome/An_gambiae_male_2006/ST1/links/AGM-contig_238-NR.txt","ENSANGP00000022586 [Anopheles gambiae]    28   2.4")</f>
        <v>ENSANGP00000022586 [Anopheles gambiae]    28   2.4</v>
      </c>
      <c r="AD24" s="1" t="str">
        <f>HYPERLINK("http://www.ncbi.nlm.nih.gov/sutils/blink.cgi?pid=31217817","2.4")</f>
        <v>2.4</v>
      </c>
      <c r="AE24" s="1" t="s">
        <v>313</v>
      </c>
      <c r="AF24" s="9" t="s">
        <v>139</v>
      </c>
      <c r="AG24" s="6" t="s">
        <v>120</v>
      </c>
      <c r="AH24" s="6" t="s">
        <v>60</v>
      </c>
      <c r="AJ24" s="6">
        <f>AJ23+1</f>
        <v>23</v>
      </c>
    </row>
    <row r="25" spans="1:36" ht="9.75">
      <c r="A25" t="str">
        <f>HYPERLINK("http://exon.niaid.nih.gov/transcriptome/An_gambiae_male_2006/ST1/links/AGM-contig_185.txt","AGM-contig_185")</f>
        <v>AGM-contig_185</v>
      </c>
      <c r="B25" s="1">
        <v>1</v>
      </c>
      <c r="C25" s="1">
        <v>199</v>
      </c>
      <c r="D25" s="1">
        <f>D24+B25</f>
        <v>26</v>
      </c>
      <c r="E25" s="1" t="s">
        <v>209</v>
      </c>
      <c r="F25" s="1">
        <v>64.3</v>
      </c>
      <c r="G25" s="1">
        <v>180</v>
      </c>
      <c r="H25" t="str">
        <f>HYPERLINK("http://exon.niaid.nih.gov/transcriptome/An_gambiae_male_2006/ST1/links/AGM-7-90-90-asb-185.txt","Contig-185")</f>
        <v>Contig-185</v>
      </c>
      <c r="I25" s="1">
        <v>185</v>
      </c>
      <c r="J25" t="str">
        <f>HYPERLINK("http://exon.niaid.nih.gov/transcriptome/An_gambiae_male_2006/ST1/links/AGM-7-90-90-185-CLU.txt","Contig185")</f>
        <v>Contig185</v>
      </c>
      <c r="K25" t="s">
        <v>638</v>
      </c>
      <c r="L25" s="2" t="str">
        <f>HYPERLINK("http://exon.niaid.nih.gov/transcriptome/An_gambiae_male_2006/ST1/links/AGM-contig_185-AGFRAG.txt","UNKN_Piece#606")</f>
        <v>UNKN_Piece#606</v>
      </c>
      <c r="M25" s="4">
        <v>7E-97</v>
      </c>
      <c r="N25" s="2" t="str">
        <f>HYPERLINK("http://exon.niaid.nih.gov/transcriptome/An_gambiae_male_2006/ST1/links/AGM-contig_185-AG3P.txt","ENSANGP00000015685")</f>
        <v>ENSANGP00000015685</v>
      </c>
      <c r="O25" s="1" t="str">
        <f>HYPERLINK("http://www.anobase.org/cgi-bin/uniexcel_new_var6.pl?proteinname=ENSANGP00000015685","1.E-97")</f>
        <v>1.E-97</v>
      </c>
      <c r="R25" s="2" t="str">
        <f>HYPERLINK("http://exon.niaid.nih.gov/transcriptome/An_gambiae_male_2006/ST1/links/AGM-contig_185-AGPROT.txt","ENSANGP00000020442")</f>
        <v>ENSANGP00000020442</v>
      </c>
      <c r="S25" s="1" t="str">
        <f>HYPERLINK("http://www.ensembl.org/Anopheles_gambiae/protview?peptide=ENSANGP00000020442","5.8")</f>
        <v>5.8</v>
      </c>
      <c r="T25" s="1" t="str">
        <f>HYPERLINK("http://www.anobase.org/cgi-bin/uniexcel_new_var6.pl?proteinname=ENSANGP00000020442","5.8")</f>
        <v>5.8</v>
      </c>
      <c r="AA25" s="2" t="str">
        <f>HYPERLINK("http://exon.niaid.nih.gov/transcriptome/An_gambiae_male_2006/ST1/links/AGM-contig_185-AGNUC.txt","AG-contig_276")</f>
        <v>AG-contig_276</v>
      </c>
      <c r="AB25" s="1">
        <v>8E-95</v>
      </c>
      <c r="AG25" s="6" t="s">
        <v>69</v>
      </c>
      <c r="AH25" s="6" t="s">
        <v>60</v>
      </c>
      <c r="AJ25" s="6">
        <f>AJ24+1</f>
        <v>24</v>
      </c>
    </row>
    <row r="26" spans="1:36" ht="9.75">
      <c r="A26" t="str">
        <f>HYPERLINK("http://exon.niaid.nih.gov/transcriptome/An_gambiae_male_2006/ST1/links/AGM-contig_294.txt","AGM-contig_294")</f>
        <v>AGM-contig_294</v>
      </c>
      <c r="B26" s="1">
        <v>1</v>
      </c>
      <c r="C26" s="1">
        <v>149</v>
      </c>
      <c r="D26" s="1">
        <f>D25+B26</f>
        <v>27</v>
      </c>
      <c r="E26" s="1" t="s">
        <v>209</v>
      </c>
      <c r="F26" s="1">
        <v>69.1</v>
      </c>
      <c r="G26" s="1">
        <v>130</v>
      </c>
      <c r="H26" t="str">
        <f>HYPERLINK("http://exon.niaid.nih.gov/transcriptome/An_gambiae_male_2006/ST1/links/AGM-7-90-90-asb-294.txt","Contig-294")</f>
        <v>Contig-294</v>
      </c>
      <c r="I26" s="1">
        <v>294</v>
      </c>
      <c r="J26" t="str">
        <f>HYPERLINK("http://exon.niaid.nih.gov/transcriptome/An_gambiae_male_2006/ST1/links/AGM-7-90-90-294-CLU.txt","Contig294")</f>
        <v>Contig294</v>
      </c>
      <c r="K26" t="s">
        <v>161</v>
      </c>
      <c r="L26" s="2" t="str">
        <f>HYPERLINK("http://exon.niaid.nih.gov/transcriptome/An_gambiae_male_2006/ST1/links/AGM-contig_294-AGFRAG.txt","X_Piece#578")</f>
        <v>X_Piece#578</v>
      </c>
      <c r="M26" s="4">
        <v>7E-47</v>
      </c>
      <c r="N26" s="2" t="str">
        <f>HYPERLINK("http://exon.niaid.nih.gov/transcriptome/An_gambiae_male_2006/ST1/links/AGM-contig_294-AG3P.txt","ENSANGP00000021350")</f>
        <v>ENSANGP00000021350</v>
      </c>
      <c r="O26" s="1" t="str">
        <f>HYPERLINK("http://www.anobase.org/cgi-bin/uniexcel_new_var6.pl?proteinname=ENSANGP00000021350","1.E-47")</f>
        <v>1.E-47</v>
      </c>
      <c r="P26" s="2" t="str">
        <f>HYPERLINK("http://exon.niaid.nih.gov/transcriptome/An_gambiae_male_2006/ST1/links/AGM-contig_294-AG5P.txt","ENSANGP00000021343")</f>
        <v>ENSANGP00000021343</v>
      </c>
      <c r="Q26" s="4" t="str">
        <f>HYPERLINK("http://www.anobase.org/cgi-bin/uniexcel_new_var6.pl?proteinname=ENSANGP00000021343","1.E-47")</f>
        <v>1.E-47</v>
      </c>
      <c r="R26" s="2" t="str">
        <f>HYPERLINK("http://exon.niaid.nih.gov/transcriptome/An_gambiae_male_2006/ST1/links/AGM-contig_294-AGPROT.txt","ENSANGP00000017709")</f>
        <v>ENSANGP00000017709</v>
      </c>
      <c r="S26" s="1" t="str">
        <f>HYPERLINK("http://www.ensembl.org/Anopheles_gambiae/protview?peptide=ENSANGP00000017709","6.6")</f>
        <v>6.6</v>
      </c>
      <c r="T26" s="1" t="str">
        <f>HYPERLINK("http://www.anobase.org/cgi-bin/uniexcel_new_var6.pl?proteinname=ENSANGP00000017709","6.6")</f>
        <v>6.6</v>
      </c>
      <c r="AA26" s="2" t="str">
        <f>HYPERLINK("http://exon.niaid.nih.gov/transcriptome/An_gambiae_male_2006/ST1/links/AGM-contig_294-AGNUC.txt","AG-contig_307")</f>
        <v>AG-contig_307</v>
      </c>
      <c r="AB26" s="1">
        <v>9E-17</v>
      </c>
      <c r="AG26" s="6" t="s">
        <v>62</v>
      </c>
      <c r="AH26" s="6" t="s">
        <v>63</v>
      </c>
      <c r="AJ26" s="6">
        <f>AJ25+1</f>
        <v>25</v>
      </c>
    </row>
    <row r="27" spans="1:36" ht="9.75">
      <c r="A27" t="str">
        <f>HYPERLINK("http://exon.niaid.nih.gov/transcriptome/An_gambiae_male_2006/ST1/links/AGM-contig_125.txt","AGM-contig_125")</f>
        <v>AGM-contig_125</v>
      </c>
      <c r="B27" s="1">
        <v>1</v>
      </c>
      <c r="C27" s="1">
        <v>644</v>
      </c>
      <c r="D27" s="1">
        <f>D26+B27</f>
        <v>28</v>
      </c>
      <c r="E27" s="1" t="s">
        <v>209</v>
      </c>
      <c r="F27" s="1">
        <v>53.3</v>
      </c>
      <c r="G27" s="1">
        <v>336</v>
      </c>
      <c r="H27" t="str">
        <f>HYPERLINK("http://exon.niaid.nih.gov/transcriptome/An_gambiae_male_2006/ST1/links/AGM-7-90-90-asb-125.txt","Contig-125")</f>
        <v>Contig-125</v>
      </c>
      <c r="I27" s="1">
        <v>125</v>
      </c>
      <c r="J27" t="str">
        <f>HYPERLINK("http://exon.niaid.nih.gov/transcriptome/An_gambiae_male_2006/ST1/links/AGM-7-90-90-125-CLU.txt","Contig125")</f>
        <v>Contig125</v>
      </c>
      <c r="K27" t="s">
        <v>578</v>
      </c>
      <c r="L27" s="2" t="str">
        <f>HYPERLINK("http://exon.niaid.nih.gov/transcriptome/An_gambiae_male_2006/ST1/links/AGM-contig_125-AGFRAG.txt","3R_Piece#1447")</f>
        <v>3R_Piece#1447</v>
      </c>
      <c r="M27" s="4">
        <v>0</v>
      </c>
      <c r="N27" s="2" t="str">
        <f>HYPERLINK("http://exon.niaid.nih.gov/transcriptome/An_gambiae_male_2006/ST1/links/AGM-contig_125-AG3P.txt","ENSANGP00000020091")</f>
        <v>ENSANGP00000020091</v>
      </c>
      <c r="O27" s="1" t="str">
        <f>HYPERLINK("http://www.anobase.org/cgi-bin/uniexcel_new_var6.pl?proteinname=ENSANGP00000020091","0.E+00")</f>
        <v>0.E+00</v>
      </c>
      <c r="P27" s="2" t="str">
        <f>HYPERLINK("http://exon.niaid.nih.gov/transcriptome/An_gambiae_male_2006/ST1/links/AGM-contig_125-AG5P.txt","ENSANGP00000019991")</f>
        <v>ENSANGP00000019991</v>
      </c>
      <c r="Q27" s="4" t="str">
        <f>HYPERLINK("http://www.anobase.org/cgi-bin/uniexcel_new_var6.pl?proteinname=ENSANGP00000019991","0.E+00")</f>
        <v>0.E+00</v>
      </c>
      <c r="R27" s="2" t="str">
        <f>HYPERLINK("http://exon.niaid.nih.gov/transcriptome/An_gambiae_male_2006/ST1/links/AGM-contig_125-AGPROT.txt","ENSANGP00000020091")</f>
        <v>ENSANGP00000020091</v>
      </c>
      <c r="S27" s="1" t="str">
        <f>HYPERLINK("http://www.ensembl.org/Anopheles_gambiae/protview?peptide=ENSANGP00000020091","2E-023")</f>
        <v>2E-023</v>
      </c>
      <c r="T27" s="1" t="str">
        <f>HYPERLINK("http://www.anobase.org/cgi-bin/uniexcel_new_var6.pl?proteinname=ENSANGP00000020091","2E-023")</f>
        <v>2E-023</v>
      </c>
      <c r="U27" s="2" t="str">
        <f>HYPERLINK("http://exon.niaid.nih.gov/transcriptome/An_gambiae_male_2006/ST1/links/AGCDS/AGM-contig_125-AGCDS.txt","ENSANGT00000020091")</f>
        <v>ENSANGT00000020091</v>
      </c>
      <c r="V27" s="1">
        <v>0</v>
      </c>
      <c r="AA27" s="2" t="str">
        <f>HYPERLINK("http://exon.niaid.nih.gov/transcriptome/An_gambiae_male_2006/ST1/links/AGM-contig_125-AGNUC.txt","AG-contig_415")</f>
        <v>AG-contig_415</v>
      </c>
      <c r="AB27" s="1">
        <v>4E-10</v>
      </c>
      <c r="AC27" s="2" t="str">
        <f>HYPERLINK("http://exon.niaid.nih.gov/transcriptome/An_gambiae_male_2006/ST1/links/AGM-contig_125-NR.txt","ENSANGP00000020091 [Anopheles gambi")</f>
        <v>ENSANGP00000020091 [Anopheles gambi</v>
      </c>
      <c r="AD27" s="1" t="str">
        <f>HYPERLINK("http://www.ncbi.nlm.nih.gov/sutils/blink.cgi?pid=31202411","1E-021")</f>
        <v>1E-021</v>
      </c>
      <c r="AE27" s="1" t="s">
        <v>313</v>
      </c>
      <c r="AF27" s="9" t="s">
        <v>441</v>
      </c>
      <c r="AG27" s="6" t="s">
        <v>406</v>
      </c>
      <c r="AH27" s="6" t="s">
        <v>49</v>
      </c>
      <c r="AJ27" s="6">
        <f>AJ26+1</f>
        <v>26</v>
      </c>
    </row>
    <row r="28" spans="1:36" ht="9.75">
      <c r="A28" t="str">
        <f>HYPERLINK("http://exon.niaid.nih.gov/transcriptome/An_gambiae_male_2006/ST1/links/AGM-contig_316.txt","AGM-contig_316")</f>
        <v>AGM-contig_316</v>
      </c>
      <c r="B28" s="1">
        <v>1</v>
      </c>
      <c r="C28" s="1">
        <v>361</v>
      </c>
      <c r="D28" s="1">
        <f>D27+B28</f>
        <v>29</v>
      </c>
      <c r="E28" s="1" t="s">
        <v>209</v>
      </c>
      <c r="F28" s="1">
        <v>53.2</v>
      </c>
      <c r="G28" s="1">
        <v>342</v>
      </c>
      <c r="H28" t="str">
        <f>HYPERLINK("http://exon.niaid.nih.gov/transcriptome/An_gambiae_male_2006/ST1/links/AGM-7-90-90-asb-316.txt","Contig-316")</f>
        <v>Contig-316</v>
      </c>
      <c r="I28" s="1">
        <v>316</v>
      </c>
      <c r="J28" t="str">
        <f>HYPERLINK("http://exon.niaid.nih.gov/transcriptome/An_gambiae_male_2006/ST1/links/AGM-7-90-90-316-CLU.txt","Contig316")</f>
        <v>Contig316</v>
      </c>
      <c r="K28" t="s">
        <v>183</v>
      </c>
      <c r="L28" s="2" t="str">
        <f>HYPERLINK("http://exon.niaid.nih.gov/transcriptome/An_gambiae_male_2006/ST1/links/AGM-contig_316-AGFRAG.txt","3L_Piece#362")</f>
        <v>3L_Piece#362</v>
      </c>
      <c r="M28" s="4">
        <v>1E-160</v>
      </c>
      <c r="N28" s="2" t="str">
        <f>HYPERLINK("http://exon.niaid.nih.gov/transcriptome/An_gambiae_male_2006/ST1/links/AGM-contig_316-AG3P.txt","ENSANGP00000021219")</f>
        <v>ENSANGP00000021219</v>
      </c>
      <c r="O28" s="1" t="str">
        <f>HYPERLINK("http://www.anobase.org/cgi-bin/uniexcel_new_var6.pl?proteinname=ENSANGP00000021219","1.E-160")</f>
        <v>1.E-160</v>
      </c>
      <c r="P28" s="2" t="str">
        <f>HYPERLINK("http://exon.niaid.nih.gov/transcriptome/An_gambiae_male_2006/ST1/links/AGM-contig_316-AG5P.txt","ENSANGP00000021260")</f>
        <v>ENSANGP00000021260</v>
      </c>
      <c r="Q28" s="4" t="str">
        <f>HYPERLINK("http://www.anobase.org/cgi-bin/uniexcel_new_var6.pl?proteinname=ENSANGP00000021260","1.E-160")</f>
        <v>1.E-160</v>
      </c>
      <c r="R28" s="2" t="str">
        <f>HYPERLINK("http://exon.niaid.nih.gov/transcriptome/An_gambiae_male_2006/ST1/links/AGM-contig_316-AGPROT.txt","ENSANGP00000021249")</f>
        <v>ENSANGP00000021249</v>
      </c>
      <c r="S28" s="1" t="str">
        <f>HYPERLINK("http://www.ensembl.org/Anopheles_gambiae/protview?peptide=ENSANGP00000021249","3E-018")</f>
        <v>3E-018</v>
      </c>
      <c r="T28" s="1" t="str">
        <f>HYPERLINK("http://www.anobase.org/cgi-bin/uniexcel_new_var6.pl?proteinname=ENSANGP00000021249","3E-018")</f>
        <v>3E-018</v>
      </c>
      <c r="U28" s="2" t="str">
        <f>HYPERLINK("http://exon.niaid.nih.gov/transcriptome/An_gambiae_male_2006/ST1/links/AGCDS/AGM-contig_316-AGCDS.txt","ENSANGT00000021249")</f>
        <v>ENSANGT00000021249</v>
      </c>
      <c r="V28" s="1">
        <v>1E-152</v>
      </c>
      <c r="AC28" s="2" t="str">
        <f>HYPERLINK("http://exon.niaid.nih.gov/transcriptome/An_gambiae_male_2006/ST1/links/AGM-contig_316-NR.txt","ENSANGP00000021249 [Anopheles gambiae]    86   3e-016")</f>
        <v>ENSANGP00000021249 [Anopheles gambiae]    86   3e-016</v>
      </c>
      <c r="AD28" s="1" t="str">
        <f>HYPERLINK("http://www.ncbi.nlm.nih.gov/sutils/blink.cgi?pid=31231370","3E-016")</f>
        <v>3E-016</v>
      </c>
      <c r="AE28" s="1" t="s">
        <v>313</v>
      </c>
      <c r="AF28" s="9" t="s">
        <v>756</v>
      </c>
      <c r="AG28" s="6" t="s">
        <v>491</v>
      </c>
      <c r="AH28" s="6" t="s">
        <v>49</v>
      </c>
      <c r="AJ28" s="6">
        <f>AJ27+1</f>
        <v>27</v>
      </c>
    </row>
    <row r="29" spans="1:36" ht="9.75">
      <c r="A29" t="str">
        <f>HYPERLINK("http://exon.niaid.nih.gov/transcriptome/An_gambiae_male_2006/ST1/links/AGM-contig_225.txt","AGM-contig_225")</f>
        <v>AGM-contig_225</v>
      </c>
      <c r="B29" s="1">
        <v>1</v>
      </c>
      <c r="C29" s="1">
        <v>424</v>
      </c>
      <c r="D29" s="1">
        <f>D28+B29</f>
        <v>30</v>
      </c>
      <c r="E29" s="1" t="s">
        <v>209</v>
      </c>
      <c r="F29" s="1">
        <v>44.6</v>
      </c>
      <c r="G29" s="1">
        <v>405</v>
      </c>
      <c r="H29" t="str">
        <f>HYPERLINK("http://exon.niaid.nih.gov/transcriptome/An_gambiae_male_2006/ST1/links/AGM-7-90-90-asb-225.txt","Contig-225")</f>
        <v>Contig-225</v>
      </c>
      <c r="I29" s="1">
        <v>225</v>
      </c>
      <c r="J29" t="str">
        <f>HYPERLINK("http://exon.niaid.nih.gov/transcriptome/An_gambiae_male_2006/ST1/links/AGM-7-90-90-225-CLU.txt","Contig225")</f>
        <v>Contig225</v>
      </c>
      <c r="K29" t="s">
        <v>678</v>
      </c>
      <c r="L29" s="2" t="str">
        <f>HYPERLINK("http://exon.niaid.nih.gov/transcriptome/An_gambiae_male_2006/ST1/links/AGM-contig_225-AGFRAG.txt","3L_Piece#673")</f>
        <v>3L_Piece#673</v>
      </c>
      <c r="M29" s="4">
        <v>0</v>
      </c>
      <c r="N29" s="2" t="str">
        <f>HYPERLINK("http://exon.niaid.nih.gov/transcriptome/An_gambiae_male_2006/ST1/links/AGM-contig_225-AG3P.txt","ENSANGP00000026704")</f>
        <v>ENSANGP00000026704</v>
      </c>
      <c r="O29" s="1" t="str">
        <f>HYPERLINK("http://www.anobase.org/cgi-bin/uniexcel_new_var6.pl?proteinname=ENSANGP00000026704","0.E+00")</f>
        <v>0.E+00</v>
      </c>
      <c r="R29" s="2" t="str">
        <f>HYPERLINK("http://exon.niaid.nih.gov/transcriptome/An_gambiae_male_2006/ST1/links/AGM-contig_225-AGPROT.txt","ENSANGP00000012579")</f>
        <v>ENSANGP00000012579</v>
      </c>
      <c r="S29" s="1" t="str">
        <f>HYPERLINK("http://www.ensembl.org/Anopheles_gambiae/protview?peptide=ENSANGP00000012579","5E-062")</f>
        <v>5E-062</v>
      </c>
      <c r="T29" s="1" t="str">
        <f>HYPERLINK("http://www.anobase.org/cgi-bin/uniexcel_new_var6.pl?proteinname=ENSANGP00000012579","5E-062")</f>
        <v>5E-062</v>
      </c>
      <c r="U29" s="2" t="str">
        <f>HYPERLINK("http://exon.niaid.nih.gov/transcriptome/An_gambiae_male_2006/ST1/links/AGCDS/AGM-contig_225-AGCDS.txt","ENSANGT00000012579")</f>
        <v>ENSANGT00000012579</v>
      </c>
      <c r="V29" s="1">
        <v>0</v>
      </c>
      <c r="AC29" s="2" t="str">
        <f>HYPERLINK("http://exon.niaid.nih.gov/transcriptome/An_gambiae_male_2006/ST1/links/AGM-contig_225-NR.txt","ENSANGP00000012579 [Anopheles gambiae")</f>
        <v>ENSANGP00000012579 [Anopheles gambiae</v>
      </c>
      <c r="AD29" s="1" t="str">
        <f>HYPERLINK("http://www.ncbi.nlm.nih.gov/sutils/blink.cgi?pid=55244862","2E-060")</f>
        <v>2E-060</v>
      </c>
      <c r="AE29" s="1" t="s">
        <v>313</v>
      </c>
      <c r="AF29" s="9" t="s">
        <v>416</v>
      </c>
      <c r="AG29" s="6" t="s">
        <v>736</v>
      </c>
      <c r="AH29" s="6" t="s">
        <v>49</v>
      </c>
      <c r="AJ29" s="6">
        <f>AJ28+1</f>
        <v>28</v>
      </c>
    </row>
    <row r="30" spans="1:36" ht="9.75">
      <c r="A30" t="str">
        <f>HYPERLINK("http://exon.niaid.nih.gov/transcriptome/An_gambiae_male_2006/ST1/links/AGM-contig_88.txt","AGM-contig_88")</f>
        <v>AGM-contig_88</v>
      </c>
      <c r="B30" s="1">
        <v>2</v>
      </c>
      <c r="C30" s="1">
        <v>298</v>
      </c>
      <c r="D30" s="1">
        <f>D29+B30</f>
        <v>32</v>
      </c>
      <c r="E30" s="1">
        <v>0.3</v>
      </c>
      <c r="F30" s="1">
        <v>55.4</v>
      </c>
      <c r="G30" s="1">
        <v>279</v>
      </c>
      <c r="H30" t="str">
        <f>HYPERLINK("http://exon.niaid.nih.gov/transcriptome/An_gambiae_male_2006/ST1/links/AGM-7-90-90-asb-88.txt","Contig-88")</f>
        <v>Contig-88</v>
      </c>
      <c r="I30" s="1">
        <v>88</v>
      </c>
      <c r="J30" t="str">
        <f>HYPERLINK("http://exon.niaid.nih.gov/transcriptome/An_gambiae_male_2006/ST1/links/AGM-7-90-90-88-CLU.txt","Contig88")</f>
        <v>Contig88</v>
      </c>
      <c r="K30" t="s">
        <v>541</v>
      </c>
      <c r="L30" s="2" t="str">
        <f>HYPERLINK("http://exon.niaid.nih.gov/transcriptome/An_gambiae_male_2006/ST1/links/AGM-contig_88-AGFRAG.txt","3R_Piece#886")</f>
        <v>3R_Piece#886</v>
      </c>
      <c r="M30" s="4">
        <v>1E-141</v>
      </c>
      <c r="N30" s="2" t="str">
        <f>HYPERLINK("http://exon.niaid.nih.gov/transcriptome/An_gambiae_male_2006/ST1/links/AGM-contig_88-AG3P.txt","ENSANGP00000019464")</f>
        <v>ENSANGP00000019464</v>
      </c>
      <c r="O30" s="1" t="str">
        <f>HYPERLINK("http://www.anobase.org/cgi-bin/uniexcel_new_var6.pl?proteinname=ENSANGP00000019464","1.E-141")</f>
        <v>1.E-141</v>
      </c>
      <c r="R30" s="2" t="str">
        <f>HYPERLINK("http://exon.niaid.nih.gov/transcriptome/An_gambiae_male_2006/ST1/links/AGM-contig_88-AGPROT.txt","ENSANGP00000013088")</f>
        <v>ENSANGP00000013088</v>
      </c>
      <c r="S30" s="1" t="str">
        <f>HYPERLINK("http://www.ensembl.org/Anopheles_gambiae/protview?peptide=ENSANGP00000013088","2E-004")</f>
        <v>2E-004</v>
      </c>
      <c r="T30" s="1" t="str">
        <f>HYPERLINK("http://www.anobase.org/cgi-bin/uniexcel_new_var6.pl?proteinname=ENSANGP00000013088","2E-004")</f>
        <v>2E-004</v>
      </c>
      <c r="AC30" s="2" t="str">
        <f>HYPERLINK("http://exon.niaid.nih.gov/transcriptome/An_gambiae_male_2006/ST1/links/AGM-contig_88-NR.txt","pherophorin-dz1 protein [Volvox cart")</f>
        <v>pherophorin-dz1 protein [Volvox cart</v>
      </c>
      <c r="AD30" s="1" t="str">
        <f>HYPERLINK("http://www.ncbi.nlm.nih.gov/sutils/blink.cgi?pid=21322711","0.0")</f>
        <v>0.0</v>
      </c>
      <c r="AE30" s="1" t="s">
        <v>313</v>
      </c>
      <c r="AF30" s="9" t="s">
        <v>484</v>
      </c>
      <c r="AG30" s="6" t="s">
        <v>405</v>
      </c>
      <c r="AH30" s="6" t="s">
        <v>49</v>
      </c>
      <c r="AJ30" s="6">
        <f>AJ29+1</f>
        <v>29</v>
      </c>
    </row>
    <row r="31" spans="1:36" ht="9.75">
      <c r="A31" t="str">
        <f>HYPERLINK("http://exon.niaid.nih.gov/transcriptome/An_gambiae_male_2006/ST1/links/AGM-contig_358.txt","AGM-contig_358")</f>
        <v>AGM-contig_358</v>
      </c>
      <c r="B31" s="1">
        <v>1</v>
      </c>
      <c r="C31" s="1">
        <v>181</v>
      </c>
      <c r="D31" s="1">
        <f>D30+B31</f>
        <v>33</v>
      </c>
      <c r="E31" s="1" t="s">
        <v>209</v>
      </c>
      <c r="F31" s="1">
        <v>69.1</v>
      </c>
      <c r="G31" s="1">
        <v>162</v>
      </c>
      <c r="H31" t="str">
        <f>HYPERLINK("http://exon.niaid.nih.gov/transcriptome/An_gambiae_male_2006/ST1/links/AGM-7-90-90-asb-358.txt","Contig-358")</f>
        <v>Contig-358</v>
      </c>
      <c r="I31" s="1">
        <v>358</v>
      </c>
      <c r="J31" t="str">
        <f>HYPERLINK("http://exon.niaid.nih.gov/transcriptome/An_gambiae_male_2006/ST1/links/AGM-7-90-90-358-CLU.txt","Contig358")</f>
        <v>Contig358</v>
      </c>
      <c r="K31" t="s">
        <v>298</v>
      </c>
      <c r="L31" s="2" t="str">
        <f>HYPERLINK("http://exon.niaid.nih.gov/transcriptome/An_gambiae_male_2006/ST1/links/AGM-contig_358-AGFRAG.txt","2L_Piece#698")</f>
        <v>2L_Piece#698</v>
      </c>
      <c r="M31" s="4">
        <v>5E-79</v>
      </c>
      <c r="N31" s="2" t="str">
        <f>HYPERLINK("http://exon.niaid.nih.gov/transcriptome/An_gambiae_male_2006/ST1/links/AGM-contig_358-AG3P.txt","ENSANGP00000023852")</f>
        <v>ENSANGP00000023852</v>
      </c>
      <c r="O31" s="1" t="str">
        <f>HYPERLINK("http://www.anobase.org/cgi-bin/uniexcel_new_var6.pl?proteinname=ENSANGP00000023852","1.E-79")</f>
        <v>1.E-79</v>
      </c>
      <c r="R31" s="2" t="str">
        <f>HYPERLINK("http://exon.niaid.nih.gov/transcriptome/An_gambiae_male_2006/ST1/links/AGM-contig_358-AGPROT.txt","ENSANGP00000026000")</f>
        <v>ENSANGP00000026000</v>
      </c>
      <c r="S31" s="1" t="str">
        <f>HYPERLINK("http://www.ensembl.org/Anopheles_gambiae/protview?peptide=ENSANGP00000026000","3.9")</f>
        <v>3.9</v>
      </c>
      <c r="T31" s="1" t="str">
        <f>HYPERLINK("http://www.anobase.org/cgi-bin/uniexcel_new_var6.pl?proteinname=ENSANGP00000026000","3.9")</f>
        <v>3.9</v>
      </c>
      <c r="U31" s="2" t="str">
        <f>HYPERLINK("http://exon.niaid.nih.gov/transcriptome/An_gambiae_male_2006/ST1/links/AGCDS/AGM-contig_358-AGCDS.txt","ENSANGT00000024748")</f>
        <v>ENSANGT00000024748</v>
      </c>
      <c r="V31" s="1">
        <v>3E-80</v>
      </c>
      <c r="AC31" s="2" t="str">
        <f>HYPERLINK("http://exon.niaid.nih.gov/transcriptome/An_gambiae_male_2006/ST1/links/AGM-contig_358-NR.txt","hypothetical protein - mouse &gt;gnl|BL_ORD_I")</f>
        <v>hypothetical protein - mouse &gt;gnl|BL_ORD_I</v>
      </c>
      <c r="AD31" s="1" t="str">
        <f>HYPERLINK("http://www.ncbi.nlm.nih.gov/sutils/blink.cgi?pid=110062","4.4")</f>
        <v>4.4</v>
      </c>
      <c r="AE31" s="1" t="s">
        <v>314</v>
      </c>
      <c r="AF31" s="9" t="s">
        <v>804</v>
      </c>
      <c r="AG31" s="6" t="s">
        <v>500</v>
      </c>
      <c r="AH31" s="6" t="s">
        <v>49</v>
      </c>
      <c r="AJ31" s="6">
        <f>AJ30+1</f>
        <v>30</v>
      </c>
    </row>
    <row r="32" spans="1:38" ht="9.75">
      <c r="A32" t="str">
        <f>HYPERLINK("http://exon.niaid.nih.gov/transcriptome/An_gambiae_male_2006/ST1/links/AGM-contig_56.txt","AGM-contig_56")</f>
        <v>AGM-contig_56</v>
      </c>
      <c r="B32" s="1">
        <v>4</v>
      </c>
      <c r="C32" s="1">
        <v>321</v>
      </c>
      <c r="D32" s="1">
        <f>D31+B32</f>
        <v>37</v>
      </c>
      <c r="E32" s="1">
        <v>0.3</v>
      </c>
      <c r="F32" s="1">
        <v>74.5</v>
      </c>
      <c r="G32" s="1">
        <v>302</v>
      </c>
      <c r="H32" t="str">
        <f>HYPERLINK("http://exon.niaid.nih.gov/transcriptome/An_gambiae_male_2006/ST1/links/AGM-7-90-90-asb-56.txt","Contig-56")</f>
        <v>Contig-56</v>
      </c>
      <c r="I32" s="1">
        <v>56</v>
      </c>
      <c r="J32" t="str">
        <f>HYPERLINK("http://exon.niaid.nih.gov/transcriptome/An_gambiae_male_2006/ST1/links/AGM-7-90-90-56-CLU.txt","Contig56")</f>
        <v>Contig56</v>
      </c>
      <c r="K32" t="s">
        <v>266</v>
      </c>
      <c r="R32" s="2" t="str">
        <f>HYPERLINK("http://exon.niaid.nih.gov/transcriptome/An_gambiae_male_2006/ST1/links/AGM-contig_56-AGPROT.txt","ENSANGP00000007334")</f>
        <v>ENSANGP00000007334</v>
      </c>
      <c r="S32" s="1" t="str">
        <f>HYPERLINK("http://www.ensembl.org/Anopheles_gambiae/protview?peptide=ENSANGP00000007334","0.61")</f>
        <v>0.61</v>
      </c>
      <c r="T32" s="1" t="str">
        <f>HYPERLINK("http://www.anobase.org/cgi-bin/uniexcel_new_var6.pl?proteinname=ENSANGP00000007334","0.61")</f>
        <v>0.61</v>
      </c>
      <c r="AA32" s="2" t="str">
        <f>HYPERLINK("http://exon.niaid.nih.gov/transcriptome/An_gambiae_male_2006/ST1/links/AGM-contig_56-AGNUC.txt","AG-contig_132")</f>
        <v>AG-contig_132</v>
      </c>
      <c r="AB32" s="1">
        <v>1E-167</v>
      </c>
      <c r="AC32" s="2" t="str">
        <f>HYPERLINK("http://exon.niaid.nih.gov/transcriptome/An_gambiae_male_2006/ST1/links/AGM-contig_56-NR.txt","Cytochrome b &gt;gnl|BL_ORD_ID|620464")</f>
        <v>Cytochrome b &gt;gnl|BL_ORD_ID|620464</v>
      </c>
      <c r="AD32" s="1" t="str">
        <f>HYPERLINK("http://www.ncbi.nlm.nih.gov/sutils/blink.cgi?pid=461874","1E-044")</f>
        <v>1E-044</v>
      </c>
      <c r="AE32" s="1" t="s">
        <v>313</v>
      </c>
      <c r="AF32" s="9" t="s">
        <v>7</v>
      </c>
      <c r="AG32" s="6" t="s">
        <v>513</v>
      </c>
      <c r="AH32" s="6" t="s">
        <v>49</v>
      </c>
      <c r="AJ32" s="6">
        <f>AJ31+1</f>
        <v>31</v>
      </c>
      <c r="AK32" s="2" t="str">
        <f>HYPERLINK("http://exon.niaid.nih.gov/transcriptome/An_gambiae_male_2006/ST1/links/MIT-PLA/AGM-contig_56-MIT-PLA.txt","Anopheles gambiae mitochondrion, com")</f>
        <v>Anopheles gambiae mitochondrion, com</v>
      </c>
      <c r="AL32" s="4" t="str">
        <f>HYPERLINK("http://www.ncbi.nlm.nih.gov/sutils/blink.cgi?pid=5834911","1E-164")</f>
        <v>1E-164</v>
      </c>
    </row>
    <row r="33" spans="1:38" ht="9.75">
      <c r="A33" t="str">
        <f>HYPERLINK("http://exon.niaid.nih.gov/transcriptome/An_gambiae_male_2006/ST1/links/AGM-contig_87.txt","AGM-contig_87")</f>
        <v>AGM-contig_87</v>
      </c>
      <c r="B33" s="1">
        <v>2</v>
      </c>
      <c r="C33" s="1">
        <v>335</v>
      </c>
      <c r="D33" s="1">
        <f>D32+B33</f>
        <v>39</v>
      </c>
      <c r="E33" s="1" t="s">
        <v>209</v>
      </c>
      <c r="F33" s="1">
        <v>73.1</v>
      </c>
      <c r="G33" s="1">
        <v>316</v>
      </c>
      <c r="H33" t="str">
        <f>HYPERLINK("http://exon.niaid.nih.gov/transcriptome/An_gambiae_male_2006/ST1/links/AGM-7-90-90-asb-87.txt","Contig-87")</f>
        <v>Contig-87</v>
      </c>
      <c r="I33" s="1">
        <v>87</v>
      </c>
      <c r="J33" t="str">
        <f>HYPERLINK("http://exon.niaid.nih.gov/transcriptome/An_gambiae_male_2006/ST1/links/AGM-7-90-90-87-CLU.txt","Contig87")</f>
        <v>Contig87</v>
      </c>
      <c r="K33" t="s">
        <v>540</v>
      </c>
      <c r="R33" s="2" t="str">
        <f>HYPERLINK("http://exon.niaid.nih.gov/transcriptome/An_gambiae_male_2006/ST1/links/AGM-contig_87-AGPROT.txt","ENSANGP00000017718")</f>
        <v>ENSANGP00000017718</v>
      </c>
      <c r="S33" s="1" t="str">
        <f>HYPERLINK("http://www.ensembl.org/Anopheles_gambiae/protview?peptide=ENSANGP00000017718","1.7")</f>
        <v>1.7</v>
      </c>
      <c r="T33" s="1" t="str">
        <f>HYPERLINK("http://www.anobase.org/cgi-bin/uniexcel_new_var6.pl?proteinname=ENSANGP00000017718","1.7")</f>
        <v>1.7</v>
      </c>
      <c r="AA33" s="2" t="str">
        <f>HYPERLINK("http://exon.niaid.nih.gov/transcriptome/An_gambiae_male_2006/ST1/links/AGM-contig_87-AGNUC.txt","AG-contig_93")</f>
        <v>AG-contig_93</v>
      </c>
      <c r="AB33" s="1">
        <v>1E-180</v>
      </c>
      <c r="AC33" s="2" t="str">
        <f>HYPERLINK("http://exon.niaid.nih.gov/transcriptome/An_gambiae_male_2006/ST1/links/AGM-contig_87-NR.txt","Cytochrome c oxidase polypeptide I     193   1e-048")</f>
        <v>Cytochrome c oxidase polypeptide I     193   1e-048</v>
      </c>
      <c r="AD33" s="1" t="str">
        <f>HYPERLINK("http://www.ncbi.nlm.nih.gov/sutils/blink.cgi?pid=461780","1E-048")</f>
        <v>1E-048</v>
      </c>
      <c r="AE33" s="1" t="s">
        <v>313</v>
      </c>
      <c r="AF33" s="9" t="s">
        <v>816</v>
      </c>
      <c r="AG33" s="6" t="s">
        <v>513</v>
      </c>
      <c r="AH33" s="6" t="s">
        <v>49</v>
      </c>
      <c r="AJ33" s="6">
        <f>AJ32+1</f>
        <v>32</v>
      </c>
      <c r="AK33" s="2" t="str">
        <f>HYPERLINK("http://exon.niaid.nih.gov/transcriptome/An_gambiae_male_2006/ST1/links/MIT-PLA/AGM-contig_87-MIT-PLA.txt","Anopheles gambiae mitochondrion, com")</f>
        <v>Anopheles gambiae mitochondrion, com</v>
      </c>
      <c r="AL33" s="4" t="str">
        <f>HYPERLINK("http://www.ncbi.nlm.nih.gov/sutils/blink.cgi?pid=5834911","1E-179")</f>
        <v>1E-179</v>
      </c>
    </row>
    <row r="34" spans="1:36" ht="9.75">
      <c r="A34" t="str">
        <f>HYPERLINK("http://exon.niaid.nih.gov/transcriptome/An_gambiae_male_2006/ST1/links/AGM-contig_191.txt","AGM-contig_191")</f>
        <v>AGM-contig_191</v>
      </c>
      <c r="B34" s="1">
        <v>1</v>
      </c>
      <c r="C34" s="1">
        <v>253</v>
      </c>
      <c r="D34" s="1">
        <f>D33+B34</f>
        <v>40</v>
      </c>
      <c r="E34" s="1">
        <v>0.4</v>
      </c>
      <c r="F34" s="1">
        <v>37.9</v>
      </c>
      <c r="G34" s="1">
        <v>234</v>
      </c>
      <c r="H34" t="str">
        <f>HYPERLINK("http://exon.niaid.nih.gov/transcriptome/An_gambiae_male_2006/ST1/links/AGM-7-90-90-asb-191.txt","Contig-191")</f>
        <v>Contig-191</v>
      </c>
      <c r="I34" s="1">
        <v>191</v>
      </c>
      <c r="J34" t="str">
        <f>HYPERLINK("http://exon.niaid.nih.gov/transcriptome/An_gambiae_male_2006/ST1/links/AGM-7-90-90-191-CLU.txt","Contig191")</f>
        <v>Contig191</v>
      </c>
      <c r="K34" t="s">
        <v>644</v>
      </c>
      <c r="R34" s="2" t="str">
        <f>HYPERLINK("http://exon.niaid.nih.gov/transcriptome/An_gambiae_male_2006/ST1/links/AGM-contig_191-AGPROT.txt","ENSANGP00000017440")</f>
        <v>ENSANGP00000017440</v>
      </c>
      <c r="S34" s="1" t="str">
        <f>HYPERLINK("http://www.ensembl.org/Anopheles_gambiae/protview?peptide=ENSANGP00000017440","0.045")</f>
        <v>0.045</v>
      </c>
      <c r="T34" s="1" t="str">
        <f>HYPERLINK("http://www.anobase.org/cgi-bin/uniexcel_new_var6.pl?proteinname=ENSANGP00000017440","0.045")</f>
        <v>0.045</v>
      </c>
      <c r="AC34" s="2" t="str">
        <f>HYPERLINK("http://exon.niaid.nih.gov/transcriptome/An_gambiae_male_2006/ST1/links/AGM-contig_191-NR.txt","COG0437: Fe-S-cluster-containing ")</f>
        <v>COG0437: Fe-S-cluster-containing </v>
      </c>
      <c r="AD34" s="1" t="str">
        <f>HYPERLINK("http://www.ncbi.nlm.nih.gov/sutils/blink.cgi?pid=48781828","1E-021")</f>
        <v>1E-021</v>
      </c>
      <c r="AE34" s="1" t="s">
        <v>314</v>
      </c>
      <c r="AF34" s="9" t="s">
        <v>442</v>
      </c>
      <c r="AG34" s="6" t="s">
        <v>746</v>
      </c>
      <c r="AH34" s="6" t="s">
        <v>49</v>
      </c>
      <c r="AJ34" s="6">
        <f>AJ33+1</f>
        <v>33</v>
      </c>
    </row>
    <row r="35" spans="1:36" ht="9.75">
      <c r="A35" t="str">
        <f>HYPERLINK("http://exon.niaid.nih.gov/transcriptome/An_gambiae_male_2006/ST1/links/AGM-contig_310.txt","AGM-contig_310")</f>
        <v>AGM-contig_310</v>
      </c>
      <c r="B35" s="1">
        <v>1</v>
      </c>
      <c r="C35" s="1">
        <v>185</v>
      </c>
      <c r="D35" s="1">
        <f>D34+B35</f>
        <v>41</v>
      </c>
      <c r="E35" s="1">
        <v>1.6</v>
      </c>
      <c r="F35" s="1">
        <v>61.6</v>
      </c>
      <c r="G35" s="1">
        <v>166</v>
      </c>
      <c r="H35" t="str">
        <f>HYPERLINK("http://exon.niaid.nih.gov/transcriptome/An_gambiae_male_2006/ST1/links/AGM-7-90-90-asb-310.txt","Contig-310")</f>
        <v>Contig-310</v>
      </c>
      <c r="I35" s="1">
        <v>310</v>
      </c>
      <c r="J35" t="str">
        <f>HYPERLINK("http://exon.niaid.nih.gov/transcriptome/An_gambiae_male_2006/ST1/links/AGM-7-90-90-310-CLU.txt","Contig310")</f>
        <v>Contig310</v>
      </c>
      <c r="K35" t="s">
        <v>177</v>
      </c>
      <c r="L35" s="2" t="str">
        <f>HYPERLINK("http://exon.niaid.nih.gov/transcriptome/An_gambiae_male_2006/ST1/links/AGM-contig_310-AGFRAG.txt","X_Piece#578")</f>
        <v>X_Piece#578</v>
      </c>
      <c r="M35" s="4">
        <v>3E-71</v>
      </c>
      <c r="N35" s="2" t="str">
        <f>HYPERLINK("http://exon.niaid.nih.gov/transcriptome/An_gambiae_male_2006/ST1/links/AGM-contig_310-AG3P.txt","ENSANGP00000021350")</f>
        <v>ENSANGP00000021350</v>
      </c>
      <c r="O35" s="1" t="str">
        <f>HYPERLINK("http://www.anobase.org/cgi-bin/uniexcel_new_var6.pl?proteinname=ENSANGP00000021350","6.E-72")</f>
        <v>6.E-72</v>
      </c>
      <c r="P35" s="2" t="str">
        <f>HYPERLINK("http://exon.niaid.nih.gov/transcriptome/An_gambiae_male_2006/ST1/links/AGM-contig_310-AG5P.txt","ENSANGP00000021343")</f>
        <v>ENSANGP00000021343</v>
      </c>
      <c r="Q35" s="4" t="str">
        <f>HYPERLINK("http://www.anobase.org/cgi-bin/uniexcel_new_var6.pl?proteinname=ENSANGP00000021343","6.E-72")</f>
        <v>6.E-72</v>
      </c>
      <c r="R35" s="2" t="str">
        <f>HYPERLINK("http://exon.niaid.nih.gov/transcriptome/An_gambiae_male_2006/ST1/links/AGM-contig_310-AGPROT.txt","ENSANGP00000015606")</f>
        <v>ENSANGP00000015606</v>
      </c>
      <c r="S35" s="1" t="str">
        <f>HYPERLINK("http://www.ensembl.org/Anopheles_gambiae/protview?peptide=ENSANGP00000015606","0.40")</f>
        <v>0.40</v>
      </c>
      <c r="T35" s="1" t="str">
        <f>HYPERLINK("http://www.anobase.org/cgi-bin/uniexcel_new_var6.pl?proteinname=ENSANGP00000015606","0.40")</f>
        <v>0.40</v>
      </c>
      <c r="AC35" s="2" t="str">
        <f>HYPERLINK("http://exon.niaid.nih.gov/transcriptome/An_gambiae_male_2006/ST1/links/AGM-contig_310-NR.txt","COG1420: Transcriptional regulato")</f>
        <v>COG1420: Transcriptional regulato</v>
      </c>
      <c r="AD35" s="1" t="str">
        <f>HYPERLINK("http://www.ncbi.nlm.nih.gov/sutils/blink.cgi?pid=53689615","9.7")</f>
        <v>9.7</v>
      </c>
      <c r="AE35" s="1" t="s">
        <v>314</v>
      </c>
      <c r="AF35" s="9" t="s">
        <v>345</v>
      </c>
      <c r="AG35" s="6" t="s">
        <v>2</v>
      </c>
      <c r="AH35" s="6" t="s">
        <v>49</v>
      </c>
      <c r="AJ35" s="6">
        <f>AJ34+1</f>
        <v>34</v>
      </c>
    </row>
    <row r="36" spans="1:36" ht="9.75">
      <c r="A36" t="str">
        <f>HYPERLINK("http://exon.niaid.nih.gov/transcriptome/An_gambiae_male_2006/ST1/links/AGM-contig_177.txt","AGM-contig_177")</f>
        <v>AGM-contig_177</v>
      </c>
      <c r="B36" s="1">
        <v>1</v>
      </c>
      <c r="C36" s="1">
        <v>124</v>
      </c>
      <c r="D36" s="1">
        <f>D35+B36</f>
        <v>42</v>
      </c>
      <c r="E36" s="1" t="s">
        <v>209</v>
      </c>
      <c r="F36" s="1">
        <v>68.5</v>
      </c>
      <c r="G36" s="1">
        <v>105</v>
      </c>
      <c r="H36" t="str">
        <f>HYPERLINK("http://exon.niaid.nih.gov/transcriptome/An_gambiae_male_2006/ST1/links/AGM-7-90-90-asb-177.txt","Contig-177")</f>
        <v>Contig-177</v>
      </c>
      <c r="I36" s="1">
        <v>177</v>
      </c>
      <c r="J36" t="str">
        <f>HYPERLINK("http://exon.niaid.nih.gov/transcriptome/An_gambiae_male_2006/ST1/links/AGM-7-90-90-177-CLU.txt","Contig177")</f>
        <v>Contig177</v>
      </c>
      <c r="K36" t="s">
        <v>630</v>
      </c>
      <c r="L36" s="2" t="str">
        <f>HYPERLINK("http://exon.niaid.nih.gov/transcriptome/An_gambiae_male_2006/ST1/links/AGM-contig_177-AGFRAG.txt","2L_Piece#1505")</f>
        <v>2L_Piece#1505</v>
      </c>
      <c r="M36" s="4">
        <v>2E-46</v>
      </c>
      <c r="N36" s="2" t="str">
        <f>HYPERLINK("http://exon.niaid.nih.gov/transcriptome/An_gambiae_male_2006/ST1/links/AGM-contig_177-AG3P.txt","ENSANGP00000020278")</f>
        <v>ENSANGP00000020278</v>
      </c>
      <c r="O36" s="1" t="str">
        <f>HYPERLINK("http://www.anobase.org/cgi-bin/uniexcel_new_var6.pl?proteinname=ENSANGP00000020278","5.E-47")</f>
        <v>5.E-47</v>
      </c>
      <c r="P36" s="2" t="str">
        <f>HYPERLINK("http://exon.niaid.nih.gov/transcriptome/An_gambiae_male_2006/ST1/links/AGM-contig_177-AG5P.txt","ENSANGP00000027570")</f>
        <v>ENSANGP00000027570</v>
      </c>
      <c r="Q36" s="4" t="str">
        <f>HYPERLINK("http://www.anobase.org/cgi-bin/uniexcel_new_var6.pl?proteinname=ENSANGP00000027570","5.E-47")</f>
        <v>5.E-47</v>
      </c>
      <c r="R36" s="2" t="str">
        <f>HYPERLINK("http://exon.niaid.nih.gov/transcriptome/An_gambiae_male_2006/ST1/links/AGM-contig_177-AGPROT.txt","ENSANGP00000023012")</f>
        <v>ENSANGP00000023012</v>
      </c>
      <c r="S36" s="1" t="str">
        <f>HYPERLINK("http://www.ensembl.org/Anopheles_gambiae/protview?peptide=ENSANGP00000023012","0.73")</f>
        <v>0.73</v>
      </c>
      <c r="T36" s="1" t="str">
        <f>HYPERLINK("http://www.anobase.org/cgi-bin/uniexcel_new_var6.pl?proteinname=ENSANGP00000023012","0.73")</f>
        <v>0.73</v>
      </c>
      <c r="U36" s="2" t="str">
        <f>HYPERLINK("http://exon.niaid.nih.gov/transcriptome/An_gambiae_male_2006/ST1/links/AGCDS/AGM-contig_177-AGCDS.txt","ENSANGT00000020278")</f>
        <v>ENSANGT00000020278</v>
      </c>
      <c r="V36" s="1">
        <v>1E-47</v>
      </c>
      <c r="AG36" s="6" t="s">
        <v>844</v>
      </c>
      <c r="AH36" s="6" t="s">
        <v>49</v>
      </c>
      <c r="AJ36" s="6">
        <f>AJ35+1</f>
        <v>35</v>
      </c>
    </row>
    <row r="37" spans="1:38" ht="9.75">
      <c r="A37" t="str">
        <f>HYPERLINK("http://exon.niaid.nih.gov/transcriptome/An_gambiae_male_2006/ST1/links/AGM-contig_356.txt","AGM-contig_356")</f>
        <v>AGM-contig_356</v>
      </c>
      <c r="B37" s="1">
        <v>1</v>
      </c>
      <c r="C37" s="1">
        <v>104</v>
      </c>
      <c r="D37" s="1">
        <f>D36+B37</f>
        <v>43</v>
      </c>
      <c r="E37" s="1" t="s">
        <v>209</v>
      </c>
      <c r="F37" s="1">
        <v>76.9</v>
      </c>
      <c r="G37" s="1">
        <v>76</v>
      </c>
      <c r="H37" t="str">
        <f>HYPERLINK("http://exon.niaid.nih.gov/transcriptome/An_gambiae_male_2006/ST1/links/AGM-7-90-90-asb-356.txt","Contig-356")</f>
        <v>Contig-356</v>
      </c>
      <c r="I37" s="1">
        <v>356</v>
      </c>
      <c r="J37" t="str">
        <f>HYPERLINK("http://exon.niaid.nih.gov/transcriptome/An_gambiae_male_2006/ST1/links/AGM-7-90-90-356-CLU.txt","Contig356")</f>
        <v>Contig356</v>
      </c>
      <c r="K37" t="s">
        <v>296</v>
      </c>
      <c r="R37" s="2" t="str">
        <f>HYPERLINK("http://exon.niaid.nih.gov/transcriptome/An_gambiae_male_2006/ST1/links/AGM-contig_356-AGPROT.txt","ENSANGP00000013929")</f>
        <v>ENSANGP00000013929</v>
      </c>
      <c r="S37" s="1" t="str">
        <f>HYPERLINK("http://www.ensembl.org/Anopheles_gambiae/protview?peptide=ENSANGP00000013929","0.97")</f>
        <v>0.97</v>
      </c>
      <c r="T37" s="1" t="str">
        <f>HYPERLINK("http://www.anobase.org/cgi-bin/uniexcel_new_var6.pl?proteinname=ENSANGP00000013929","0.97")</f>
        <v>0.97</v>
      </c>
      <c r="AA37" s="2" t="str">
        <f>HYPERLINK("http://exon.niaid.nih.gov/transcriptome/An_gambiae_male_2006/ST1/links/AGM-contig_356-AGNUC.txt","AG-contig_31")</f>
        <v>AG-contig_31</v>
      </c>
      <c r="AB37" s="1">
        <v>2E-19</v>
      </c>
      <c r="AG37" s="6" t="s">
        <v>513</v>
      </c>
      <c r="AH37" s="6" t="s">
        <v>49</v>
      </c>
      <c r="AJ37" s="6">
        <f>AJ36+1</f>
        <v>36</v>
      </c>
      <c r="AK37" s="2" t="str">
        <f>HYPERLINK("http://exon.niaid.nih.gov/transcriptome/An_gambiae_male_2006/ST1/links/MIT-PLA/AGM-contig_356-MIT-PLA.txt","Anopheles gambiae mitochondrion, com")</f>
        <v>Anopheles gambiae mitochondrion, com</v>
      </c>
      <c r="AL37" s="4" t="str">
        <f>HYPERLINK("http://www.ncbi.nlm.nih.gov/sutils/blink.cgi?pid=5834911","1E-017")</f>
        <v>1E-017</v>
      </c>
    </row>
    <row r="38" spans="1:40" ht="9.75">
      <c r="A38" t="str">
        <f>HYPERLINK("http://exon.niaid.nih.gov/transcriptome/An_gambiae_male_2006/ST1/links/AGM-contig_209.txt","AGM-contig_209")</f>
        <v>AGM-contig_209</v>
      </c>
      <c r="B38" s="1">
        <v>1</v>
      </c>
      <c r="C38" s="1">
        <v>278</v>
      </c>
      <c r="D38" s="1">
        <f>D37+B38</f>
        <v>44</v>
      </c>
      <c r="E38" s="1" t="s">
        <v>209</v>
      </c>
      <c r="F38" s="1">
        <v>91</v>
      </c>
      <c r="G38" s="1">
        <v>259</v>
      </c>
      <c r="H38" t="str">
        <f>HYPERLINK("http://exon.niaid.nih.gov/transcriptome/An_gambiae_male_2006/ST1/links/AGM-7-90-90-asb-209.txt","Contig-209")</f>
        <v>Contig-209</v>
      </c>
      <c r="I38" s="1">
        <v>209</v>
      </c>
      <c r="J38" t="str">
        <f>HYPERLINK("http://exon.niaid.nih.gov/transcriptome/An_gambiae_male_2006/ST1/links/AGM-7-90-90-209-CLU.txt","Contig209")</f>
        <v>Contig209</v>
      </c>
      <c r="K38" t="s">
        <v>662</v>
      </c>
      <c r="R38" s="2" t="str">
        <f>HYPERLINK("http://exon.niaid.nih.gov/transcriptome/An_gambiae_male_2006/ST1/links/AGM-contig_209-AGPROT.txt","ENSANGP00000024471")</f>
        <v>ENSANGP00000024471</v>
      </c>
      <c r="S38" s="1" t="str">
        <f>HYPERLINK("http://www.ensembl.org/Anopheles_gambiae/protview?peptide=ENSANGP00000024471","1.7")</f>
        <v>1.7</v>
      </c>
      <c r="T38" s="1" t="str">
        <f>HYPERLINK("http://www.anobase.org/cgi-bin/uniexcel_new_var6.pl?proteinname=ENSANGP00000024471","1.7")</f>
        <v>1.7</v>
      </c>
      <c r="AA38" s="2" t="str">
        <f>HYPERLINK("http://exon.niaid.nih.gov/transcriptome/An_gambiae_male_2006/ST1/links/AGM-contig_209-AGNUC.txt","AG-contig_26")</f>
        <v>AG-contig_26</v>
      </c>
      <c r="AB38" s="1">
        <v>1E-146</v>
      </c>
      <c r="AC38" s="2" t="str">
        <f>HYPERLINK("http://exon.niaid.nih.gov/transcriptome/An_gambiae_male_2006/ST1/links/AGM-contig_209-NR.txt","repeat motif protein bdrA6- [Borrelia ")</f>
        <v>repeat motif protein bdrA6- [Borrelia </v>
      </c>
      <c r="AD38" s="1" t="str">
        <f>HYPERLINK("http://www.ncbi.nlm.nih.gov/sutils/blink.cgi?pid=6635303","5.1")</f>
        <v>5.1</v>
      </c>
      <c r="AE38" s="1" t="s">
        <v>313</v>
      </c>
      <c r="AF38" s="9" t="s">
        <v>791</v>
      </c>
      <c r="AG38" s="6" t="s">
        <v>513</v>
      </c>
      <c r="AH38" s="6" t="s">
        <v>49</v>
      </c>
      <c r="AJ38" s="6">
        <f>AJ37+1</f>
        <v>37</v>
      </c>
      <c r="AK38" s="2" t="str">
        <f>HYPERLINK("http://exon.niaid.nih.gov/transcriptome/An_gambiae_male_2006/ST1/links/MIT-PLA/AGM-contig_209-MIT-PLA.txt","Anopheles gambiae mitochondrion, com")</f>
        <v>Anopheles gambiae mitochondrion, com</v>
      </c>
      <c r="AL38" s="4" t="str">
        <f>HYPERLINK("http://www.ncbi.nlm.nih.gov/sutils/blink.cgi?pid=5834911","1E-145")</f>
        <v>1E-145</v>
      </c>
      <c r="AM38" s="2" t="str">
        <f>HYPERLINK("http://exon.niaid.nih.gov/transcriptome/An_gambiae_male_2006/ST1/links/RRNA/AGM-contig_209-RRNA.txt","Glossina morsitans morsitans 16S ribosoma")</f>
        <v>Glossina morsitans morsitans 16S ribosoma</v>
      </c>
      <c r="AN38" s="4">
        <v>2E-07</v>
      </c>
    </row>
    <row r="39" spans="1:38" ht="9.75">
      <c r="A39" t="str">
        <f>HYPERLINK("http://exon.niaid.nih.gov/transcriptome/An_gambiae_male_2006/ST1/links/AGM-contig_61.txt","AGM-contig_61")</f>
        <v>AGM-contig_61</v>
      </c>
      <c r="B39" s="1">
        <v>3</v>
      </c>
      <c r="C39" s="1">
        <v>407</v>
      </c>
      <c r="D39" s="1">
        <f>D38+B39</f>
        <v>47</v>
      </c>
      <c r="E39" s="1" t="s">
        <v>209</v>
      </c>
      <c r="F39" s="1">
        <v>71.3</v>
      </c>
      <c r="G39" s="1">
        <v>388</v>
      </c>
      <c r="H39" t="str">
        <f>HYPERLINK("http://exon.niaid.nih.gov/transcriptome/An_gambiae_male_2006/ST1/links/AGM-7-90-90-asb-61.txt","Contig-61")</f>
        <v>Contig-61</v>
      </c>
      <c r="I39" s="1">
        <v>61</v>
      </c>
      <c r="J39" t="str">
        <f>HYPERLINK("http://exon.niaid.nih.gov/transcriptome/An_gambiae_male_2006/ST1/links/AGM-7-90-90-61-CLU.txt","Contig61")</f>
        <v>Contig61</v>
      </c>
      <c r="K39" t="s">
        <v>271</v>
      </c>
      <c r="R39" s="2" t="str">
        <f>HYPERLINK("http://exon.niaid.nih.gov/transcriptome/An_gambiae_male_2006/ST1/links/AGM-contig_61-AGPROT.txt","ENSANGP00000010918")</f>
        <v>ENSANGP00000010918</v>
      </c>
      <c r="S39" s="1" t="str">
        <f>HYPERLINK("http://www.ensembl.org/Anopheles_gambiae/protview?peptide=ENSANGP00000010918","2.8")</f>
        <v>2.8</v>
      </c>
      <c r="T39" s="1" t="str">
        <f>HYPERLINK("http://www.anobase.org/cgi-bin/uniexcel_new_var6.pl?proteinname=ENSANGP00000010918","2.8")</f>
        <v>2.8</v>
      </c>
      <c r="AA39" s="2" t="str">
        <f>HYPERLINK("http://exon.niaid.nih.gov/transcriptome/An_gambiae_male_2006/ST1/links/AGM-contig_61-AGNUC.txt","AG-contig_151")</f>
        <v>AG-contig_151</v>
      </c>
      <c r="AB39" s="1">
        <v>0</v>
      </c>
      <c r="AC39" s="2" t="str">
        <f>HYPERLINK("http://exon.niaid.nih.gov/transcriptome/An_gambiae_male_2006/ST1/links/AGM-contig_61-NR.txt","cytochrome c oxidase subunit II [Anop")</f>
        <v>cytochrome c oxidase subunit II [Anop</v>
      </c>
      <c r="AD39" s="1" t="str">
        <f>HYPERLINK("http://www.ncbi.nlm.nih.gov/sutils/blink.cgi?pid=15866973","5E-056")</f>
        <v>5E-056</v>
      </c>
      <c r="AE39" s="1" t="s">
        <v>313</v>
      </c>
      <c r="AF39" s="9" t="s">
        <v>811</v>
      </c>
      <c r="AG39" s="6" t="s">
        <v>513</v>
      </c>
      <c r="AH39" s="6" t="s">
        <v>49</v>
      </c>
      <c r="AJ39" s="6">
        <f>AJ38+1</f>
        <v>38</v>
      </c>
      <c r="AK39" s="2" t="str">
        <f>HYPERLINK("http://exon.niaid.nih.gov/transcriptome/An_gambiae_male_2006/ST1/links/MIT-PLA/AGM-contig_61-MIT-PLA.txt","Anopheles gambiae mitochondrion, com")</f>
        <v>Anopheles gambiae mitochondrion, com</v>
      </c>
      <c r="AL39" s="4" t="str">
        <f>HYPERLINK("http://www.ncbi.nlm.nih.gov/sutils/blink.cgi?pid=5834911","0.0")</f>
        <v>0.0</v>
      </c>
    </row>
    <row r="40" spans="1:36" ht="9.75">
      <c r="A40" t="str">
        <f>HYPERLINK("http://exon.niaid.nih.gov/transcriptome/An_gambiae_male_2006/ST1/links/AGM-contig_92.txt","AGM-contig_92")</f>
        <v>AGM-contig_92</v>
      </c>
      <c r="B40" s="1">
        <v>2</v>
      </c>
      <c r="C40" s="1">
        <v>102</v>
      </c>
      <c r="D40" s="1">
        <f>D39+B40</f>
        <v>49</v>
      </c>
      <c r="E40" s="1" t="s">
        <v>209</v>
      </c>
      <c r="F40" s="1">
        <v>67.6</v>
      </c>
      <c r="G40" s="1">
        <v>83</v>
      </c>
      <c r="H40" t="str">
        <f>HYPERLINK("http://exon.niaid.nih.gov/transcriptome/An_gambiae_male_2006/ST1/links/AGM-7-90-90-asb-92.txt","Contig-92")</f>
        <v>Contig-92</v>
      </c>
      <c r="I40" s="1">
        <v>92</v>
      </c>
      <c r="J40" t="str">
        <f>HYPERLINK("http://exon.niaid.nih.gov/transcriptome/An_gambiae_male_2006/ST1/links/AGM-7-90-90-92-CLU.txt","Contig92")</f>
        <v>Contig92</v>
      </c>
      <c r="K40" t="s">
        <v>545</v>
      </c>
      <c r="L40" s="2" t="str">
        <f>HYPERLINK("http://exon.niaid.nih.gov/transcriptome/An_gambiae_male_2006/ST1/links/AGM-contig_92-AGFRAG.txt","2L_Piece#1505")</f>
        <v>2L_Piece#1505</v>
      </c>
      <c r="M40" s="4">
        <v>9E-33</v>
      </c>
      <c r="N40" s="2" t="str">
        <f>HYPERLINK("http://exon.niaid.nih.gov/transcriptome/An_gambiae_male_2006/ST1/links/AGM-contig_92-AG3P.txt","ENSANGP00000020278")</f>
        <v>ENSANGP00000020278</v>
      </c>
      <c r="O40" s="1" t="str">
        <f>HYPERLINK("http://www.anobase.org/cgi-bin/uniexcel_new_var6.pl?proteinname=ENSANGP00000020278","2.E-33")</f>
        <v>2.E-33</v>
      </c>
      <c r="P40" s="2" t="str">
        <f>HYPERLINK("http://exon.niaid.nih.gov/transcriptome/An_gambiae_male_2006/ST1/links/AGM-contig_92-AG5P.txt","ENSANGP00000027570")</f>
        <v>ENSANGP00000027570</v>
      </c>
      <c r="Q40" s="4" t="str">
        <f>HYPERLINK("http://www.anobase.org/cgi-bin/uniexcel_new_var6.pl?proteinname=ENSANGP00000027570","2.E-33")</f>
        <v>2.E-33</v>
      </c>
      <c r="R40" s="2" t="str">
        <f>HYPERLINK("http://exon.niaid.nih.gov/transcriptome/An_gambiae_male_2006/ST1/links/AGM-contig_92-AGPROT.txt","ENSANGP00000009426")</f>
        <v>ENSANGP00000009426</v>
      </c>
      <c r="S40" s="1" t="str">
        <f>HYPERLINK("http://www.ensembl.org/Anopheles_gambiae/protview?peptide=ENSANGP00000009426","3.8")</f>
        <v>3.8</v>
      </c>
      <c r="T40" s="1" t="str">
        <f>HYPERLINK("http://www.anobase.org/cgi-bin/uniexcel_new_var6.pl?proteinname=ENSANGP00000009426","3.8")</f>
        <v>3.8</v>
      </c>
      <c r="U40" s="2" t="str">
        <f>HYPERLINK("http://exon.niaid.nih.gov/transcriptome/An_gambiae_male_2006/ST1/links/AGCDS/AGM-contig_92-AGCDS.txt","ENSANGT00000020278")</f>
        <v>ENSANGT00000020278</v>
      </c>
      <c r="V40" s="1">
        <v>5E-34</v>
      </c>
      <c r="AA40" s="2" t="str">
        <f>HYPERLINK("http://exon.niaid.nih.gov/transcriptome/An_gambiae_male_2006/ST1/links/AGM-contig_92-AGNUC.txt","AG-contig_172")</f>
        <v>AG-contig_172</v>
      </c>
      <c r="AB40" s="1">
        <v>2E-29</v>
      </c>
      <c r="AG40" s="6" t="s">
        <v>844</v>
      </c>
      <c r="AH40" s="6" t="s">
        <v>49</v>
      </c>
      <c r="AJ40" s="6">
        <f>AJ39+1</f>
        <v>39</v>
      </c>
    </row>
    <row r="41" spans="1:38" ht="9.75">
      <c r="A41" t="str">
        <f>HYPERLINK("http://exon.niaid.nih.gov/transcriptome/An_gambiae_male_2006/ST1/links/AGM-contig_63.txt","AGM-contig_63")</f>
        <v>AGM-contig_63</v>
      </c>
      <c r="B41" s="1">
        <v>3</v>
      </c>
      <c r="C41" s="1">
        <v>244</v>
      </c>
      <c r="D41" s="1">
        <f>D40+B41</f>
        <v>52</v>
      </c>
      <c r="E41" s="1" t="s">
        <v>209</v>
      </c>
      <c r="F41" s="1">
        <v>71.7</v>
      </c>
      <c r="G41" s="1">
        <v>225</v>
      </c>
      <c r="H41" t="str">
        <f>HYPERLINK("http://exon.niaid.nih.gov/transcriptome/An_gambiae_male_2006/ST1/links/AGM-7-90-90-asb-63.txt","Contig-63")</f>
        <v>Contig-63</v>
      </c>
      <c r="I41" s="1">
        <v>63</v>
      </c>
      <c r="J41" t="str">
        <f>HYPERLINK("http://exon.niaid.nih.gov/transcriptome/An_gambiae_male_2006/ST1/links/AGM-7-90-90-63-CLU.txt","Contig63")</f>
        <v>Contig63</v>
      </c>
      <c r="K41" t="s">
        <v>516</v>
      </c>
      <c r="R41" s="2" t="str">
        <f>HYPERLINK("http://exon.niaid.nih.gov/transcriptome/An_gambiae_male_2006/ST1/links/AGM-contig_63-AGPROT.txt","ENSANGP00000016795")</f>
        <v>ENSANGP00000016795</v>
      </c>
      <c r="S41" s="1" t="str">
        <f>HYPERLINK("http://www.ensembl.org/Anopheles_gambiae/protview?peptide=ENSANGP00000016795","4.2")</f>
        <v>4.2</v>
      </c>
      <c r="T41" s="1" t="str">
        <f>HYPERLINK("http://www.anobase.org/cgi-bin/uniexcel_new_var6.pl?proteinname=ENSANGP00000016795","4.2")</f>
        <v>4.2</v>
      </c>
      <c r="AA41" s="2" t="str">
        <f>HYPERLINK("http://exon.niaid.nih.gov/transcriptome/An_gambiae_male_2006/ST1/links/AGM-contig_63-AGNUC.txt","AG-contig_86")</f>
        <v>AG-contig_86</v>
      </c>
      <c r="AB41" s="1">
        <v>1E-125</v>
      </c>
      <c r="AC41" s="2" t="str">
        <f>HYPERLINK("http://exon.niaid.nih.gov/transcriptome/An_gambiae_male_2006/ST1/links/AGM-contig_63-NR.txt","Cytochrome c oxidase polypeptide I     135   3e-031")</f>
        <v>Cytochrome c oxidase polypeptide I     135   3e-031</v>
      </c>
      <c r="AD41" s="1" t="str">
        <f>HYPERLINK("http://www.ncbi.nlm.nih.gov/sutils/blink.cgi?pid=461780","3E-031")</f>
        <v>3E-031</v>
      </c>
      <c r="AE41" s="1" t="s">
        <v>313</v>
      </c>
      <c r="AF41" s="9" t="s">
        <v>449</v>
      </c>
      <c r="AG41" s="6" t="s">
        <v>513</v>
      </c>
      <c r="AH41" s="6" t="s">
        <v>49</v>
      </c>
      <c r="AJ41" s="6">
        <f>AJ40+1</f>
        <v>40</v>
      </c>
      <c r="AK41" s="2" t="str">
        <f>HYPERLINK("http://exon.niaid.nih.gov/transcriptome/An_gambiae_male_2006/ST1/links/MIT-PLA/AGM-contig_63-MIT-PLA.txt","Anopheles gambiae mitochondrion, com")</f>
        <v>Anopheles gambiae mitochondrion, com</v>
      </c>
      <c r="AL41" s="4" t="str">
        <f>HYPERLINK("http://www.ncbi.nlm.nih.gov/sutils/blink.cgi?pid=5834911","1E-122")</f>
        <v>1E-122</v>
      </c>
    </row>
    <row r="42" spans="1:38" ht="9.75">
      <c r="A42" t="str">
        <f>HYPERLINK("http://exon.niaid.nih.gov/transcriptome/An_gambiae_male_2006/ST1/links/AGM-contig_261.txt","AGM-contig_261")</f>
        <v>AGM-contig_261</v>
      </c>
      <c r="B42" s="1">
        <v>1</v>
      </c>
      <c r="C42" s="1">
        <v>378</v>
      </c>
      <c r="D42" s="1">
        <f>D41+B42</f>
        <v>53</v>
      </c>
      <c r="E42" s="1">
        <v>0.5</v>
      </c>
      <c r="F42" s="1">
        <v>77.8</v>
      </c>
      <c r="G42" s="1">
        <v>359</v>
      </c>
      <c r="H42" t="str">
        <f>HYPERLINK("http://exon.niaid.nih.gov/transcriptome/An_gambiae_male_2006/ST1/links/AGM-7-90-90-asb-261.txt","Contig-261")</f>
        <v>Contig-261</v>
      </c>
      <c r="I42" s="1">
        <v>261</v>
      </c>
      <c r="J42" t="str">
        <f>HYPERLINK("http://exon.niaid.nih.gov/transcriptome/An_gambiae_male_2006/ST1/links/AGM-7-90-90-261-CLU.txt","Contig261")</f>
        <v>Contig261</v>
      </c>
      <c r="K42" t="s">
        <v>714</v>
      </c>
      <c r="R42" s="2" t="str">
        <f>HYPERLINK("http://exon.niaid.nih.gov/transcriptome/An_gambiae_male_2006/ST1/links/AGM-contig_261-AGPROT.txt","ENSANGP00000024257")</f>
        <v>ENSANGP00000024257</v>
      </c>
      <c r="S42" s="1" t="str">
        <f>HYPERLINK("http://www.ensembl.org/Anopheles_gambiae/protview?peptide=ENSANGP00000024257","5.2")</f>
        <v>5.2</v>
      </c>
      <c r="T42" s="1" t="str">
        <f>HYPERLINK("http://www.anobase.org/cgi-bin/uniexcel_new_var6.pl?proteinname=ENSANGP00000024257","5.2")</f>
        <v>5.2</v>
      </c>
      <c r="AA42" s="2" t="str">
        <f>HYPERLINK("http://exon.niaid.nih.gov/transcriptome/An_gambiae_male_2006/ST1/links/AGM-contig_261-AGNUC.txt","AG-contig_239")</f>
        <v>AG-contig_239</v>
      </c>
      <c r="AB42" s="1">
        <v>5E-79</v>
      </c>
      <c r="AC42" s="2" t="str">
        <f>HYPERLINK("http://exon.niaid.nih.gov/transcriptome/An_gambiae_male_2006/ST1/links/AGM-contig_261-NR.txt","NADH dehydrogenase subunit 1 [Anopheles")</f>
        <v>NADH dehydrogenase subunit 1 [Anopheles</v>
      </c>
      <c r="AD42" s="1" t="str">
        <f>HYPERLINK("http://www.ncbi.nlm.nih.gov/sutils/blink.cgi?pid=309069","8E-049")</f>
        <v>8E-049</v>
      </c>
      <c r="AE42" s="1" t="s">
        <v>313</v>
      </c>
      <c r="AF42" s="9" t="s">
        <v>815</v>
      </c>
      <c r="AG42" s="6" t="s">
        <v>513</v>
      </c>
      <c r="AH42" s="6" t="s">
        <v>49</v>
      </c>
      <c r="AJ42" s="6">
        <f>AJ41+1</f>
        <v>41</v>
      </c>
      <c r="AK42" s="2" t="str">
        <f>HYPERLINK("http://exon.niaid.nih.gov/transcriptome/An_gambiae_male_2006/ST1/links/MIT-PLA/AGM-contig_261-MIT-PLA.txt","Anopheles gambiae mitochondrion, com")</f>
        <v>Anopheles gambiae mitochondrion, com</v>
      </c>
      <c r="AL42" s="4" t="str">
        <f>HYPERLINK("http://www.ncbi.nlm.nih.gov/sutils/blink.cgi?pid=5834911","0.0")</f>
        <v>0.0</v>
      </c>
    </row>
    <row r="43" spans="1:38" ht="9.75">
      <c r="A43" t="str">
        <f>HYPERLINK("http://exon.niaid.nih.gov/transcriptome/An_gambiae_male_2006/ST1/links/AGM-contig_96.txt","AGM-contig_96")</f>
        <v>AGM-contig_96</v>
      </c>
      <c r="B43" s="1">
        <v>2</v>
      </c>
      <c r="C43" s="1">
        <v>498</v>
      </c>
      <c r="D43" s="1">
        <f>D42+B43</f>
        <v>55</v>
      </c>
      <c r="E43" s="1" t="s">
        <v>209</v>
      </c>
      <c r="F43" s="1">
        <v>77.3</v>
      </c>
      <c r="G43" s="1">
        <v>479</v>
      </c>
      <c r="H43" t="str">
        <f>HYPERLINK("http://exon.niaid.nih.gov/transcriptome/An_gambiae_male_2006/ST1/links/AGM-7-90-90-asb-96.txt","Contig-96")</f>
        <v>Contig-96</v>
      </c>
      <c r="I43" s="1">
        <v>96</v>
      </c>
      <c r="J43" t="str">
        <f>HYPERLINK("http://exon.niaid.nih.gov/transcriptome/An_gambiae_male_2006/ST1/links/AGM-7-90-90-96-CLU.txt","Contig96")</f>
        <v>Contig96</v>
      </c>
      <c r="K43" t="s">
        <v>549</v>
      </c>
      <c r="R43" s="2" t="str">
        <f>HYPERLINK("http://exon.niaid.nih.gov/transcriptome/An_gambiae_male_2006/ST1/links/AGM-contig_96-AGPROT.txt","ENSANGP00000004125")</f>
        <v>ENSANGP00000004125</v>
      </c>
      <c r="S43" s="1" t="str">
        <f>HYPERLINK("http://www.ensembl.org/Anopheles_gambiae/protview?peptide=ENSANGP00000004125","5.5")</f>
        <v>5.5</v>
      </c>
      <c r="T43" s="1" t="str">
        <f>HYPERLINK("http://www.anobase.org/cgi-bin/uniexcel_new_var6.pl?proteinname=ENSANGP00000004125","5.5")</f>
        <v>5.5</v>
      </c>
      <c r="AA43" s="2" t="str">
        <f>HYPERLINK("http://exon.niaid.nih.gov/transcriptome/An_gambiae_male_2006/ST1/links/AGM-contig_96-AGNUC.txt","AG-contig_760")</f>
        <v>AG-contig_760</v>
      </c>
      <c r="AB43" s="1">
        <v>0</v>
      </c>
      <c r="AC43" s="2" t="str">
        <f>HYPERLINK("http://exon.niaid.nih.gov/transcriptome/An_gambiae_male_2006/ST1/links/AGM-contig_96-NR.txt","NADH dehydrogenase (ubiquinone) chain")</f>
        <v>NADH dehydrogenase (ubiquinone) chain</v>
      </c>
      <c r="AD43" s="1" t="str">
        <f>HYPERLINK("http://www.ncbi.nlm.nih.gov/sutils/blink.cgi?pid=5101673","1E-054")</f>
        <v>1E-054</v>
      </c>
      <c r="AE43" s="1" t="s">
        <v>313</v>
      </c>
      <c r="AF43" s="9" t="s">
        <v>813</v>
      </c>
      <c r="AG43" s="6" t="s">
        <v>513</v>
      </c>
      <c r="AH43" s="6" t="s">
        <v>49</v>
      </c>
      <c r="AJ43" s="6">
        <f>AJ42+1</f>
        <v>42</v>
      </c>
      <c r="AK43" s="2" t="str">
        <f>HYPERLINK("http://exon.niaid.nih.gov/transcriptome/An_gambiae_male_2006/ST1/links/MIT-PLA/AGM-contig_96-MIT-PLA.txt","Anopheles gambiae mitochondrion, com")</f>
        <v>Anopheles gambiae mitochondrion, com</v>
      </c>
      <c r="AL43" s="4" t="str">
        <f>HYPERLINK("http://www.ncbi.nlm.nih.gov/sutils/blink.cgi?pid=5834911","0.0")</f>
        <v>0.0</v>
      </c>
    </row>
    <row r="44" spans="1:40" ht="9.75">
      <c r="A44" t="str">
        <f>HYPERLINK("http://exon.niaid.nih.gov/transcriptome/An_gambiae_male_2006/ST1/links/AGM-contig_49.txt","AGM-contig_49")</f>
        <v>AGM-contig_49</v>
      </c>
      <c r="B44" s="1">
        <v>1</v>
      </c>
      <c r="C44" s="1">
        <v>121</v>
      </c>
      <c r="D44" s="1">
        <f>D43+B44</f>
        <v>56</v>
      </c>
      <c r="E44" s="1" t="s">
        <v>209</v>
      </c>
      <c r="F44" s="1">
        <v>78.5</v>
      </c>
      <c r="G44" s="1">
        <v>102</v>
      </c>
      <c r="H44" t="str">
        <f>HYPERLINK("http://exon.niaid.nih.gov/transcriptome/An_gambiae_male_2006/ST1/links/AGM-7-90-90-asb-49.txt","Contig-49")</f>
        <v>Contig-49</v>
      </c>
      <c r="I44" s="1">
        <v>49</v>
      </c>
      <c r="J44" t="str">
        <f>HYPERLINK("http://exon.niaid.nih.gov/transcriptome/An_gambiae_male_2006/ST1/links/AGM-7-90-90-49-CLU.txt","Contig49")</f>
        <v>Contig49</v>
      </c>
      <c r="K44" t="s">
        <v>258</v>
      </c>
      <c r="R44" s="2" t="str">
        <f>HYPERLINK("http://exon.niaid.nih.gov/transcriptome/An_gambiae_male_2006/ST1/links/AGM-contig_49-AGPROT.txt","ENSANGP00000029593")</f>
        <v>ENSANGP00000029593</v>
      </c>
      <c r="S44" s="1" t="str">
        <f>HYPERLINK("http://www.ensembl.org/Anopheles_gambiae/protview?peptide=ENSANGP00000029593","8.1")</f>
        <v>8.1</v>
      </c>
      <c r="T44" s="1" t="str">
        <f>HYPERLINK("http://www.anobase.org/cgi-bin/uniexcel_new_var6.pl?proteinname=ENSANGP00000029593","8.1")</f>
        <v>8.1</v>
      </c>
      <c r="AA44" s="2" t="str">
        <f>HYPERLINK("http://exon.niaid.nih.gov/transcriptome/An_gambiae_male_2006/ST1/links/AGM-contig_49-AGNUC.txt","AG-contig_31")</f>
        <v>AG-contig_31</v>
      </c>
      <c r="AB44" s="1">
        <v>3E-44</v>
      </c>
      <c r="AG44" s="6" t="s">
        <v>513</v>
      </c>
      <c r="AH44" s="6" t="s">
        <v>49</v>
      </c>
      <c r="AJ44" s="6">
        <f>AJ43+1</f>
        <v>43</v>
      </c>
      <c r="AK44" s="2" t="str">
        <f>HYPERLINK("http://exon.niaid.nih.gov/transcriptome/An_gambiae_male_2006/ST1/links/MIT-PLA/AGM-contig_49-MIT-PLA.txt","Anopheles gambiae mitochondrion, com")</f>
        <v>Anopheles gambiae mitochondrion, com</v>
      </c>
      <c r="AL44" s="4" t="str">
        <f>HYPERLINK("http://www.ncbi.nlm.nih.gov/sutils/blink.cgi?pid=5834911","1E-042")</f>
        <v>1E-042</v>
      </c>
      <c r="AM44" s="2" t="str">
        <f>HYPERLINK("http://exon.niaid.nih.gov/transcriptome/An_gambiae_male_2006/ST1/links/RRNA/AGM-contig_49-RRNA.txt","Glossina morsitans morsitans 16S ribosoma")</f>
        <v>Glossina morsitans morsitans 16S ribosoma</v>
      </c>
      <c r="AN44" s="4">
        <v>8E-14</v>
      </c>
    </row>
    <row r="45" spans="1:38" ht="9.75">
      <c r="A45" t="str">
        <f>HYPERLINK("http://exon.niaid.nih.gov/transcriptome/An_gambiae_male_2006/ST1/links/AGM-contig_340.txt","AGM-contig_340")</f>
        <v>AGM-contig_340</v>
      </c>
      <c r="B45" s="1">
        <v>1</v>
      </c>
      <c r="C45" s="1">
        <v>106</v>
      </c>
      <c r="D45" s="1">
        <f>D44+B45</f>
        <v>57</v>
      </c>
      <c r="E45" s="1">
        <v>4.7</v>
      </c>
      <c r="F45" s="1">
        <v>74.5</v>
      </c>
      <c r="G45" s="1">
        <v>59</v>
      </c>
      <c r="H45" t="str">
        <f>HYPERLINK("http://exon.niaid.nih.gov/transcriptome/An_gambiae_male_2006/ST1/links/AGM-7-90-90-asb-340.txt","Contig-340")</f>
        <v>Contig-340</v>
      </c>
      <c r="I45" s="1">
        <v>340</v>
      </c>
      <c r="J45" t="str">
        <f>HYPERLINK("http://exon.niaid.nih.gov/transcriptome/An_gambiae_male_2006/ST1/links/AGM-7-90-90-340-CLU.txt","Contig340")</f>
        <v>Contig340</v>
      </c>
      <c r="K45" t="s">
        <v>280</v>
      </c>
      <c r="AA45" s="2" t="str">
        <f>HYPERLINK("http://exon.niaid.nih.gov/transcriptome/An_gambiae_male_2006/ST1/links/AGM-contig_340-AGNUC.txt","AG-contig_31")</f>
        <v>AG-contig_31</v>
      </c>
      <c r="AB45" s="1">
        <v>7E-23</v>
      </c>
      <c r="AG45" s="6" t="s">
        <v>513</v>
      </c>
      <c r="AH45" s="6" t="s">
        <v>49</v>
      </c>
      <c r="AJ45" s="6">
        <f>AJ44+1</f>
        <v>44</v>
      </c>
      <c r="AK45" s="2" t="str">
        <f>HYPERLINK("http://exon.niaid.nih.gov/transcriptome/An_gambiae_male_2006/ST1/links/MIT-PLA/AGM-contig_340-MIT-PLA.txt","Anopheles gambiae mitochondrion, com")</f>
        <v>Anopheles gambiae mitochondrion, com</v>
      </c>
      <c r="AL45" s="4" t="str">
        <f>HYPERLINK("http://www.ncbi.nlm.nih.gov/sutils/blink.cgi?pid=5834911","2E-019")</f>
        <v>2E-019</v>
      </c>
    </row>
    <row r="46" spans="1:40" ht="9.75">
      <c r="A46" t="str">
        <f>HYPERLINK("http://exon.niaid.nih.gov/transcriptome/An_gambiae_male_2006/ST1/links/AGM-contig_48.txt","AGM-contig_48")</f>
        <v>AGM-contig_48</v>
      </c>
      <c r="B46" s="1">
        <v>40</v>
      </c>
      <c r="C46" s="1">
        <v>540</v>
      </c>
      <c r="D46" s="1">
        <f>D45+B46</f>
        <v>97</v>
      </c>
      <c r="E46" s="1">
        <v>2.2</v>
      </c>
      <c r="F46" s="1">
        <v>75.6</v>
      </c>
      <c r="G46" s="1">
        <v>521</v>
      </c>
      <c r="H46" t="str">
        <f>HYPERLINK("http://exon.niaid.nih.gov/transcriptome/An_gambiae_male_2006/ST1/links/AGM-7-90-90-asb-48.txt","Contig-48")</f>
        <v>Contig-48</v>
      </c>
      <c r="I46" s="1">
        <v>48</v>
      </c>
      <c r="J46" t="str">
        <f>HYPERLINK("http://exon.niaid.nih.gov/transcriptome/An_gambiae_male_2006/ST1/links/AGM-7-90-90-48-CLU.txt","Contig48")</f>
        <v>Contig48</v>
      </c>
      <c r="K46" t="s">
        <v>257</v>
      </c>
      <c r="AA46" s="2" t="str">
        <f>HYPERLINK("http://exon.niaid.nih.gov/transcriptome/An_gambiae_male_2006/ST1/links/AGM-contig_48-AGNUC.txt","AG-contig_30")</f>
        <v>AG-contig_30</v>
      </c>
      <c r="AB46" s="1">
        <v>0</v>
      </c>
      <c r="AC46" s="2" t="str">
        <f>HYPERLINK("http://exon.niaid.nih.gov/transcriptome/An_gambiae_male_2006/ST1/links/AGM-contig_48-NR.txt","ymf77 [Tetrahymena thermophila] &gt;gnl|")</f>
        <v>ymf77 [Tetrahymena thermophila] &gt;gnl|</v>
      </c>
      <c r="AD46" s="1" t="str">
        <f>HYPERLINK("http://www.ncbi.nlm.nih.gov/sutils/blink.cgi?pid=15011496","1.2")</f>
        <v>1.2</v>
      </c>
      <c r="AE46" s="1" t="s">
        <v>314</v>
      </c>
      <c r="AF46" s="9" t="s">
        <v>790</v>
      </c>
      <c r="AG46" s="6" t="s">
        <v>513</v>
      </c>
      <c r="AH46" s="6" t="s">
        <v>49</v>
      </c>
      <c r="AJ46" s="6">
        <f>AJ45+1</f>
        <v>45</v>
      </c>
      <c r="AK46" s="2" t="str">
        <f>HYPERLINK("http://exon.niaid.nih.gov/transcriptome/An_gambiae_male_2006/ST1/links/MIT-PLA/AGM-contig_48-MIT-PLA.txt","Anopheles gambiae mitochondrion, com")</f>
        <v>Anopheles gambiae mitochondrion, com</v>
      </c>
      <c r="AL46" s="4" t="str">
        <f>HYPERLINK("http://www.ncbi.nlm.nih.gov/sutils/blink.cgi?pid=5834911","0.0")</f>
        <v>0.0</v>
      </c>
      <c r="AM46" s="2" t="str">
        <f>HYPERLINK("http://exon.niaid.nih.gov/transcriptome/An_gambiae_male_2006/ST1/links/RRNA/AGM-contig_48-RRNA.txt","Glossina morsitans morsitans 16S ribosoma")</f>
        <v>Glossina morsitans morsitans 16S ribosoma</v>
      </c>
      <c r="AN46" s="4">
        <v>8E-67</v>
      </c>
    </row>
    <row r="47" spans="1:36" ht="9.75">
      <c r="A47" t="str">
        <f>HYPERLINK("http://exon.niaid.nih.gov/transcriptome/An_gambiae_male_2006/ST1/links/AGM-contig_166.txt","AGM-contig_166")</f>
        <v>AGM-contig_166</v>
      </c>
      <c r="B47" s="1">
        <v>1</v>
      </c>
      <c r="C47" s="1">
        <v>113</v>
      </c>
      <c r="D47" s="1">
        <f>D46+B47</f>
        <v>98</v>
      </c>
      <c r="E47" s="1" t="s">
        <v>209</v>
      </c>
      <c r="F47" s="1">
        <v>77</v>
      </c>
      <c r="G47" s="1">
        <v>53</v>
      </c>
      <c r="H47" t="str">
        <f>HYPERLINK("http://exon.niaid.nih.gov/transcriptome/An_gambiae_male_2006/ST1/links/AGM-7-90-90-asb-166.txt","Contig-166")</f>
        <v>Contig-166</v>
      </c>
      <c r="I47" s="1">
        <v>166</v>
      </c>
      <c r="J47" t="str">
        <f>HYPERLINK("http://exon.niaid.nih.gov/transcriptome/An_gambiae_male_2006/ST1/links/AGM-7-90-90-166-CLU.txt","Contig166")</f>
        <v>Contig166</v>
      </c>
      <c r="K47" t="s">
        <v>619</v>
      </c>
      <c r="L47" s="2" t="str">
        <f>HYPERLINK("http://exon.niaid.nih.gov/transcriptome/An_gambiae_male_2006/ST1/links/AGM-contig_166-AGFRAG.txt","X_Piece#72")</f>
        <v>X_Piece#72</v>
      </c>
      <c r="M47" s="4">
        <v>1E-13</v>
      </c>
      <c r="AA47" s="2" t="str">
        <f>HYPERLINK("http://exon.niaid.nih.gov/transcriptome/An_gambiae_male_2006/ST1/links/AGM-contig_166-AGNUC.txt","AG-contig_455")</f>
        <v>AG-contig_455</v>
      </c>
      <c r="AB47" s="1">
        <v>3E-16</v>
      </c>
      <c r="AG47" s="6" t="s">
        <v>357</v>
      </c>
      <c r="AH47" s="6" t="s">
        <v>49</v>
      </c>
      <c r="AJ47" s="6">
        <f>AJ46+1</f>
        <v>46</v>
      </c>
    </row>
    <row r="48" spans="1:38" ht="9.75">
      <c r="A48" t="str">
        <f>HYPERLINK("http://exon.niaid.nih.gov/transcriptome/An_gambiae_male_2006/ST1/links/AGM-contig_339.txt","AGM-contig_339")</f>
        <v>AGM-contig_339</v>
      </c>
      <c r="B48" s="1">
        <v>1</v>
      </c>
      <c r="C48" s="1">
        <v>191</v>
      </c>
      <c r="D48" s="1">
        <f>D47+B48</f>
        <v>99</v>
      </c>
      <c r="E48" s="1">
        <v>0.5</v>
      </c>
      <c r="F48" s="1">
        <v>91.6</v>
      </c>
      <c r="G48" s="1">
        <v>121</v>
      </c>
      <c r="H48" t="str">
        <f>HYPERLINK("http://exon.niaid.nih.gov/transcriptome/An_gambiae_male_2006/ST1/links/AGM-7-90-90-asb-339.txt","Contig-339")</f>
        <v>Contig-339</v>
      </c>
      <c r="I48" s="1">
        <v>339</v>
      </c>
      <c r="J48" t="str">
        <f>HYPERLINK("http://exon.niaid.nih.gov/transcriptome/An_gambiae_male_2006/ST1/links/AGM-7-90-90-339-CLU.txt","Contig339")</f>
        <v>Contig339</v>
      </c>
      <c r="K48" t="s">
        <v>279</v>
      </c>
      <c r="AC48" s="2" t="str">
        <f>HYPERLINK("http://exon.niaid.nih.gov/transcriptome/An_gambiae_male_2006/ST1/links/AGM-contig_339-NR.txt","NADH dehydrogenase subunit 2 [Anophele")</f>
        <v>NADH dehydrogenase subunit 2 [Anophele</v>
      </c>
      <c r="AD48" s="1" t="str">
        <f>HYPERLINK("http://www.ncbi.nlm.nih.gov/sutils/blink.cgi?pid=2731363","2E-009")</f>
        <v>2E-009</v>
      </c>
      <c r="AE48" s="1" t="s">
        <v>313</v>
      </c>
      <c r="AF48" s="9" t="s">
        <v>104</v>
      </c>
      <c r="AG48" s="6" t="s">
        <v>513</v>
      </c>
      <c r="AH48" s="6" t="s">
        <v>49</v>
      </c>
      <c r="AJ48" s="6">
        <f>AJ47+1</f>
        <v>47</v>
      </c>
      <c r="AK48" s="2" t="str">
        <f>HYPERLINK("http://exon.niaid.nih.gov/transcriptome/An_gambiae_male_2006/ST1/links/MIT-PLA/AGM-contig_339-MIT-PLA.txt","Anopheles gambiae mitochondrion, com")</f>
        <v>Anopheles gambiae mitochondrion, com</v>
      </c>
      <c r="AL48" s="4" t="str">
        <f>HYPERLINK("http://www.ncbi.nlm.nih.gov/sutils/blink.cgi?pid=5834911","3E-053")</f>
        <v>3E-053</v>
      </c>
    </row>
    <row r="49" spans="1:36" ht="9.75">
      <c r="A49" t="str">
        <f>HYPERLINK("http://exon.niaid.nih.gov/transcriptome/An_gambiae_male_2006/ST1/links/AGM-contig_22.txt","AGM-contig_22")</f>
        <v>AGM-contig_22</v>
      </c>
      <c r="B49" s="1">
        <v>1</v>
      </c>
      <c r="C49" s="1">
        <v>219</v>
      </c>
      <c r="D49" s="1">
        <f>D48+B49</f>
        <v>100</v>
      </c>
      <c r="E49" s="1" t="s">
        <v>209</v>
      </c>
      <c r="F49" s="1">
        <v>87.7</v>
      </c>
      <c r="G49" s="1">
        <v>81</v>
      </c>
      <c r="H49" t="str">
        <f>HYPERLINK("http://exon.niaid.nih.gov/transcriptome/An_gambiae_male_2006/ST1/links/AGM-7-90-90-asb-22.txt","Contig-22")</f>
        <v>Contig-22</v>
      </c>
      <c r="I49" s="1">
        <v>22</v>
      </c>
      <c r="J49" t="str">
        <f>HYPERLINK("http://exon.niaid.nih.gov/transcriptome/An_gambiae_male_2006/ST1/links/AGM-7-90-90-22-CLU.txt","Contig22")</f>
        <v>Contig22</v>
      </c>
      <c r="K49" t="s">
        <v>231</v>
      </c>
      <c r="L49" s="2" t="str">
        <f>HYPERLINK("http://exon.niaid.nih.gov/transcriptome/An_gambiae_male_2006/ST1/links/AGM-contig_22-AGFRAG.txt","3R_Piece#657")</f>
        <v>3R_Piece#657</v>
      </c>
      <c r="M49" s="4">
        <v>9E-35</v>
      </c>
      <c r="N49" s="2" t="str">
        <f>HYPERLINK("http://exon.niaid.nih.gov/transcriptome/An_gambiae_male_2006/ST1/links/AGM-contig_22-AG3P.txt","ENSANGP00000011122")</f>
        <v>ENSANGP00000011122</v>
      </c>
      <c r="O49" s="1" t="str">
        <f>HYPERLINK("http://www.anobase.org/cgi-bin/uniexcel_new_var6.pl?proteinname=ENSANGP00000011122","2.E-35")</f>
        <v>2.E-35</v>
      </c>
      <c r="U49" s="2" t="str">
        <f>HYPERLINK("http://exon.niaid.nih.gov/transcriptome/An_gambiae_male_2006/ST1/links/AGCDS/AGM-contig_22-AGCDS.txt","ENSANGT00000011122")</f>
        <v>ENSANGT00000011122</v>
      </c>
      <c r="V49" s="1">
        <v>5E-36</v>
      </c>
      <c r="AA49" s="2" t="str">
        <f>HYPERLINK("http://exon.niaid.nih.gov/transcriptome/An_gambiae_male_2006/ST1/links/AGM-contig_22-AGNUC.txt","AG-contig_294")</f>
        <v>AG-contig_294</v>
      </c>
      <c r="AB49" s="1">
        <v>3E-30</v>
      </c>
      <c r="AG49" s="6" t="s">
        <v>510</v>
      </c>
      <c r="AH49" s="6" t="s">
        <v>49</v>
      </c>
      <c r="AJ49" s="6">
        <f>AJ48+1</f>
        <v>48</v>
      </c>
    </row>
    <row r="50" spans="1:36" ht="9.75">
      <c r="A50" t="str">
        <f>HYPERLINK("http://exon.niaid.nih.gov/transcriptome/An_gambiae_male_2006/ST1/links/AGM-contig_104.txt","AGM-contig_104")</f>
        <v>AGM-contig_104</v>
      </c>
      <c r="B50" s="1">
        <v>2</v>
      </c>
      <c r="C50" s="1">
        <v>131</v>
      </c>
      <c r="D50" s="1">
        <f>D49+B50</f>
        <v>102</v>
      </c>
      <c r="E50" s="1" t="s">
        <v>209</v>
      </c>
      <c r="F50" s="1">
        <v>64.9</v>
      </c>
      <c r="G50" s="1">
        <v>112</v>
      </c>
      <c r="H50" t="str">
        <f>HYPERLINK("http://exon.niaid.nih.gov/transcriptome/An_gambiae_male_2006/ST1/links/AGM-7-90-90-asb-104.txt","Contig-104")</f>
        <v>Contig-104</v>
      </c>
      <c r="I50" s="1">
        <v>104</v>
      </c>
      <c r="J50" t="str">
        <f>HYPERLINK("http://exon.niaid.nih.gov/transcriptome/An_gambiae_male_2006/ST1/links/AGM-7-90-90-104-CLU.txt","Contig104")</f>
        <v>Contig104</v>
      </c>
      <c r="K50" t="s">
        <v>557</v>
      </c>
      <c r="L50" s="2" t="str">
        <f>HYPERLINK("http://exon.niaid.nih.gov/transcriptome/An_gambiae_male_2006/ST1/links/AGM-contig_104-AGFRAG.txt","X_Piece#72")</f>
        <v>X_Piece#72</v>
      </c>
      <c r="M50" s="4">
        <v>2E-49</v>
      </c>
      <c r="AA50" s="2" t="str">
        <f>HYPERLINK("http://exon.niaid.nih.gov/transcriptome/An_gambiae_male_2006/ST1/links/AGM-contig_104-AGNUC.txt","AG-contig_455")</f>
        <v>AG-contig_455</v>
      </c>
      <c r="AB50" s="1">
        <v>7E-42</v>
      </c>
      <c r="AG50" s="6" t="s">
        <v>357</v>
      </c>
      <c r="AH50" s="6" t="s">
        <v>49</v>
      </c>
      <c r="AJ50" s="6">
        <f>AJ49+1</f>
        <v>49</v>
      </c>
    </row>
    <row r="51" spans="1:38" ht="9.75">
      <c r="A51" t="str">
        <f>HYPERLINK("http://exon.niaid.nih.gov/transcriptome/An_gambiae_male_2006/ST1/links/AGM-contig_255.txt","AGM-contig_255")</f>
        <v>AGM-contig_255</v>
      </c>
      <c r="B51" s="1">
        <v>1</v>
      </c>
      <c r="C51" s="1">
        <v>120</v>
      </c>
      <c r="D51" s="1">
        <f>D50+B51</f>
        <v>103</v>
      </c>
      <c r="E51" s="1">
        <v>4.2</v>
      </c>
      <c r="F51" s="1">
        <v>67.5</v>
      </c>
      <c r="G51" s="1">
        <v>72</v>
      </c>
      <c r="H51" t="str">
        <f>HYPERLINK("http://exon.niaid.nih.gov/transcriptome/An_gambiae_male_2006/ST1/links/AGM-7-90-90-asb-255.txt","Contig-255")</f>
        <v>Contig-255</v>
      </c>
      <c r="I51" s="1">
        <v>255</v>
      </c>
      <c r="J51" t="str">
        <f>HYPERLINK("http://exon.niaid.nih.gov/transcriptome/An_gambiae_male_2006/ST1/links/AGM-7-90-90-255-CLU.txt","Contig255")</f>
        <v>Contig255</v>
      </c>
      <c r="K51" t="s">
        <v>708</v>
      </c>
      <c r="AA51" s="2" t="str">
        <f>HYPERLINK("http://exon.niaid.nih.gov/transcriptome/An_gambiae_male_2006/ST1/links/AGM-contig_255-AGNUC.txt","AG-contig_151")</f>
        <v>AG-contig_151</v>
      </c>
      <c r="AB51" s="1">
        <v>1E-33</v>
      </c>
      <c r="AC51" s="2" t="str">
        <f>HYPERLINK("http://exon.niaid.nih.gov/transcriptome/An_gambiae_male_2006/ST1/links/AGM-contig_255-NR.txt","cytochrome c oxidase subunit II [Anop")</f>
        <v>cytochrome c oxidase subunit II [Anop</v>
      </c>
      <c r="AD51" s="1" t="str">
        <f>HYPERLINK("http://www.ncbi.nlm.nih.gov/sutils/blink.cgi?pid=38482245","4E-005")</f>
        <v>4E-005</v>
      </c>
      <c r="AE51" s="1" t="s">
        <v>313</v>
      </c>
      <c r="AF51" s="9" t="s">
        <v>789</v>
      </c>
      <c r="AG51" s="6" t="s">
        <v>513</v>
      </c>
      <c r="AH51" s="6" t="s">
        <v>49</v>
      </c>
      <c r="AJ51" s="6">
        <f>AJ50+1</f>
        <v>50</v>
      </c>
      <c r="AK51" s="2" t="str">
        <f>HYPERLINK("http://exon.niaid.nih.gov/transcriptome/An_gambiae_male_2006/ST1/links/MIT-PLA/AGM-contig_255-MIT-PLA.txt","Anopheles gambiae mitochondrion, com")</f>
        <v>Anopheles gambiae mitochondrion, com</v>
      </c>
      <c r="AL51" s="4" t="str">
        <f>HYPERLINK("http://www.ncbi.nlm.nih.gov/sutils/blink.cgi?pid=5834911","6E-032")</f>
        <v>6E-032</v>
      </c>
    </row>
    <row r="52" spans="1:38" ht="9.75">
      <c r="A52" t="str">
        <f>HYPERLINK("http://exon.niaid.nih.gov/transcriptome/An_gambiae_male_2006/ST1/links/AGM-contig_357.txt","AGM-contig_357")</f>
        <v>AGM-contig_357</v>
      </c>
      <c r="B52" s="1">
        <v>1</v>
      </c>
      <c r="C52" s="1">
        <v>94</v>
      </c>
      <c r="D52" s="1">
        <f>D51+B52</f>
        <v>104</v>
      </c>
      <c r="E52" s="1">
        <v>6.4</v>
      </c>
      <c r="F52" s="1">
        <v>73.4</v>
      </c>
      <c r="G52" s="1">
        <v>42</v>
      </c>
      <c r="H52" t="str">
        <f>HYPERLINK("http://exon.niaid.nih.gov/transcriptome/An_gambiae_male_2006/ST1/links/AGM-7-90-90-asb-357.txt","Contig-357")</f>
        <v>Contig-357</v>
      </c>
      <c r="I52" s="1">
        <v>357</v>
      </c>
      <c r="J52" t="str">
        <f>HYPERLINK("http://exon.niaid.nih.gov/transcriptome/An_gambiae_male_2006/ST1/links/AGM-7-90-90-357-CLU.txt","Contig357")</f>
        <v>Contig357</v>
      </c>
      <c r="K52" t="s">
        <v>297</v>
      </c>
      <c r="AA52" s="2" t="str">
        <f>HYPERLINK("http://exon.niaid.nih.gov/transcriptome/An_gambiae_male_2006/ST1/links/AGM-contig_357-AGNUC.txt","AG-contig_31")</f>
        <v>AG-contig_31</v>
      </c>
      <c r="AB52" s="1">
        <v>8E-16</v>
      </c>
      <c r="AG52" s="6" t="s">
        <v>513</v>
      </c>
      <c r="AH52" s="6" t="s">
        <v>49</v>
      </c>
      <c r="AJ52" s="6">
        <f>AJ51+1</f>
        <v>51</v>
      </c>
      <c r="AK52" s="2" t="str">
        <f>HYPERLINK("http://exon.niaid.nih.gov/transcriptome/An_gambiae_male_2006/ST1/links/MIT-PLA/AGM-contig_357-MIT-PLA.txt","Anopheles gambiae mitochondrion, com")</f>
        <v>Anopheles gambiae mitochondrion, com</v>
      </c>
      <c r="AL52" s="4" t="str">
        <f>HYPERLINK("http://www.ncbi.nlm.nih.gov/sutils/blink.cgi?pid=5834911","3E-014")</f>
        <v>3E-014</v>
      </c>
    </row>
    <row r="53" spans="1:36" ht="9.75">
      <c r="A53" t="str">
        <f>HYPERLINK("http://exon.niaid.nih.gov/transcriptome/An_gambiae_male_2006/ST1/links/AGM-contig_79.txt","AGM-contig_79")</f>
        <v>AGM-contig_79</v>
      </c>
      <c r="B53" s="1">
        <v>2</v>
      </c>
      <c r="C53" s="1">
        <v>399</v>
      </c>
      <c r="D53" s="1">
        <f>D52+B53</f>
        <v>106</v>
      </c>
      <c r="E53" s="1" t="s">
        <v>209</v>
      </c>
      <c r="F53" s="1">
        <v>49.9</v>
      </c>
      <c r="G53" s="1">
        <v>380</v>
      </c>
      <c r="H53" t="str">
        <f>HYPERLINK("http://exon.niaid.nih.gov/transcriptome/An_gambiae_male_2006/ST1/links/AGM-7-90-90-asb-79.txt","Contig-79")</f>
        <v>Contig-79</v>
      </c>
      <c r="I53" s="1">
        <v>79</v>
      </c>
      <c r="J53" t="str">
        <f>HYPERLINK("http://exon.niaid.nih.gov/transcriptome/An_gambiae_male_2006/ST1/links/AGM-7-90-90-79-CLU.txt","Contig79")</f>
        <v>Contig79</v>
      </c>
      <c r="K53" t="s">
        <v>532</v>
      </c>
      <c r="L53" s="2" t="str">
        <f>HYPERLINK("http://exon.niaid.nih.gov/transcriptome/An_gambiae_male_2006/ST1/links/AGM-contig_79-AGFRAG.txt","X_Piece#197")</f>
        <v>X_Piece#197</v>
      </c>
      <c r="M53" s="4">
        <v>1E-66</v>
      </c>
      <c r="N53" s="2" t="str">
        <f>HYPERLINK("http://exon.niaid.nih.gov/transcriptome/An_gambiae_male_2006/ST1/links/AGM-contig_79-AG3P.txt","ENSANGP00000012584")</f>
        <v>ENSANGP00000012584</v>
      </c>
      <c r="O53" s="1" t="str">
        <f>HYPERLINK("http://www.anobase.org/cgi-bin/uniexcel_new_var6.pl?proteinname=ENSANGP00000012584","2.E-67")</f>
        <v>2.E-67</v>
      </c>
      <c r="P53" s="2" t="str">
        <f>HYPERLINK("http://exon.niaid.nih.gov/transcriptome/An_gambiae_male_2006/ST1/links/AGM-contig_79-AG5P.txt","ENSANGP00000012584")</f>
        <v>ENSANGP00000012584</v>
      </c>
      <c r="Q53" s="4" t="str">
        <f>HYPERLINK("http://www.anobase.org/cgi-bin/uniexcel_new_var6.pl?proteinname=ENSANGP00000012584","2.E-36")</f>
        <v>2.E-36</v>
      </c>
      <c r="R53" s="2" t="str">
        <f>HYPERLINK("http://exon.niaid.nih.gov/transcriptome/An_gambiae_male_2006/ST1/links/AGM-contig_79-AGPROT.txt","ENSANGP00000012584")</f>
        <v>ENSANGP00000012584</v>
      </c>
      <c r="S53" s="1" t="str">
        <f>HYPERLINK("http://www.ensembl.org/Anopheles_gambiae/protview?peptide=ENSANGP00000012584","1E-038")</f>
        <v>1E-038</v>
      </c>
      <c r="T53" s="1" t="str">
        <f>HYPERLINK("http://www.anobase.org/cgi-bin/uniexcel_new_var6.pl?proteinname=ENSANGP00000012584","1E-038")</f>
        <v>1E-038</v>
      </c>
      <c r="U53" s="2" t="str">
        <f>HYPERLINK("http://exon.niaid.nih.gov/transcriptome/An_gambiae_male_2006/ST1/links/AGCDS/AGM-contig_79-AGCDS.txt","ENSANGT00000012584")</f>
        <v>ENSANGT00000012584</v>
      </c>
      <c r="V53" s="1">
        <v>1E-121</v>
      </c>
      <c r="AC53" s="2" t="str">
        <f>HYPERLINK("http://exon.niaid.nih.gov/transcriptome/An_gambiae_male_2006/ST1/links/AGM-contig_79-NR.txt","ENSANGP00000012584 [Anopheles gambiae")</f>
        <v>ENSANGP00000012584 [Anopheles gambiae</v>
      </c>
      <c r="AD53" s="1" t="str">
        <f>HYPERLINK("http://www.ncbi.nlm.nih.gov/sutils/blink.cgi?pid=55243554","1E-036")</f>
        <v>1E-036</v>
      </c>
      <c r="AE53" s="1" t="s">
        <v>313</v>
      </c>
      <c r="AF53" s="9" t="s">
        <v>445</v>
      </c>
      <c r="AG53" s="6" t="s">
        <v>386</v>
      </c>
      <c r="AH53" s="6" t="s">
        <v>740</v>
      </c>
      <c r="AJ53" s="6">
        <f>AJ52+1</f>
        <v>52</v>
      </c>
    </row>
    <row r="54" spans="1:36" ht="9.75">
      <c r="A54" t="str">
        <f>HYPERLINK("http://exon.niaid.nih.gov/transcriptome/An_gambiae_male_2006/ST1/links/AGM-contig_248.txt","AGM-contig_248")</f>
        <v>AGM-contig_248</v>
      </c>
      <c r="B54" s="1">
        <v>1</v>
      </c>
      <c r="C54" s="1">
        <v>215</v>
      </c>
      <c r="D54" s="1">
        <f>D53+B54</f>
        <v>107</v>
      </c>
      <c r="E54" s="1" t="s">
        <v>209</v>
      </c>
      <c r="F54" s="1">
        <v>56.7</v>
      </c>
      <c r="G54" s="1">
        <v>196</v>
      </c>
      <c r="H54" t="str">
        <f>HYPERLINK("http://exon.niaid.nih.gov/transcriptome/An_gambiae_male_2006/ST1/links/AGM-7-90-90-asb-248.txt","Contig-248")</f>
        <v>Contig-248</v>
      </c>
      <c r="I54" s="1">
        <v>248</v>
      </c>
      <c r="J54" t="str">
        <f>HYPERLINK("http://exon.niaid.nih.gov/transcriptome/An_gambiae_male_2006/ST1/links/AGM-7-90-90-248-CLU.txt","Contig248")</f>
        <v>Contig248</v>
      </c>
      <c r="K54" t="s">
        <v>701</v>
      </c>
      <c r="L54" s="2" t="str">
        <f>HYPERLINK("http://exon.niaid.nih.gov/transcriptome/An_gambiae_male_2006/ST1/links/AGM-contig_248-AGFRAG.txt","X_Piece#318")</f>
        <v>X_Piece#318</v>
      </c>
      <c r="M54" s="4">
        <v>7E-91</v>
      </c>
      <c r="N54" s="2" t="str">
        <f>HYPERLINK("http://exon.niaid.nih.gov/transcriptome/An_gambiae_male_2006/ST1/links/AGM-contig_248-AG3P.txt","ENSANGP00000020722")</f>
        <v>ENSANGP00000020722</v>
      </c>
      <c r="O54" s="1" t="str">
        <f>HYPERLINK("http://www.anobase.org/cgi-bin/uniexcel_new_var6.pl?proteinname=ENSANGP00000020722","1.E-91")</f>
        <v>1.E-91</v>
      </c>
      <c r="R54" s="2" t="str">
        <f>HYPERLINK("http://exon.niaid.nih.gov/transcriptome/An_gambiae_male_2006/ST1/links/AGM-contig_248-AGPROT.txt","ENSANGP00000020722")</f>
        <v>ENSANGP00000020722</v>
      </c>
      <c r="S54" s="1" t="str">
        <f>HYPERLINK("http://www.ensembl.org/Anopheles_gambiae/protview?peptide=ENSANGP00000020722","4E-015")</f>
        <v>4E-015</v>
      </c>
      <c r="T54" s="1" t="str">
        <f>HYPERLINK("http://www.anobase.org/cgi-bin/uniexcel_new_var6.pl?proteinname=ENSANGP00000020722","4E-015")</f>
        <v>4E-015</v>
      </c>
      <c r="U54" s="2" t="str">
        <f>HYPERLINK("http://exon.niaid.nih.gov/transcriptome/An_gambiae_male_2006/ST1/links/AGCDS/AGM-contig_248-AGCDS.txt","ENSANGT00000020722")</f>
        <v>ENSANGT00000020722</v>
      </c>
      <c r="V54" s="1">
        <v>2E-48</v>
      </c>
      <c r="AC54" s="2" t="str">
        <f>HYPERLINK("http://exon.niaid.nih.gov/transcriptome/An_gambiae_male_2006/ST1/links/AGM-contig_248-NR.txt","ENSANGP00000020722 [Anopheles gambiae]    75   5e-013")</f>
        <v>ENSANGP00000020722 [Anopheles gambiae]    75   5e-013</v>
      </c>
      <c r="AD54" s="1" t="str">
        <f>HYPERLINK("http://www.ncbi.nlm.nih.gov/sutils/blink.cgi?pid=31203373","5E-013")</f>
        <v>5E-013</v>
      </c>
      <c r="AE54" s="1" t="s">
        <v>313</v>
      </c>
      <c r="AF54" s="9" t="s">
        <v>97</v>
      </c>
      <c r="AG54" s="6" t="s">
        <v>410</v>
      </c>
      <c r="AH54" s="6" t="s">
        <v>54</v>
      </c>
      <c r="AJ54" s="6">
        <f>AJ53+1</f>
        <v>53</v>
      </c>
    </row>
    <row r="55" spans="1:36" ht="9.75">
      <c r="A55" t="str">
        <f>HYPERLINK("http://exon.niaid.nih.gov/transcriptome/An_gambiae_male_2006/ST1/links/AGM-contig_345.txt","AGM-contig_345")</f>
        <v>AGM-contig_345</v>
      </c>
      <c r="B55" s="1">
        <v>1</v>
      </c>
      <c r="C55" s="1">
        <v>136</v>
      </c>
      <c r="D55" s="1">
        <f>D54+B55</f>
        <v>108</v>
      </c>
      <c r="E55" s="1" t="s">
        <v>209</v>
      </c>
      <c r="F55" s="1">
        <v>66.2</v>
      </c>
      <c r="G55" s="1">
        <v>117</v>
      </c>
      <c r="H55" t="str">
        <f>HYPERLINK("http://exon.niaid.nih.gov/transcriptome/An_gambiae_male_2006/ST1/links/AGM-7-90-90-asb-345.txt","Contig-345")</f>
        <v>Contig-345</v>
      </c>
      <c r="I55" s="1">
        <v>345</v>
      </c>
      <c r="J55" t="str">
        <f>HYPERLINK("http://exon.niaid.nih.gov/transcriptome/An_gambiae_male_2006/ST1/links/AGM-7-90-90-345-CLU.txt","Contig345")</f>
        <v>Contig345</v>
      </c>
      <c r="K55" t="s">
        <v>285</v>
      </c>
      <c r="L55" s="2" t="str">
        <f>HYPERLINK("http://exon.niaid.nih.gov/transcriptome/An_gambiae_male_2006/ST1/links/AGM-contig_345-AGFRAG.txt","2R_Piece#2275")</f>
        <v>2R_Piece#2275</v>
      </c>
      <c r="M55" s="4">
        <v>6E-50</v>
      </c>
      <c r="N55" s="2" t="str">
        <f>HYPERLINK("http://exon.niaid.nih.gov/transcriptome/An_gambiae_male_2006/ST1/links/AGM-contig_345-AG3P.txt","ENSANGP00000023689")</f>
        <v>ENSANGP00000023689</v>
      </c>
      <c r="O55" s="1" t="str">
        <f>HYPERLINK("http://www.anobase.org/cgi-bin/uniexcel_new_var6.pl?proteinname=ENSANGP00000023689","1.E-50")</f>
        <v>1.E-50</v>
      </c>
      <c r="AA55" s="2" t="str">
        <f>HYPERLINK("http://exon.niaid.nih.gov/transcriptome/An_gambiae_male_2006/ST1/links/AGM-contig_345-AGNUC.txt","AG-contig_812")</f>
        <v>AG-contig_812</v>
      </c>
      <c r="AB55" s="1">
        <v>3E-16</v>
      </c>
      <c r="AG55" s="6" t="s">
        <v>66</v>
      </c>
      <c r="AH55" s="6" t="s">
        <v>67</v>
      </c>
      <c r="AJ55" s="6">
        <f>AJ54+1</f>
        <v>54</v>
      </c>
    </row>
    <row r="56" spans="1:36" ht="9.75">
      <c r="A56" t="str">
        <f>HYPERLINK("http://exon.niaid.nih.gov/transcriptome/An_gambiae_male_2006/ST1/links/AGM-contig_218.txt","AGM-contig_218")</f>
        <v>AGM-contig_218</v>
      </c>
      <c r="B56" s="1">
        <v>1</v>
      </c>
      <c r="C56" s="1">
        <v>216</v>
      </c>
      <c r="D56" s="1">
        <f>D55+B56</f>
        <v>109</v>
      </c>
      <c r="E56" s="1" t="s">
        <v>209</v>
      </c>
      <c r="F56" s="1">
        <v>69</v>
      </c>
      <c r="G56" s="1">
        <v>197</v>
      </c>
      <c r="H56" t="str">
        <f>HYPERLINK("http://exon.niaid.nih.gov/transcriptome/An_gambiae_male_2006/ST1/links/AGM-7-90-90-asb-218.txt","Contig-218")</f>
        <v>Contig-218</v>
      </c>
      <c r="I56" s="1">
        <v>218</v>
      </c>
      <c r="J56" t="str">
        <f>HYPERLINK("http://exon.niaid.nih.gov/transcriptome/An_gambiae_male_2006/ST1/links/AGM-7-90-90-218-CLU.txt","Contig218")</f>
        <v>Contig218</v>
      </c>
      <c r="K56" t="s">
        <v>671</v>
      </c>
      <c r="L56" s="2" t="str">
        <f>HYPERLINK("http://exon.niaid.nih.gov/transcriptome/An_gambiae_male_2006/ST1/links/AGM-contig_218-AGFRAG.txt","3L_Piece#542")</f>
        <v>3L_Piece#542</v>
      </c>
      <c r="M56" s="4">
        <v>1E-49</v>
      </c>
      <c r="N56" s="2" t="str">
        <f>HYPERLINK("http://exon.niaid.nih.gov/transcriptome/An_gambiae_male_2006/ST1/links/AGM-contig_218-AG3P.txt","ENSANGP00000012679")</f>
        <v>ENSANGP00000012679</v>
      </c>
      <c r="O56" s="1" t="str">
        <f>HYPERLINK("http://www.anobase.org/cgi-bin/uniexcel_new_var6.pl?proteinname=ENSANGP00000012679","2.E-50")</f>
        <v>2.E-50</v>
      </c>
      <c r="R56" s="2" t="str">
        <f>HYPERLINK("http://exon.niaid.nih.gov/transcriptome/An_gambiae_male_2006/ST1/links/AGM-contig_218-AGPROT.txt","ENSANGP00000028917")</f>
        <v>ENSANGP00000028917</v>
      </c>
      <c r="S56" s="1" t="str">
        <f>HYPERLINK("http://www.ensembl.org/Anopheles_gambiae/protview?peptide=ENSANGP00000028917","1.5")</f>
        <v>1.5</v>
      </c>
      <c r="T56" s="1" t="str">
        <f>HYPERLINK("http://www.anobase.org/cgi-bin/uniexcel_new_var6.pl?proteinname=ENSANGP00000028917","1.5")</f>
        <v>1.5</v>
      </c>
      <c r="AC56" s="2" t="str">
        <f>HYPERLINK("http://exon.niaid.nih.gov/transcriptome/An_gambiae_male_2006/ST1/links/AGM-contig_218-NR.txt","hypothetical protein PFL1645w [Plas")</f>
        <v>hypothetical protein PFL1645w [Plas</v>
      </c>
      <c r="AD56" s="1" t="str">
        <f>HYPERLINK("http://www.ncbi.nlm.nih.gov/sutils/blink.cgi?pid=23509023","5.5")</f>
        <v>5.5</v>
      </c>
      <c r="AE56" s="1" t="s">
        <v>313</v>
      </c>
      <c r="AF56" s="9" t="s">
        <v>336</v>
      </c>
      <c r="AG56" s="8" t="s">
        <v>387</v>
      </c>
      <c r="AH56" s="8" t="s">
        <v>741</v>
      </c>
      <c r="AI56" s="7"/>
      <c r="AJ56" s="6">
        <f>AJ55+1</f>
        <v>55</v>
      </c>
    </row>
    <row r="57" spans="1:36" ht="9.75">
      <c r="A57" t="str">
        <f>HYPERLINK("http://exon.niaid.nih.gov/transcriptome/An_gambiae_male_2006/ST1/links/AGM-contig_69.txt","AGM-contig_69")</f>
        <v>AGM-contig_69</v>
      </c>
      <c r="B57" s="1">
        <v>2</v>
      </c>
      <c r="C57" s="1">
        <v>407</v>
      </c>
      <c r="D57" s="1">
        <f>D56+B57</f>
        <v>111</v>
      </c>
      <c r="E57" s="1" t="s">
        <v>209</v>
      </c>
      <c r="F57" s="1">
        <v>56.3</v>
      </c>
      <c r="G57" s="1">
        <v>388</v>
      </c>
      <c r="H57" t="str">
        <f>HYPERLINK("http://exon.niaid.nih.gov/transcriptome/An_gambiae_male_2006/ST1/links/AGM-7-90-90-asb-69.txt","Contig-69")</f>
        <v>Contig-69</v>
      </c>
      <c r="I57" s="1">
        <v>69</v>
      </c>
      <c r="J57" t="str">
        <f>HYPERLINK("http://exon.niaid.nih.gov/transcriptome/An_gambiae_male_2006/ST1/links/AGM-7-90-90-69-CLU.txt","Contig69")</f>
        <v>Contig69</v>
      </c>
      <c r="K57" t="s">
        <v>522</v>
      </c>
      <c r="L57" s="2" t="str">
        <f>HYPERLINK("http://exon.niaid.nih.gov/transcriptome/An_gambiae_male_2006/ST1/links/AGM-contig_69-AGFRAG.txt","2R_Piece#435")</f>
        <v>2R_Piece#435</v>
      </c>
      <c r="M57" s="4">
        <v>1E-179</v>
      </c>
      <c r="N57" s="2" t="str">
        <f>HYPERLINK("http://exon.niaid.nih.gov/transcriptome/An_gambiae_male_2006/ST1/links/AGM-contig_69-AG3P.txt","ENSANGP00000018496")</f>
        <v>ENSANGP00000018496</v>
      </c>
      <c r="O57" s="1" t="str">
        <f>HYPERLINK("http://www.anobase.org/cgi-bin/uniexcel_new_var6.pl?proteinname=ENSANGP00000018496","1.E-179")</f>
        <v>1.E-179</v>
      </c>
      <c r="P57" s="2" t="str">
        <f>HYPERLINK("http://exon.niaid.nih.gov/transcriptome/An_gambiae_male_2006/ST1/links/AGM-contig_69-AG5P.txt","ENSANGP00000023600")</f>
        <v>ENSANGP00000023600</v>
      </c>
      <c r="Q57" s="4" t="str">
        <f>HYPERLINK("http://www.anobase.org/cgi-bin/uniexcel_new_var6.pl?proteinname=ENSANGP00000023600","1.E-179")</f>
        <v>1.E-179</v>
      </c>
      <c r="R57" s="2" t="str">
        <f>HYPERLINK("http://exon.niaid.nih.gov/transcriptome/An_gambiae_male_2006/ST1/links/AGM-contig_69-AGPROT.txt","ENSANGP00000018496")</f>
        <v>ENSANGP00000018496</v>
      </c>
      <c r="S57" s="1" t="str">
        <f>HYPERLINK("http://www.ensembl.org/Anopheles_gambiae/protview?peptide=ENSANGP00000018496","3E-030")</f>
        <v>3E-030</v>
      </c>
      <c r="T57" s="1" t="str">
        <f>HYPERLINK("http://www.anobase.org/cgi-bin/uniexcel_new_var6.pl?proteinname=ENSANGP00000018496","3E-030")</f>
        <v>3E-030</v>
      </c>
      <c r="U57" s="2" t="str">
        <f>HYPERLINK("http://exon.niaid.nih.gov/transcriptome/An_gambiae_male_2006/ST1/links/AGCDS/AGM-contig_69-AGCDS.txt","ENSANGT00000018496")</f>
        <v>ENSANGT00000018496</v>
      </c>
      <c r="V57" s="1">
        <v>0</v>
      </c>
      <c r="AC57" s="2" t="str">
        <f>HYPERLINK("http://exon.niaid.nih.gov/transcriptome/An_gambiae_male_2006/ST1/links/AGM-contig_69-NR.txt","H3 histone family 3A [Felis catus]         126   1e-028")</f>
        <v>H3 histone family 3A [Felis catus]         126   1e-028</v>
      </c>
      <c r="AD57" s="1" t="str">
        <f>HYPERLINK("http://www.ncbi.nlm.nih.gov/sutils/blink.cgi?pid=50981392","1E-028")</f>
        <v>1E-028</v>
      </c>
      <c r="AE57" s="1" t="s">
        <v>313</v>
      </c>
      <c r="AF57" s="9" t="s">
        <v>452</v>
      </c>
      <c r="AG57" s="6" t="s">
        <v>396</v>
      </c>
      <c r="AH57" s="6" t="s">
        <v>397</v>
      </c>
      <c r="AJ57" s="6">
        <f>AJ56+1</f>
        <v>56</v>
      </c>
    </row>
    <row r="58" spans="1:36" ht="9.75">
      <c r="A58" t="str">
        <f>HYPERLINK("http://exon.niaid.nih.gov/transcriptome/An_gambiae_male_2006/ST1/links/AGM-contig_244.txt","AGM-contig_244")</f>
        <v>AGM-contig_244</v>
      </c>
      <c r="B58" s="1">
        <v>1</v>
      </c>
      <c r="C58" s="1">
        <v>193</v>
      </c>
      <c r="D58" s="1">
        <f>D57+B58</f>
        <v>112</v>
      </c>
      <c r="E58" s="1" t="s">
        <v>209</v>
      </c>
      <c r="F58" s="1">
        <v>66.8</v>
      </c>
      <c r="G58" s="1">
        <v>174</v>
      </c>
      <c r="H58" t="str">
        <f>HYPERLINK("http://exon.niaid.nih.gov/transcriptome/An_gambiae_male_2006/ST1/links/AGM-7-90-90-asb-244.txt","Contig-244")</f>
        <v>Contig-244</v>
      </c>
      <c r="I58" s="1">
        <v>244</v>
      </c>
      <c r="J58" t="str">
        <f>HYPERLINK("http://exon.niaid.nih.gov/transcriptome/An_gambiae_male_2006/ST1/links/AGM-7-90-90-244-CLU.txt","Contig244")</f>
        <v>Contig244</v>
      </c>
      <c r="K58" t="s">
        <v>697</v>
      </c>
      <c r="L58" s="2" t="str">
        <f>HYPERLINK("http://exon.niaid.nih.gov/transcriptome/An_gambiae_male_2006/ST1/links/AGM-contig_244-AGFRAG.txt","2L_Piece#1220")</f>
        <v>2L_Piece#1220</v>
      </c>
      <c r="M58" s="4">
        <v>9E-87</v>
      </c>
      <c r="N58" s="2" t="str">
        <f>HYPERLINK("http://exon.niaid.nih.gov/transcriptome/An_gambiae_male_2006/ST1/links/AGM-contig_244-AG3P.txt","ENSANGP00000020478")</f>
        <v>ENSANGP00000020478</v>
      </c>
      <c r="O58" s="1" t="str">
        <f>HYPERLINK("http://www.anobase.org/cgi-bin/uniexcel_new_var6.pl?proteinname=ENSANGP00000020478","2.E-87")</f>
        <v>2.E-87</v>
      </c>
      <c r="R58" s="2" t="str">
        <f>HYPERLINK("http://exon.niaid.nih.gov/transcriptome/An_gambiae_male_2006/ST1/links/AGM-contig_244-AGPROT.txt","ENSANGP00000016187")</f>
        <v>ENSANGP00000016187</v>
      </c>
      <c r="S58" s="1" t="str">
        <f>HYPERLINK("http://www.ensembl.org/Anopheles_gambiae/protview?peptide=ENSANGP00000016187","0.18")</f>
        <v>0.18</v>
      </c>
      <c r="T58" s="1" t="str">
        <f>HYPERLINK("http://www.anobase.org/cgi-bin/uniexcel_new_var6.pl?proteinname=ENSANGP00000016187","0.18")</f>
        <v>0.18</v>
      </c>
      <c r="AG58" s="6" t="s">
        <v>409</v>
      </c>
      <c r="AH58" s="6" t="s">
        <v>397</v>
      </c>
      <c r="AJ58" s="6">
        <f>AJ57+1</f>
        <v>57</v>
      </c>
    </row>
    <row r="59" spans="1:36" ht="9.75">
      <c r="A59" t="str">
        <f>HYPERLINK("http://exon.niaid.nih.gov/transcriptome/An_gambiae_male_2006/ST1/links/AGM-contig_162.txt","AGM-contig_162")</f>
        <v>AGM-contig_162</v>
      </c>
      <c r="B59" s="1">
        <v>1</v>
      </c>
      <c r="C59" s="1">
        <v>114</v>
      </c>
      <c r="D59" s="1">
        <f>D58+B59</f>
        <v>113</v>
      </c>
      <c r="E59" s="1">
        <v>0.9</v>
      </c>
      <c r="F59" s="1">
        <v>64</v>
      </c>
      <c r="G59" s="1">
        <v>95</v>
      </c>
      <c r="H59" t="str">
        <f>HYPERLINK("http://exon.niaid.nih.gov/transcriptome/An_gambiae_male_2006/ST1/links/AGM-7-90-90-asb-162.txt","Contig-162")</f>
        <v>Contig-162</v>
      </c>
      <c r="I59" s="1">
        <v>162</v>
      </c>
      <c r="J59" t="str">
        <f>HYPERLINK("http://exon.niaid.nih.gov/transcriptome/An_gambiae_male_2006/ST1/links/AGM-7-90-90-162-CLU.txt","Contig162")</f>
        <v>Contig162</v>
      </c>
      <c r="K59" t="s">
        <v>615</v>
      </c>
      <c r="L59" s="2" t="str">
        <f>HYPERLINK("http://exon.niaid.nih.gov/transcriptome/An_gambiae_male_2006/ST1/links/AGM-contig_162-AGFRAG.txt","3L_Piece#1356")</f>
        <v>3L_Piece#1356</v>
      </c>
      <c r="M59" s="4">
        <v>8E-46</v>
      </c>
      <c r="N59" s="2" t="str">
        <f>HYPERLINK("http://exon.niaid.nih.gov/transcriptome/An_gambiae_male_2006/ST1/links/AGM-contig_162-AG3P.txt","ENSANGP00000025877")</f>
        <v>ENSANGP00000025877</v>
      </c>
      <c r="O59" s="1" t="str">
        <f>HYPERLINK("http://www.anobase.org/cgi-bin/uniexcel_new_var6.pl?proteinname=ENSANGP00000025877","2.E-46")</f>
        <v>2.E-46</v>
      </c>
      <c r="P59" s="2" t="str">
        <f>HYPERLINK("http://exon.niaid.nih.gov/transcriptome/An_gambiae_male_2006/ST1/links/AGM-contig_162-AG5P.txt","ENSANGP00000021310")</f>
        <v>ENSANGP00000021310</v>
      </c>
      <c r="Q59" s="4" t="str">
        <f>HYPERLINK("http://www.anobase.org/cgi-bin/uniexcel_new_var6.pl?proteinname=ENSANGP00000021310","2.E-46")</f>
        <v>2.E-46</v>
      </c>
      <c r="R59" s="2" t="str">
        <f>HYPERLINK("http://exon.niaid.nih.gov/transcriptome/An_gambiae_male_2006/ST1/links/AGM-contig_162-AGPROT.txt","ENSANGP00000025188")</f>
        <v>ENSANGP00000025188</v>
      </c>
      <c r="S59" s="1" t="str">
        <f>HYPERLINK("http://www.ensembl.org/Anopheles_gambiae/protview?peptide=ENSANGP00000025188","0.15")</f>
        <v>0.15</v>
      </c>
      <c r="T59" s="1" t="str">
        <f>HYPERLINK("http://www.anobase.org/cgi-bin/uniexcel_new_var6.pl?proteinname=ENSANGP00000025188","0.15")</f>
        <v>0.15</v>
      </c>
      <c r="AC59" s="2" t="str">
        <f>HYPERLINK("http://exon.niaid.nih.gov/transcriptome/An_gambiae_male_2006/ST1/links/AGM-contig_162-NR.txt","unnamed protein product [Tetraodon n")</f>
        <v>unnamed protein product [Tetraodon n</v>
      </c>
      <c r="AD59" s="1" t="str">
        <f>HYPERLINK("http://www.ncbi.nlm.nih.gov/sutils/blink.cgi?pid=47214943","6.1")</f>
        <v>6.1</v>
      </c>
      <c r="AE59" s="1" t="s">
        <v>313</v>
      </c>
      <c r="AF59" s="9" t="s">
        <v>835</v>
      </c>
      <c r="AG59" s="6" t="s">
        <v>504</v>
      </c>
      <c r="AH59" s="6" t="s">
        <v>494</v>
      </c>
      <c r="AJ59" s="6">
        <f>AJ58+1</f>
        <v>58</v>
      </c>
    </row>
    <row r="60" spans="1:36" ht="9.75">
      <c r="A60" t="str">
        <f>HYPERLINK("http://exon.niaid.nih.gov/transcriptome/An_gambiae_male_2006/ST1/links/AGM-contig_24.txt","AGM-contig_24")</f>
        <v>AGM-contig_24</v>
      </c>
      <c r="B60" s="1">
        <v>1</v>
      </c>
      <c r="C60" s="1">
        <v>307</v>
      </c>
      <c r="D60" s="1">
        <f>D59+B60</f>
        <v>114</v>
      </c>
      <c r="E60" s="1" t="s">
        <v>209</v>
      </c>
      <c r="F60" s="1">
        <v>72.3</v>
      </c>
      <c r="G60" s="1">
        <v>200</v>
      </c>
      <c r="H60" t="str">
        <f>HYPERLINK("http://exon.niaid.nih.gov/transcriptome/An_gambiae_male_2006/ST1/links/AGM-7-90-90-asb-24.txt","Contig-24")</f>
        <v>Contig-24</v>
      </c>
      <c r="I60" s="1">
        <v>24</v>
      </c>
      <c r="J60" t="str">
        <f>HYPERLINK("http://exon.niaid.nih.gov/transcriptome/An_gambiae_male_2006/ST1/links/AGM-7-90-90-24-CLU.txt","Contig24")</f>
        <v>Contig24</v>
      </c>
      <c r="K60" t="s">
        <v>233</v>
      </c>
      <c r="L60" s="2" t="str">
        <f>HYPERLINK("http://exon.niaid.nih.gov/transcriptome/An_gambiae_male_2006/ST1/links/AGM-contig_24-AGFRAG.txt","2R_Piece#875")</f>
        <v>2R_Piece#875</v>
      </c>
      <c r="M60" s="4">
        <v>1E-104</v>
      </c>
      <c r="N60" s="2" t="str">
        <f>HYPERLINK("http://exon.niaid.nih.gov/transcriptome/An_gambiae_male_2006/ST1/links/AGM-contig_24-AG3P.txt","ENSANGP00000022086")</f>
        <v>ENSANGP00000022086</v>
      </c>
      <c r="O60" s="1" t="str">
        <f>HYPERLINK("http://www.anobase.org/cgi-bin/uniexcel_new_var6.pl?proteinname=ENSANGP00000022086","1.E-105")</f>
        <v>1.E-105</v>
      </c>
      <c r="P60" s="2" t="str">
        <f>HYPERLINK("http://exon.niaid.nih.gov/transcriptome/An_gambiae_male_2006/ST1/links/AGM-contig_24-AG5P.txt","ENSANGP00000024914")</f>
        <v>ENSANGP00000024914</v>
      </c>
      <c r="Q60" s="4" t="str">
        <f>HYPERLINK("http://www.anobase.org/cgi-bin/uniexcel_new_var6.pl?proteinname=ENSANGP00000024914","1.E-105")</f>
        <v>1.E-105</v>
      </c>
      <c r="R60" s="2" t="str">
        <f>HYPERLINK("http://exon.niaid.nih.gov/transcriptome/An_gambiae_male_2006/ST1/links/AGM-contig_24-AGPROT.txt","ENSANGP00000018684")</f>
        <v>ENSANGP00000018684</v>
      </c>
      <c r="S60" s="1" t="str">
        <f>HYPERLINK("http://www.ensembl.org/Anopheles_gambiae/protview?peptide=ENSANGP00000018684","3.0")</f>
        <v>3.0</v>
      </c>
      <c r="T60" s="1" t="str">
        <f>HYPERLINK("http://www.anobase.org/cgi-bin/uniexcel_new_var6.pl?proteinname=ENSANGP00000018684","3.0")</f>
        <v>3.0</v>
      </c>
      <c r="U60" s="2" t="str">
        <f>HYPERLINK("http://exon.niaid.nih.gov/transcriptome/An_gambiae_male_2006/ST1/links/AGCDS/AGM-contig_24-AGCDS.txt","ENSANGT00000028402")</f>
        <v>ENSANGT00000028402</v>
      </c>
      <c r="V60" s="1">
        <v>1E-105</v>
      </c>
      <c r="AG60" s="6" t="s">
        <v>493</v>
      </c>
      <c r="AH60" s="6" t="s">
        <v>494</v>
      </c>
      <c r="AJ60" s="6">
        <f>AJ59+1</f>
        <v>59</v>
      </c>
    </row>
    <row r="61" spans="1:36" ht="9.75">
      <c r="A61" t="str">
        <f>HYPERLINK("http://exon.niaid.nih.gov/transcriptome/An_gambiae_male_2006/ST1/links/AGM-contig_370.txt","AGM-contig_370")</f>
        <v>AGM-contig_370</v>
      </c>
      <c r="B61" s="1">
        <v>1</v>
      </c>
      <c r="C61" s="1">
        <v>146</v>
      </c>
      <c r="D61" s="1">
        <f>D60+B61</f>
        <v>115</v>
      </c>
      <c r="E61" s="1">
        <v>6.2</v>
      </c>
      <c r="F61" s="1">
        <v>60.3</v>
      </c>
      <c r="G61" s="1" t="s">
        <v>260</v>
      </c>
      <c r="H61" t="str">
        <f>HYPERLINK("http://exon.niaid.nih.gov/transcriptome/An_gambiae_male_2006/ST1/links/AGM-7-90-90-asb-370.txt","Contig-370")</f>
        <v>Contig-370</v>
      </c>
      <c r="I61" s="1">
        <v>370</v>
      </c>
      <c r="J61" t="str">
        <f>HYPERLINK("http://exon.niaid.nih.gov/transcriptome/An_gambiae_male_2006/ST1/links/AGM-7-90-90-370-CLU.txt","Contig370")</f>
        <v>Contig370</v>
      </c>
      <c r="K61" t="s">
        <v>310</v>
      </c>
      <c r="L61" s="2" t="str">
        <f>HYPERLINK("http://exon.niaid.nih.gov/transcriptome/An_gambiae_male_2006/ST1/links/AGM-contig_370-AGFRAG.txt","UNKN_Piece#466")</f>
        <v>UNKN_Piece#466</v>
      </c>
      <c r="M61" s="4">
        <v>2E-41</v>
      </c>
      <c r="N61" s="2" t="str">
        <f>HYPERLINK("http://exon.niaid.nih.gov/transcriptome/An_gambiae_male_2006/ST1/links/AGM-contig_370-AG3P.txt","ENSANGP00000012205")</f>
        <v>ENSANGP00000012205</v>
      </c>
      <c r="O61" s="1" t="str">
        <f>HYPERLINK("http://www.anobase.org/cgi-bin/uniexcel_new_var6.pl?proteinname=ENSANGP00000012205","3.E-24")</f>
        <v>3.E-24</v>
      </c>
      <c r="P61" s="2" t="str">
        <f>HYPERLINK("http://exon.niaid.nih.gov/transcriptome/An_gambiae_male_2006/ST1/links/AGM-contig_370-AG5P.txt","ENSANGP00000012281")</f>
        <v>ENSANGP00000012281</v>
      </c>
      <c r="Q61" s="4" t="str">
        <f>HYPERLINK("http://www.anobase.org/cgi-bin/uniexcel_new_var6.pl?proteinname=ENSANGP00000012281","3.E-42")</f>
        <v>3.E-42</v>
      </c>
      <c r="AA61" s="2" t="str">
        <f>HYPERLINK("http://exon.niaid.nih.gov/transcriptome/An_gambiae_male_2006/ST1/links/AGM-contig_370-AGNUC.txt","AG-contig_490")</f>
        <v>AG-contig_490</v>
      </c>
      <c r="AB61" s="1">
        <v>5E-09</v>
      </c>
      <c r="AG61" s="6" t="s">
        <v>383</v>
      </c>
      <c r="AH61" s="6" t="s">
        <v>26</v>
      </c>
      <c r="AJ61" s="6">
        <f>AJ60+1</f>
        <v>60</v>
      </c>
    </row>
    <row r="62" spans="1:36" ht="9.75">
      <c r="A62" t="str">
        <f>HYPERLINK("http://exon.niaid.nih.gov/transcriptome/An_gambiae_male_2006/ST1/links/AGM-contig_165.txt","AGM-contig_165")</f>
        <v>AGM-contig_165</v>
      </c>
      <c r="B62" s="1">
        <v>1</v>
      </c>
      <c r="C62" s="1">
        <v>132</v>
      </c>
      <c r="D62" s="1">
        <f>D61+B62</f>
        <v>116</v>
      </c>
      <c r="E62" s="1" t="s">
        <v>209</v>
      </c>
      <c r="F62" s="1">
        <v>75.8</v>
      </c>
      <c r="G62" s="1">
        <v>113</v>
      </c>
      <c r="H62" t="str">
        <f>HYPERLINK("http://exon.niaid.nih.gov/transcriptome/An_gambiae_male_2006/ST1/links/AGM-7-90-90-asb-165.txt","Contig-165")</f>
        <v>Contig-165</v>
      </c>
      <c r="I62" s="1">
        <v>165</v>
      </c>
      <c r="J62" t="str">
        <f>HYPERLINK("http://exon.niaid.nih.gov/transcriptome/An_gambiae_male_2006/ST1/links/AGM-7-90-90-165-CLU.txt","Contig165")</f>
        <v>Contig165</v>
      </c>
      <c r="K62" t="s">
        <v>618</v>
      </c>
      <c r="L62" s="2" t="str">
        <f>HYPERLINK("http://exon.niaid.nih.gov/transcriptome/An_gambiae_male_2006/ST1/links/AGM-contig_165-AGFRAG.txt","2R_Piece#2399")</f>
        <v>2R_Piece#2399</v>
      </c>
      <c r="M62" s="4">
        <v>6E-53</v>
      </c>
      <c r="N62" s="2" t="str">
        <f>HYPERLINK("http://exon.niaid.nih.gov/transcriptome/An_gambiae_male_2006/ST1/links/AGM-contig_165-AG3P.txt","ENSANGP00000001456")</f>
        <v>ENSANGP00000001456</v>
      </c>
      <c r="O62" s="1" t="str">
        <f>HYPERLINK("http://www.anobase.org/cgi-bin/uniexcel_new_var6.pl?proteinname=ENSANGP00000001456","1.E-53")</f>
        <v>1.E-53</v>
      </c>
      <c r="R62" s="2" t="str">
        <f>HYPERLINK("http://exon.niaid.nih.gov/transcriptome/An_gambiae_male_2006/ST1/links/AGM-contig_165-AGPROT.txt","ENSANGP00000018625")</f>
        <v>ENSANGP00000018625</v>
      </c>
      <c r="S62" s="1" t="str">
        <f>HYPERLINK("http://www.ensembl.org/Anopheles_gambiae/protview?peptide=ENSANGP00000018625","2.3")</f>
        <v>2.3</v>
      </c>
      <c r="T62" s="1" t="str">
        <f>HYPERLINK("http://www.anobase.org/cgi-bin/uniexcel_new_var6.pl?proteinname=ENSANGP00000018625","2.3")</f>
        <v>2.3</v>
      </c>
      <c r="AG62" s="6" t="s">
        <v>455</v>
      </c>
      <c r="AH62" s="6" t="s">
        <v>26</v>
      </c>
      <c r="AJ62" s="6">
        <f>AJ61+1</f>
        <v>61</v>
      </c>
    </row>
    <row r="63" spans="1:36" ht="9.75">
      <c r="A63" t="str">
        <f>HYPERLINK("http://exon.niaid.nih.gov/transcriptome/An_gambiae_male_2006/ST1/links/AGM-contig_189.txt","AGM-contig_189")</f>
        <v>AGM-contig_189</v>
      </c>
      <c r="B63" s="1">
        <v>1</v>
      </c>
      <c r="C63" s="1">
        <v>595</v>
      </c>
      <c r="D63" s="1">
        <f>D62+B63</f>
        <v>117</v>
      </c>
      <c r="E63" s="1">
        <v>0.2</v>
      </c>
      <c r="F63" s="1">
        <v>44.9</v>
      </c>
      <c r="G63" s="1" t="s">
        <v>260</v>
      </c>
      <c r="H63" t="str">
        <f>HYPERLINK("http://exon.niaid.nih.gov/transcriptome/An_gambiae_male_2006/ST1/links/AGM-7-90-90-asb-189.txt","Contig-189")</f>
        <v>Contig-189</v>
      </c>
      <c r="I63" s="1">
        <v>189</v>
      </c>
      <c r="J63" t="str">
        <f>HYPERLINK("http://exon.niaid.nih.gov/transcriptome/An_gambiae_male_2006/ST1/links/AGM-7-90-90-189-CLU.txt","Contig189")</f>
        <v>Contig189</v>
      </c>
      <c r="K63" t="s">
        <v>642</v>
      </c>
      <c r="L63" s="2" t="str">
        <f>HYPERLINK("http://exon.niaid.nih.gov/transcriptome/An_gambiae_male_2006/ST1/links/AGM-contig_189-AGFRAG.txt","3R_Piece#1869")</f>
        <v>3R_Piece#1869</v>
      </c>
      <c r="M63" s="4">
        <v>0</v>
      </c>
      <c r="N63" s="2" t="str">
        <f>HYPERLINK("http://exon.niaid.nih.gov/transcriptome/An_gambiae_male_2006/ST1/links/AGM-contig_189-AG3P.txt","ENSANGP00000013412")</f>
        <v>ENSANGP00000013412</v>
      </c>
      <c r="O63" s="1" t="str">
        <f>HYPERLINK("http://www.anobase.org/cgi-bin/uniexcel_new_var6.pl?proteinname=ENSANGP00000013412","2.E-50")</f>
        <v>2.E-50</v>
      </c>
      <c r="P63" s="2" t="str">
        <f>HYPERLINK("http://exon.niaid.nih.gov/transcriptome/An_gambiae_male_2006/ST1/links/AGM-contig_189-AG5P.txt","ENSANGP00000013412")</f>
        <v>ENSANGP00000013412</v>
      </c>
      <c r="Q63" s="4" t="str">
        <f>HYPERLINK("http://www.anobase.org/cgi-bin/uniexcel_new_var6.pl?proteinname=ENSANGP00000013412","0.E+00")</f>
        <v>0.E+00</v>
      </c>
      <c r="R63" s="2" t="str">
        <f>HYPERLINK("http://exon.niaid.nih.gov/transcriptome/An_gambiae_male_2006/ST1/links/AGM-contig_189-AGPROT.txt","ENSANGP00000021817")</f>
        <v>ENSANGP00000021817</v>
      </c>
      <c r="S63" s="1" t="str">
        <f>HYPERLINK("http://www.ensembl.org/Anopheles_gambiae/protview?peptide=ENSANGP00000021817","1E-079")</f>
        <v>1E-079</v>
      </c>
      <c r="T63" s="1" t="str">
        <f>HYPERLINK("http://www.anobase.org/cgi-bin/uniexcel_new_var6.pl?proteinname=ENSANGP00000021817","1E-079")</f>
        <v>1E-079</v>
      </c>
      <c r="U63" s="2" t="str">
        <f>HYPERLINK("http://exon.niaid.nih.gov/transcriptome/An_gambiae_male_2006/ST1/links/AGCDS/AGM-contig_189-AGCDS.txt","ENSANGT00000021817")</f>
        <v>ENSANGT00000021817</v>
      </c>
      <c r="V63" s="1">
        <v>0</v>
      </c>
      <c r="AA63" s="2" t="str">
        <f>HYPERLINK("http://exon.niaid.nih.gov/transcriptome/An_gambiae_male_2006/ST1/links/AGM-contig_189-AGNUC.txt","AG-contig_398")</f>
        <v>AG-contig_398</v>
      </c>
      <c r="AB63" s="1">
        <v>1E-180</v>
      </c>
      <c r="AC63" s="2" t="str">
        <f>HYPERLINK("http://exon.niaid.nih.gov/transcriptome/An_gambiae_male_2006/ST1/links/AGM-contig_189-NR.txt","ENSANGP00000021817 [Anopheles gambiae]   335   3e-091")</f>
        <v>ENSANGP00000021817 [Anopheles gambiae]   335   3e-091</v>
      </c>
      <c r="AD63" s="1" t="str">
        <f>HYPERLINK("http://www.ncbi.nlm.nih.gov/sutils/blink.cgi?pid=31199823","3E-091")</f>
        <v>3E-091</v>
      </c>
      <c r="AE63" s="1" t="s">
        <v>313</v>
      </c>
      <c r="AF63" s="9" t="s">
        <v>413</v>
      </c>
      <c r="AG63" s="6" t="s">
        <v>84</v>
      </c>
      <c r="AH63" s="6" t="s">
        <v>26</v>
      </c>
      <c r="AJ63" s="6">
        <f>AJ62+1</f>
        <v>62</v>
      </c>
    </row>
    <row r="64" spans="1:36" ht="9.75">
      <c r="A64" t="str">
        <f>HYPERLINK("http://exon.niaid.nih.gov/transcriptome/An_gambiae_male_2006/ST1/links/AGM-contig_291.txt","AGM-contig_291")</f>
        <v>AGM-contig_291</v>
      </c>
      <c r="B64" s="1">
        <v>1</v>
      </c>
      <c r="C64" s="1">
        <v>156</v>
      </c>
      <c r="D64" s="1">
        <f>D63+B64</f>
        <v>118</v>
      </c>
      <c r="E64" s="1" t="s">
        <v>209</v>
      </c>
      <c r="F64" s="1">
        <v>67.3</v>
      </c>
      <c r="G64" s="1">
        <v>137</v>
      </c>
      <c r="H64" t="str">
        <f>HYPERLINK("http://exon.niaid.nih.gov/transcriptome/An_gambiae_male_2006/ST1/links/AGM-7-90-90-asb-291.txt","Contig-291")</f>
        <v>Contig-291</v>
      </c>
      <c r="I64" s="1">
        <v>291</v>
      </c>
      <c r="J64" t="str">
        <f>HYPERLINK("http://exon.niaid.nih.gov/transcriptome/An_gambiae_male_2006/ST1/links/AGM-7-90-90-291-CLU.txt","Contig291")</f>
        <v>Contig291</v>
      </c>
      <c r="K64" t="s">
        <v>158</v>
      </c>
      <c r="L64" s="2" t="str">
        <f>HYPERLINK("http://exon.niaid.nih.gov/transcriptome/An_gambiae_male_2006/ST1/links/AGM-contig_291-AGFRAG.txt","3L_Piece#1001")</f>
        <v>3L_Piece#1001</v>
      </c>
      <c r="M64" s="4">
        <v>4E-70</v>
      </c>
      <c r="N64" s="2" t="str">
        <f>HYPERLINK("http://exon.niaid.nih.gov/transcriptome/An_gambiae_male_2006/ST1/links/AGM-contig_291-AG3P.txt","ENSANGP00000022309")</f>
        <v>ENSANGP00000022309</v>
      </c>
      <c r="O64" s="1" t="str">
        <f>HYPERLINK("http://www.anobase.org/cgi-bin/uniexcel_new_var6.pl?proteinname=ENSANGP00000022309","8.E-71")</f>
        <v>8.E-71</v>
      </c>
      <c r="U64" s="2" t="str">
        <f>HYPERLINK("http://exon.niaid.nih.gov/transcriptome/An_gambiae_male_2006/ST1/links/AGCDS/AGM-contig_291-AGCDS.txt","ENSANGT00000022309")</f>
        <v>ENSANGT00000022309</v>
      </c>
      <c r="V64" s="1">
        <v>8E-62</v>
      </c>
      <c r="AG64" s="6" t="s">
        <v>496</v>
      </c>
      <c r="AH64" s="6" t="s">
        <v>26</v>
      </c>
      <c r="AJ64" s="6">
        <f>AJ63+1</f>
        <v>63</v>
      </c>
    </row>
    <row r="65" spans="1:36" ht="9.75">
      <c r="A65" t="str">
        <f>HYPERLINK("http://exon.niaid.nih.gov/transcriptome/An_gambiae_male_2006/ST1/links/AGM-contig_74.txt","AGM-contig_74")</f>
        <v>AGM-contig_74</v>
      </c>
      <c r="B65" s="1">
        <v>2</v>
      </c>
      <c r="C65" s="1">
        <v>251</v>
      </c>
      <c r="D65" s="1">
        <f>D64+B65</f>
        <v>120</v>
      </c>
      <c r="E65" s="1" t="s">
        <v>209</v>
      </c>
      <c r="F65" s="1">
        <v>58.2</v>
      </c>
      <c r="G65" s="1">
        <v>232</v>
      </c>
      <c r="H65" t="str">
        <f>HYPERLINK("http://exon.niaid.nih.gov/transcriptome/An_gambiae_male_2006/ST1/links/AGM-7-90-90-asb-74.txt","Contig-74")</f>
        <v>Contig-74</v>
      </c>
      <c r="I65" s="1">
        <v>74</v>
      </c>
      <c r="J65" t="str">
        <f>HYPERLINK("http://exon.niaid.nih.gov/transcriptome/An_gambiae_male_2006/ST1/links/AGM-7-90-90-74-CLU.txt","Contig74")</f>
        <v>Contig74</v>
      </c>
      <c r="K65" t="s">
        <v>527</v>
      </c>
      <c r="L65" s="2" t="str">
        <f>HYPERLINK("http://exon.niaid.nih.gov/transcriptome/An_gambiae_male_2006/ST1/links/AGM-contig_74-AGFRAG.txt","2R_Piece#1249")</f>
        <v>2R_Piece#1249</v>
      </c>
      <c r="M65" s="4">
        <v>5E-89</v>
      </c>
      <c r="N65" s="2" t="str">
        <f>HYPERLINK("http://exon.niaid.nih.gov/transcriptome/An_gambiae_male_2006/ST1/links/AGM-contig_74-AG3P.txt","ENSANGP00000018215")</f>
        <v>ENSANGP00000018215</v>
      </c>
      <c r="O65" s="1" t="str">
        <f>HYPERLINK("http://www.anobase.org/cgi-bin/uniexcel_new_var6.pl?proteinname=ENSANGP00000018215","1.E-89")</f>
        <v>1.E-89</v>
      </c>
      <c r="R65" s="2" t="str">
        <f>HYPERLINK("http://exon.niaid.nih.gov/transcriptome/An_gambiae_male_2006/ST1/links/AGM-contig_74-AGPROT.txt","ENSANGP00000029134")</f>
        <v>ENSANGP00000029134</v>
      </c>
      <c r="S65" s="1" t="str">
        <f>HYPERLINK("http://www.ensembl.org/Anopheles_gambiae/protview?peptide=ENSANGP00000029134","0.79")</f>
        <v>0.79</v>
      </c>
      <c r="T65" s="1" t="str">
        <f>HYPERLINK("http://www.anobase.org/cgi-bin/uniexcel_new_var6.pl?proteinname=ENSANGP00000029134","0.79")</f>
        <v>0.79</v>
      </c>
      <c r="AC65" s="2" t="str">
        <f>HYPERLINK("http://exon.niaid.nih.gov/transcriptome/An_gambiae_male_2006/ST1/links/AGM-contig_74-NR.txt","unnamed protein product [Mus musculu")</f>
        <v>unnamed protein product [Mus musculu</v>
      </c>
      <c r="AD65" s="1" t="str">
        <f>HYPERLINK("http://www.ncbi.nlm.nih.gov/sutils/blink.cgi?pid=26330494","5.2")</f>
        <v>5.2</v>
      </c>
      <c r="AE65" s="1" t="s">
        <v>314</v>
      </c>
      <c r="AF65" s="9" t="s">
        <v>479</v>
      </c>
      <c r="AG65" s="6" t="s">
        <v>394</v>
      </c>
      <c r="AH65" s="6" t="s">
        <v>26</v>
      </c>
      <c r="AJ65" s="6">
        <f>AJ64+1</f>
        <v>64</v>
      </c>
    </row>
    <row r="66" spans="1:36" ht="9.75">
      <c r="A66" t="str">
        <f>HYPERLINK("http://exon.niaid.nih.gov/transcriptome/An_gambiae_male_2006/ST1/links/AGM-contig_186.txt","AGM-contig_186")</f>
        <v>AGM-contig_186</v>
      </c>
      <c r="B66" s="1">
        <v>1</v>
      </c>
      <c r="C66" s="1">
        <v>357</v>
      </c>
      <c r="D66" s="1">
        <f>D65+B66</f>
        <v>121</v>
      </c>
      <c r="E66" s="1" t="s">
        <v>209</v>
      </c>
      <c r="F66" s="1">
        <v>58.8</v>
      </c>
      <c r="G66" s="1">
        <v>338</v>
      </c>
      <c r="H66" t="str">
        <f>HYPERLINK("http://exon.niaid.nih.gov/transcriptome/An_gambiae_male_2006/ST1/links/AGM-7-90-90-asb-186.txt","Contig-186")</f>
        <v>Contig-186</v>
      </c>
      <c r="I66" s="1">
        <v>186</v>
      </c>
      <c r="J66" t="str">
        <f>HYPERLINK("http://exon.niaid.nih.gov/transcriptome/An_gambiae_male_2006/ST1/links/AGM-7-90-90-186-CLU.txt","Contig186")</f>
        <v>Contig186</v>
      </c>
      <c r="K66" t="s">
        <v>639</v>
      </c>
      <c r="L66" s="2" t="str">
        <f>HYPERLINK("http://exon.niaid.nih.gov/transcriptome/An_gambiae_male_2006/ST1/links/AGM-contig_186-AGFRAG.txt","2R_Piece#508")</f>
        <v>2R_Piece#508</v>
      </c>
      <c r="M66" s="4">
        <v>1E-167</v>
      </c>
      <c r="N66" s="2" t="str">
        <f>HYPERLINK("http://exon.niaid.nih.gov/transcriptome/An_gambiae_male_2006/ST1/links/AGM-contig_186-AG3P.txt","ENSANGP00000018437")</f>
        <v>ENSANGP00000018437</v>
      </c>
      <c r="O66" s="1" t="str">
        <f>HYPERLINK("http://www.anobase.org/cgi-bin/uniexcel_new_var6.pl?proteinname=ENSANGP00000018437","1.E-167")</f>
        <v>1.E-167</v>
      </c>
      <c r="R66" s="2" t="str">
        <f>HYPERLINK("http://exon.niaid.nih.gov/transcriptome/An_gambiae_male_2006/ST1/links/AGM-contig_186-AGPROT.txt","ENSANGP00000008317")</f>
        <v>ENSANGP00000008317</v>
      </c>
      <c r="S66" s="1" t="str">
        <f>HYPERLINK("http://www.ensembl.org/Anopheles_gambiae/protview?peptide=ENSANGP00000008317","0.91")</f>
        <v>0.91</v>
      </c>
      <c r="T66" s="1" t="str">
        <f>HYPERLINK("http://www.anobase.org/cgi-bin/uniexcel_new_var6.pl?proteinname=ENSANGP00000008317","0.91")</f>
        <v>0.91</v>
      </c>
      <c r="AC66" s="2" t="str">
        <f>HYPERLINK("http://exon.niaid.nih.gov/transcriptome/An_gambiae_male_2006/ST1/links/AGM-contig_186-NR.txt","B1292H11.25 [Oryza sativa (japonica ")</f>
        <v>B1292H11.25 [Oryza sativa (japonica </v>
      </c>
      <c r="AD66" s="1" t="str">
        <f>HYPERLINK("http://www.ncbi.nlm.nih.gov/sutils/blink.cgi?pid=38567751","2.1")</f>
        <v>2.1</v>
      </c>
      <c r="AE66" s="1" t="s">
        <v>314</v>
      </c>
      <c r="AF66" s="9" t="s">
        <v>134</v>
      </c>
      <c r="AG66" s="6" t="s">
        <v>395</v>
      </c>
      <c r="AH66" s="6" t="s">
        <v>26</v>
      </c>
      <c r="AJ66" s="6">
        <f>AJ65+1</f>
        <v>65</v>
      </c>
    </row>
    <row r="67" spans="1:36" ht="9.75">
      <c r="A67" t="str">
        <f>HYPERLINK("http://exon.niaid.nih.gov/transcriptome/An_gambiae_male_2006/ST1/links/AGM-contig_54.txt","AGM-contig_54")</f>
        <v>AGM-contig_54</v>
      </c>
      <c r="B67" s="1">
        <v>4</v>
      </c>
      <c r="C67" s="1">
        <v>646</v>
      </c>
      <c r="D67" s="1">
        <f>D66+B67</f>
        <v>125</v>
      </c>
      <c r="E67" s="1" t="s">
        <v>209</v>
      </c>
      <c r="F67" s="1">
        <v>53.7</v>
      </c>
      <c r="G67" s="1">
        <v>627</v>
      </c>
      <c r="H67" t="str">
        <f>HYPERLINK("http://exon.niaid.nih.gov/transcriptome/An_gambiae_male_2006/ST1/links/AGM-7-90-90-asb-54.txt","Contig-54")</f>
        <v>Contig-54</v>
      </c>
      <c r="I67" s="1">
        <v>54</v>
      </c>
      <c r="J67" t="str">
        <f>HYPERLINK("http://exon.niaid.nih.gov/transcriptome/An_gambiae_male_2006/ST1/links/AGM-7-90-90-54-CLU.txt","Contig54")</f>
        <v>Contig54</v>
      </c>
      <c r="K67" t="s">
        <v>264</v>
      </c>
      <c r="L67" s="2" t="str">
        <f>HYPERLINK("http://exon.niaid.nih.gov/transcriptome/An_gambiae_male_2006/ST1/links/AGM-contig_54-AGFRAG.txt","2R_Piece#2374")</f>
        <v>2R_Piece#2374</v>
      </c>
      <c r="M67" s="4">
        <v>0</v>
      </c>
      <c r="N67" s="2" t="str">
        <f>HYPERLINK("http://exon.niaid.nih.gov/transcriptome/An_gambiae_male_2006/ST1/links/AGM-contig_54-AG3P.txt","ENSANGP00000012216")</f>
        <v>ENSANGP00000012216</v>
      </c>
      <c r="O67" s="1" t="str">
        <f>HYPERLINK("http://www.anobase.org/cgi-bin/uniexcel_new_var6.pl?proteinname=ENSANGP00000012216","0.E+00")</f>
        <v>0.E+00</v>
      </c>
      <c r="R67" s="2" t="str">
        <f>HYPERLINK("http://exon.niaid.nih.gov/transcriptome/An_gambiae_male_2006/ST1/links/AGM-contig_54-AGPROT.txt","ENSANGP00000011648")</f>
        <v>ENSANGP00000011648</v>
      </c>
      <c r="S67" s="1" t="str">
        <f>HYPERLINK("http://www.ensembl.org/Anopheles_gambiae/protview?peptide=ENSANGP00000011648","6E-059")</f>
        <v>6E-059</v>
      </c>
      <c r="T67" s="1" t="str">
        <f>HYPERLINK("http://www.anobase.org/cgi-bin/uniexcel_new_var6.pl?proteinname=ENSANGP00000011648","6E-059")</f>
        <v>6E-059</v>
      </c>
      <c r="U67" s="2" t="str">
        <f>HYPERLINK("http://exon.niaid.nih.gov/transcriptome/An_gambiae_male_2006/ST1/links/AGCDS/AGM-contig_54-AGCDS.txt","ENSANGT00000011648")</f>
        <v>ENSANGT00000011648</v>
      </c>
      <c r="V67" s="1">
        <v>0</v>
      </c>
      <c r="AA67" s="2" t="str">
        <f>HYPERLINK("http://exon.niaid.nih.gov/transcriptome/An_gambiae_male_2006/ST1/links/AGM-contig_54-AGNUC.txt","AG-contig_185")</f>
        <v>AG-contig_185</v>
      </c>
      <c r="AB67" s="1">
        <v>0</v>
      </c>
      <c r="AC67" s="2" t="str">
        <f>HYPERLINK("http://exon.niaid.nih.gov/transcriptome/An_gambiae_male_2006/ST1/links/AGM-contig_54-NR.txt","ENSANGP00000011648 [Anopheles gambiae")</f>
        <v>ENSANGP00000011648 [Anopheles gambiae</v>
      </c>
      <c r="AD67" s="1" t="str">
        <f>HYPERLINK("http://www.ncbi.nlm.nih.gov/sutils/blink.cgi?pid=55240924","4E-057")</f>
        <v>4E-057</v>
      </c>
      <c r="AE67" s="1" t="s">
        <v>313</v>
      </c>
      <c r="AF67" s="9" t="s">
        <v>810</v>
      </c>
      <c r="AG67" s="6" t="s">
        <v>45</v>
      </c>
      <c r="AH67" s="6" t="s">
        <v>27</v>
      </c>
      <c r="AJ67" s="6">
        <f>AJ66+1</f>
        <v>66</v>
      </c>
    </row>
    <row r="68" spans="1:36" ht="9.75">
      <c r="A68" t="str">
        <f>HYPERLINK("http://exon.niaid.nih.gov/transcriptome/An_gambiae_male_2006/ST1/links/AGM-contig_246.txt","AGM-contig_246")</f>
        <v>AGM-contig_246</v>
      </c>
      <c r="B68" s="1">
        <v>1</v>
      </c>
      <c r="C68" s="1">
        <v>249</v>
      </c>
      <c r="D68" s="1">
        <f>D67+B68</f>
        <v>126</v>
      </c>
      <c r="E68" s="1">
        <v>0.4</v>
      </c>
      <c r="F68" s="1">
        <v>63.5</v>
      </c>
      <c r="G68" s="1">
        <v>230</v>
      </c>
      <c r="H68" t="str">
        <f>HYPERLINK("http://exon.niaid.nih.gov/transcriptome/An_gambiae_male_2006/ST1/links/AGM-7-90-90-asb-246.txt","Contig-246")</f>
        <v>Contig-246</v>
      </c>
      <c r="I68" s="1">
        <v>246</v>
      </c>
      <c r="J68" t="str">
        <f>HYPERLINK("http://exon.niaid.nih.gov/transcriptome/An_gambiae_male_2006/ST1/links/AGM-7-90-90-246-CLU.txt","Contig246")</f>
        <v>Contig246</v>
      </c>
      <c r="K68" t="s">
        <v>699</v>
      </c>
      <c r="L68" s="2" t="str">
        <f>HYPERLINK("http://exon.niaid.nih.gov/transcriptome/An_gambiae_male_2006/ST1/links/AGM-contig_246-AGFRAG.txt","2R_Piece#362")</f>
        <v>2R_Piece#362</v>
      </c>
      <c r="M68" s="4">
        <v>1E-101</v>
      </c>
      <c r="N68" s="2" t="str">
        <f>HYPERLINK("http://exon.niaid.nih.gov/transcriptome/An_gambiae_male_2006/ST1/links/AGM-contig_246-AG3P.txt","ENSANGP00000008499")</f>
        <v>ENSANGP00000008499</v>
      </c>
      <c r="O68" s="1" t="str">
        <f>HYPERLINK("http://www.anobase.org/cgi-bin/uniexcel_new_var6.pl?proteinname=ENSANGP00000008499","2.E-48")</f>
        <v>2.E-48</v>
      </c>
      <c r="R68" s="2" t="str">
        <f>HYPERLINK("http://exon.niaid.nih.gov/transcriptome/An_gambiae_male_2006/ST1/links/AGM-contig_246-AGPROT.txt","ENSANGP00000018711")</f>
        <v>ENSANGP00000018711</v>
      </c>
      <c r="S68" s="1" t="str">
        <f>HYPERLINK("http://www.ensembl.org/Anopheles_gambiae/protview?peptide=ENSANGP00000018711","0.61")</f>
        <v>0.61</v>
      </c>
      <c r="T68" s="1" t="str">
        <f>HYPERLINK("http://www.anobase.org/cgi-bin/uniexcel_new_var6.pl?proteinname=ENSANGP00000018711","0.61")</f>
        <v>0.61</v>
      </c>
      <c r="AC68" s="2" t="str">
        <f>HYPERLINK("http://exon.niaid.nih.gov/transcriptome/An_gambiae_male_2006/ST1/links/AGM-contig_246-NR.txt","olfactory receptor 63 [Mus musculus")</f>
        <v>olfactory receptor 63 [Mus musculus</v>
      </c>
      <c r="AD68" s="1" t="str">
        <f>HYPERLINK("http://www.ncbi.nlm.nih.gov/sutils/blink.cgi?pid=22128643","0.48")</f>
        <v>0.48</v>
      </c>
      <c r="AE68" s="1" t="s">
        <v>314</v>
      </c>
      <c r="AF68" s="9" t="s">
        <v>782</v>
      </c>
      <c r="AG68" s="6" t="s">
        <v>465</v>
      </c>
      <c r="AH68" s="6" t="s">
        <v>27</v>
      </c>
      <c r="AJ68" s="6">
        <f>AJ67+1</f>
        <v>67</v>
      </c>
    </row>
    <row r="69" spans="1:36" ht="9.75">
      <c r="A69" t="str">
        <f>HYPERLINK("http://exon.niaid.nih.gov/transcriptome/An_gambiae_male_2006/ST1/links/AGM-contig_193.txt","AGM-contig_193")</f>
        <v>AGM-contig_193</v>
      </c>
      <c r="B69" s="1">
        <v>1</v>
      </c>
      <c r="C69" s="1">
        <v>131</v>
      </c>
      <c r="D69" s="1">
        <f>D68+B69</f>
        <v>127</v>
      </c>
      <c r="E69" s="1">
        <v>2.3</v>
      </c>
      <c r="F69" s="1">
        <v>49.6</v>
      </c>
      <c r="G69" s="1">
        <v>112</v>
      </c>
      <c r="H69" t="str">
        <f>HYPERLINK("http://exon.niaid.nih.gov/transcriptome/An_gambiae_male_2006/ST1/links/AGM-7-90-90-asb-193.txt","Contig-193")</f>
        <v>Contig-193</v>
      </c>
      <c r="I69" s="1">
        <v>193</v>
      </c>
      <c r="J69" t="str">
        <f>HYPERLINK("http://exon.niaid.nih.gov/transcriptome/An_gambiae_male_2006/ST1/links/AGM-7-90-90-193-CLU.txt","Contig193")</f>
        <v>Contig193</v>
      </c>
      <c r="K69" t="s">
        <v>646</v>
      </c>
      <c r="L69" s="2" t="str">
        <f>HYPERLINK("http://exon.niaid.nih.gov/transcriptome/An_gambiae_male_2006/ST1/links/AGM-contig_193-AGFRAG.txt","X_Piece#746")</f>
        <v>X_Piece#746</v>
      </c>
      <c r="M69" s="4">
        <v>2E-25</v>
      </c>
      <c r="N69" s="2" t="str">
        <f>HYPERLINK("http://exon.niaid.nih.gov/transcriptome/An_gambiae_male_2006/ST1/links/AGM-contig_193-AG3P.txt","ENSANGP00000018738")</f>
        <v>ENSANGP00000018738</v>
      </c>
      <c r="O69" s="1" t="str">
        <f>HYPERLINK("http://www.anobase.org/cgi-bin/uniexcel_new_var6.pl?proteinname=ENSANGP00000018738","4.E-26")</f>
        <v>4.E-26</v>
      </c>
      <c r="R69" s="2" t="str">
        <f>HYPERLINK("http://exon.niaid.nih.gov/transcriptome/An_gambiae_male_2006/ST1/links/AGM-contig_193-AGPROT.txt","ENSANGP00000016493")</f>
        <v>ENSANGP00000016493</v>
      </c>
      <c r="S69" s="1" t="str">
        <f>HYPERLINK("http://www.ensembl.org/Anopheles_gambiae/protview?peptide=ENSANGP00000016493","8.7")</f>
        <v>8.7</v>
      </c>
      <c r="T69" s="1" t="str">
        <f>HYPERLINK("http://www.anobase.org/cgi-bin/uniexcel_new_var6.pl?proteinname=ENSANGP00000016493","8.7")</f>
        <v>8.7</v>
      </c>
      <c r="AG69" s="6" t="s">
        <v>399</v>
      </c>
      <c r="AH69" s="6" t="s">
        <v>27</v>
      </c>
      <c r="AJ69" s="6">
        <f>AJ68+1</f>
        <v>68</v>
      </c>
    </row>
    <row r="70" spans="1:36" ht="9.75">
      <c r="A70" t="str">
        <f>HYPERLINK("http://exon.niaid.nih.gov/transcriptome/An_gambiae_male_2006/ST1/links/AGM-contig_102.txt","AGM-contig_102")</f>
        <v>AGM-contig_102</v>
      </c>
      <c r="B70" s="1">
        <v>2</v>
      </c>
      <c r="C70" s="1">
        <v>236</v>
      </c>
      <c r="D70" s="1">
        <f>D69+B70</f>
        <v>129</v>
      </c>
      <c r="E70" s="1" t="s">
        <v>209</v>
      </c>
      <c r="F70" s="1">
        <v>66.1</v>
      </c>
      <c r="G70" s="1">
        <v>217</v>
      </c>
      <c r="H70" t="str">
        <f>HYPERLINK("http://exon.niaid.nih.gov/transcriptome/An_gambiae_male_2006/ST1/links/AGM-7-90-90-asb-102.txt","Contig-102")</f>
        <v>Contig-102</v>
      </c>
      <c r="I70" s="1">
        <v>102</v>
      </c>
      <c r="J70" t="str">
        <f>HYPERLINK("http://exon.niaid.nih.gov/transcriptome/An_gambiae_male_2006/ST1/links/AGM-7-90-90-102-CLU.txt","Contig102")</f>
        <v>Contig102</v>
      </c>
      <c r="K70" t="s">
        <v>555</v>
      </c>
      <c r="L70" s="2" t="str">
        <f>HYPERLINK("http://exon.niaid.nih.gov/transcriptome/An_gambiae_male_2006/ST1/links/AGM-contig_102-AGFRAG.txt","3L_Piece#1644")</f>
        <v>3L_Piece#1644</v>
      </c>
      <c r="M70" s="4">
        <v>1E-117</v>
      </c>
      <c r="N70" s="2" t="str">
        <f>HYPERLINK("http://exon.niaid.nih.gov/transcriptome/An_gambiae_male_2006/ST1/links/AGM-contig_102-AG3P.txt","ENSANGP00000011666")</f>
        <v>ENSANGP00000011666</v>
      </c>
      <c r="O70" s="1" t="str">
        <f>HYPERLINK("http://www.anobase.org/cgi-bin/uniexcel_new_var6.pl?proteinname=ENSANGP00000011666","1.E-118")</f>
        <v>1.E-118</v>
      </c>
      <c r="R70" s="2" t="str">
        <f>HYPERLINK("http://exon.niaid.nih.gov/transcriptome/An_gambiae_male_2006/ST1/links/AGM-contig_102-AGPROT.txt","ENSANGP00000025094")</f>
        <v>ENSANGP00000025094</v>
      </c>
      <c r="S70" s="1" t="str">
        <f>HYPERLINK("http://www.ensembl.org/Anopheles_gambiae/protview?peptide=ENSANGP00000025094","0.041")</f>
        <v>0.041</v>
      </c>
      <c r="T70" s="1" t="str">
        <f>HYPERLINK("http://www.anobase.org/cgi-bin/uniexcel_new_var6.pl?proteinname=ENSANGP00000025094","0.041")</f>
        <v>0.041</v>
      </c>
      <c r="AA70" s="2" t="str">
        <f>HYPERLINK("http://exon.niaid.nih.gov/transcriptome/An_gambiae_male_2006/ST1/links/AGM-contig_102-AGNUC.txt","AG-contig_420")</f>
        <v>AG-contig_420</v>
      </c>
      <c r="AB70" s="1">
        <v>3E-98</v>
      </c>
      <c r="AC70" s="2" t="str">
        <f>HYPERLINK("http://exon.niaid.nih.gov/transcriptome/An_gambiae_male_2006/ST1/links/AGM-contig_102-NR.txt","unnamed protein product [Tetraodon n")</f>
        <v>unnamed protein product [Tetraodon n</v>
      </c>
      <c r="AD70" s="1" t="str">
        <f>HYPERLINK("http://www.ncbi.nlm.nih.gov/sutils/blink.cgi?pid=47217372","0.024")</f>
        <v>0.024</v>
      </c>
      <c r="AE70" s="1" t="s">
        <v>314</v>
      </c>
      <c r="AF70" s="9" t="s">
        <v>841</v>
      </c>
      <c r="AG70" s="6" t="s">
        <v>52</v>
      </c>
      <c r="AH70" s="6" t="s">
        <v>27</v>
      </c>
      <c r="AJ70" s="6">
        <f>AJ69+1</f>
        <v>69</v>
      </c>
    </row>
    <row r="71" spans="1:36" ht="9.75">
      <c r="A71" t="str">
        <f>HYPERLINK("http://exon.niaid.nih.gov/transcriptome/An_gambiae_male_2006/ST1/links/AGM-contig_251.txt","AGM-contig_251")</f>
        <v>AGM-contig_251</v>
      </c>
      <c r="B71" s="1">
        <v>1</v>
      </c>
      <c r="C71" s="1">
        <v>292</v>
      </c>
      <c r="D71" s="1">
        <f>D70+B71</f>
        <v>130</v>
      </c>
      <c r="E71" s="1" t="s">
        <v>209</v>
      </c>
      <c r="F71" s="1">
        <v>63.7</v>
      </c>
      <c r="G71" s="1">
        <v>273</v>
      </c>
      <c r="H71" t="str">
        <f>HYPERLINK("http://exon.niaid.nih.gov/transcriptome/An_gambiae_male_2006/ST1/links/AGM-7-90-90-asb-251.txt","Contig-251")</f>
        <v>Contig-251</v>
      </c>
      <c r="I71" s="1">
        <v>251</v>
      </c>
      <c r="J71" t="str">
        <f>HYPERLINK("http://exon.niaid.nih.gov/transcriptome/An_gambiae_male_2006/ST1/links/AGM-7-90-90-251-CLU.txt","Contig251")</f>
        <v>Contig251</v>
      </c>
      <c r="K71" t="s">
        <v>704</v>
      </c>
      <c r="L71" s="2" t="str">
        <f>HYPERLINK("http://exon.niaid.nih.gov/transcriptome/An_gambiae_male_2006/ST1/links/AGM-contig_251-AGFRAG.txt","2R_Piece#190")</f>
        <v>2R_Piece#190</v>
      </c>
      <c r="M71" s="4">
        <v>1E-126</v>
      </c>
      <c r="N71" s="2" t="str">
        <f>HYPERLINK("http://exon.niaid.nih.gov/transcriptome/An_gambiae_male_2006/ST1/links/AGM-contig_251-AG3P.txt","ENSANGP00000015826")</f>
        <v>ENSANGP00000015826</v>
      </c>
      <c r="O71" s="1" t="str">
        <f>HYPERLINK("http://www.anobase.org/cgi-bin/uniexcel_new_var6.pl?proteinname=ENSANGP00000015826","1.E-127")</f>
        <v>1.E-127</v>
      </c>
      <c r="P71" s="2" t="str">
        <f>HYPERLINK("http://exon.niaid.nih.gov/transcriptome/An_gambiae_male_2006/ST1/links/AGM-contig_251-AG5P.txt","ENSANGP00000015783")</f>
        <v>ENSANGP00000015783</v>
      </c>
      <c r="Q71" s="4" t="str">
        <f>HYPERLINK("http://www.anobase.org/cgi-bin/uniexcel_new_var6.pl?proteinname=ENSANGP00000015783","1.E-127")</f>
        <v>1.E-127</v>
      </c>
      <c r="R71" s="2" t="str">
        <f>HYPERLINK("http://exon.niaid.nih.gov/transcriptome/An_gambiae_male_2006/ST1/links/AGM-contig_251-AGPROT.txt","ENSANGP00000013352")</f>
        <v>ENSANGP00000013352</v>
      </c>
      <c r="S71" s="1" t="str">
        <f>HYPERLINK("http://www.ensembl.org/Anopheles_gambiae/protview?peptide=ENSANGP00000013352","0.36")</f>
        <v>0.36</v>
      </c>
      <c r="T71" s="1" t="str">
        <f>HYPERLINK("http://www.anobase.org/cgi-bin/uniexcel_new_var6.pl?proteinname=ENSANGP00000013352","0.36")</f>
        <v>0.36</v>
      </c>
      <c r="AA71" s="2" t="str">
        <f>HYPERLINK("http://exon.niaid.nih.gov/transcriptome/An_gambiae_male_2006/ST1/links/AGM-contig_251-AGNUC.txt","AG-contig_244")</f>
        <v>AG-contig_244</v>
      </c>
      <c r="AB71" s="1">
        <v>1E-146</v>
      </c>
      <c r="AC71" s="2" t="str">
        <f>HYPERLINK("http://exon.niaid.nih.gov/transcriptome/An_gambiae_male_2006/ST1/links/AGM-contig_251-NR.txt","PREDICTED: similar to zinc finger p")</f>
        <v>PREDICTED: similar to zinc finger p</v>
      </c>
      <c r="AD71" s="1" t="str">
        <f>HYPERLINK("http://www.ncbi.nlm.nih.gov/sutils/blink.cgi?pid=55648741","8.5")</f>
        <v>8.5</v>
      </c>
      <c r="AE71" s="1" t="s">
        <v>313</v>
      </c>
      <c r="AF71" s="9" t="s">
        <v>349</v>
      </c>
      <c r="AG71" s="6" t="s">
        <v>76</v>
      </c>
      <c r="AH71" s="6" t="s">
        <v>27</v>
      </c>
      <c r="AJ71" s="6">
        <f>AJ70+1</f>
        <v>70</v>
      </c>
    </row>
    <row r="72" spans="1:36" ht="9.75">
      <c r="A72" t="str">
        <f>HYPERLINK("http://exon.niaid.nih.gov/transcriptome/An_gambiae_male_2006/ST1/links/AGM-contig_351.txt","AGM-contig_351")</f>
        <v>AGM-contig_351</v>
      </c>
      <c r="B72" s="1">
        <v>1</v>
      </c>
      <c r="C72" s="1">
        <v>294</v>
      </c>
      <c r="D72" s="1">
        <f>D71+B72</f>
        <v>131</v>
      </c>
      <c r="E72" s="1">
        <v>0.3</v>
      </c>
      <c r="F72" s="1">
        <v>54.1</v>
      </c>
      <c r="G72" s="1">
        <v>275</v>
      </c>
      <c r="H72" t="str">
        <f>HYPERLINK("http://exon.niaid.nih.gov/transcriptome/An_gambiae_male_2006/ST1/links/AGM-7-90-90-asb-351.txt","Contig-351")</f>
        <v>Contig-351</v>
      </c>
      <c r="I72" s="1">
        <v>351</v>
      </c>
      <c r="J72" t="str">
        <f>HYPERLINK("http://exon.niaid.nih.gov/transcriptome/An_gambiae_male_2006/ST1/links/AGM-7-90-90-351-CLU.txt","Contig351")</f>
        <v>Contig351</v>
      </c>
      <c r="K72" t="s">
        <v>291</v>
      </c>
      <c r="L72" s="2" t="str">
        <f>HYPERLINK("http://exon.niaid.nih.gov/transcriptome/An_gambiae_male_2006/ST1/links/AGM-contig_351-AGFRAG.txt","2L_Piece#1919")</f>
        <v>2L_Piece#1919</v>
      </c>
      <c r="M72" s="4">
        <v>1E-150</v>
      </c>
      <c r="N72" s="2" t="str">
        <f>HYPERLINK("http://exon.niaid.nih.gov/transcriptome/An_gambiae_male_2006/ST1/links/AGM-contig_351-AG3P.txt","ENSANGP00000020783")</f>
        <v>ENSANGP00000020783</v>
      </c>
      <c r="O72" s="1" t="str">
        <f>HYPERLINK("http://www.anobase.org/cgi-bin/uniexcel_new_var6.pl?proteinname=ENSANGP00000020783","1.E-150")</f>
        <v>1.E-150</v>
      </c>
      <c r="R72" s="2" t="str">
        <f>HYPERLINK("http://exon.niaid.nih.gov/transcriptome/An_gambiae_male_2006/ST1/links/AGM-contig_351-AGPROT.txt","ENSANGP00000018639")</f>
        <v>ENSANGP00000018639</v>
      </c>
      <c r="S72" s="1" t="str">
        <f>HYPERLINK("http://www.ensembl.org/Anopheles_gambiae/protview?peptide=ENSANGP00000018639","0.46")</f>
        <v>0.46</v>
      </c>
      <c r="T72" s="1" t="str">
        <f>HYPERLINK("http://www.anobase.org/cgi-bin/uniexcel_new_var6.pl?proteinname=ENSANGP00000018639","0.46")</f>
        <v>0.46</v>
      </c>
      <c r="AA72" s="2" t="str">
        <f>HYPERLINK("http://exon.niaid.nih.gov/transcriptome/An_gambiae_male_2006/ST1/links/AGM-contig_351-AGNUC.txt","AG-contig_198")</f>
        <v>AG-contig_198</v>
      </c>
      <c r="AB72" s="1">
        <v>1E-152</v>
      </c>
      <c r="AC72" s="2" t="str">
        <f>HYPERLINK("http://exon.niaid.nih.gov/transcriptome/An_gambiae_male_2006/ST1/links/AGM-contig_351-NR.txt","Na+/H+ antiporter-like protein [Arab")</f>
        <v>Na+/H+ antiporter-like protein [Arab</v>
      </c>
      <c r="AD72" s="1" t="str">
        <f>HYPERLINK("http://www.ncbi.nlm.nih.gov/sutils/blink.cgi?pid=10177985","2.3")</f>
        <v>2.3</v>
      </c>
      <c r="AE72" s="1" t="s">
        <v>314</v>
      </c>
      <c r="AF72" s="9" t="s">
        <v>136</v>
      </c>
      <c r="AG72" s="6" t="s">
        <v>78</v>
      </c>
      <c r="AH72" s="6" t="s">
        <v>27</v>
      </c>
      <c r="AJ72" s="6">
        <f>AJ71+1</f>
        <v>71</v>
      </c>
    </row>
    <row r="73" spans="1:36" ht="9.75">
      <c r="A73" t="str">
        <f>HYPERLINK("http://exon.niaid.nih.gov/transcriptome/An_gambiae_male_2006/ST1/links/AGM-contig_72.txt","AGM-contig_72")</f>
        <v>AGM-contig_72</v>
      </c>
      <c r="B73" s="1">
        <v>2</v>
      </c>
      <c r="C73" s="1">
        <v>282</v>
      </c>
      <c r="D73" s="1">
        <f>D72+B73</f>
        <v>133</v>
      </c>
      <c r="E73" s="1" t="s">
        <v>209</v>
      </c>
      <c r="F73" s="1">
        <v>64.5</v>
      </c>
      <c r="G73" s="1">
        <v>263</v>
      </c>
      <c r="H73" t="str">
        <f>HYPERLINK("http://exon.niaid.nih.gov/transcriptome/An_gambiae_male_2006/ST1/links/AGM-7-90-90-asb-72.txt","Contig-72")</f>
        <v>Contig-72</v>
      </c>
      <c r="I73" s="1">
        <v>72</v>
      </c>
      <c r="J73" t="str">
        <f>HYPERLINK("http://exon.niaid.nih.gov/transcriptome/An_gambiae_male_2006/ST1/links/AGM-7-90-90-72-CLU.txt","Contig72")</f>
        <v>Contig72</v>
      </c>
      <c r="K73" t="s">
        <v>525</v>
      </c>
      <c r="L73" s="2" t="str">
        <f>HYPERLINK("http://exon.niaid.nih.gov/transcriptome/An_gambiae_male_2006/ST1/links/AGM-contig_72-AGFRAG.txt","2R_Piece#25")</f>
        <v>2R_Piece#25</v>
      </c>
      <c r="M73" s="4">
        <v>1E-135</v>
      </c>
      <c r="N73" s="2" t="str">
        <f>HYPERLINK("http://exon.niaid.nih.gov/transcriptome/An_gambiae_male_2006/ST1/links/AGM-contig_72-AG3P.txt","ENSANGP00000012072")</f>
        <v>ENSANGP00000012072</v>
      </c>
      <c r="O73" s="1" t="str">
        <f>HYPERLINK("http://www.anobase.org/cgi-bin/uniexcel_new_var6.pl?proteinname=ENSANGP00000012072","1.E-135")</f>
        <v>1.E-135</v>
      </c>
      <c r="R73" s="2" t="str">
        <f>HYPERLINK("http://exon.niaid.nih.gov/transcriptome/An_gambiae_male_2006/ST1/links/AGM-contig_72-AGPROT.txt","ENSANGP00000008152")</f>
        <v>ENSANGP00000008152</v>
      </c>
      <c r="S73" s="1" t="str">
        <f>HYPERLINK("http://www.ensembl.org/Anopheles_gambiae/protview?peptide=ENSANGP00000008152","0.61")</f>
        <v>0.61</v>
      </c>
      <c r="T73" s="1" t="str">
        <f>HYPERLINK("http://www.anobase.org/cgi-bin/uniexcel_new_var6.pl?proteinname=ENSANGP00000008152","0.61")</f>
        <v>0.61</v>
      </c>
      <c r="U73" s="2" t="str">
        <f>HYPERLINK("http://exon.niaid.nih.gov/transcriptome/An_gambiae_male_2006/ST1/links/AGCDS/AGM-contig_72-AGCDS.txt","ENSANGT00000012072")</f>
        <v>ENSANGT00000012072</v>
      </c>
      <c r="V73" s="1">
        <v>8E-51</v>
      </c>
      <c r="AC73" s="2" t="str">
        <f>HYPERLINK("http://exon.niaid.nih.gov/transcriptome/An_gambiae_male_2006/ST1/links/AGM-contig_72-NR.txt","hypothetical protein [Neurospora cr")</f>
        <v>hypothetical protein [Neurospora cr</v>
      </c>
      <c r="AD73" s="1" t="str">
        <f>HYPERLINK("http://www.ncbi.nlm.nih.gov/sutils/blink.cgi?pid=32418560","1.3")</f>
        <v>1.3</v>
      </c>
      <c r="AE73" s="1" t="s">
        <v>313</v>
      </c>
      <c r="AF73" s="9" t="s">
        <v>130</v>
      </c>
      <c r="AG73" s="6" t="s">
        <v>381</v>
      </c>
      <c r="AH73" s="6" t="s">
        <v>27</v>
      </c>
      <c r="AJ73" s="6">
        <f>AJ72+1</f>
        <v>72</v>
      </c>
    </row>
    <row r="74" spans="1:36" ht="9.75">
      <c r="A74" t="str">
        <f>HYPERLINK("http://exon.niaid.nih.gov/transcriptome/An_gambiae_male_2006/ST1/links/AGM-contig_247.txt","AGM-contig_247")</f>
        <v>AGM-contig_247</v>
      </c>
      <c r="B74" s="1">
        <v>1</v>
      </c>
      <c r="C74" s="1">
        <v>113</v>
      </c>
      <c r="D74" s="1">
        <f>D73+B74</f>
        <v>134</v>
      </c>
      <c r="E74" s="1" t="s">
        <v>209</v>
      </c>
      <c r="F74" s="1">
        <v>70.8</v>
      </c>
      <c r="G74" s="1">
        <v>94</v>
      </c>
      <c r="H74" t="str">
        <f>HYPERLINK("http://exon.niaid.nih.gov/transcriptome/An_gambiae_male_2006/ST1/links/AGM-7-90-90-asb-247.txt","Contig-247")</f>
        <v>Contig-247</v>
      </c>
      <c r="I74" s="1">
        <v>247</v>
      </c>
      <c r="J74" t="str">
        <f>HYPERLINK("http://exon.niaid.nih.gov/transcriptome/An_gambiae_male_2006/ST1/links/AGM-7-90-90-247-CLU.txt","Contig247")</f>
        <v>Contig247</v>
      </c>
      <c r="K74" t="s">
        <v>700</v>
      </c>
      <c r="L74" s="2" t="str">
        <f>HYPERLINK("http://exon.niaid.nih.gov/transcriptome/An_gambiae_male_2006/ST1/links/AGM-contig_247-AGFRAG.txt","3R_Piece#129")</f>
        <v>3R_Piece#129</v>
      </c>
      <c r="M74" s="4">
        <v>6E-31</v>
      </c>
      <c r="N74" s="2" t="str">
        <f>HYPERLINK("http://exon.niaid.nih.gov/transcriptome/An_gambiae_male_2006/ST1/links/AGM-contig_247-AG3P.txt","ENSANGP00000010107")</f>
        <v>ENSANGP00000010107</v>
      </c>
      <c r="O74" s="1" t="str">
        <f>HYPERLINK("http://www.anobase.org/cgi-bin/uniexcel_new_var6.pl?proteinname=ENSANGP00000010107","1.E-31")</f>
        <v>1.E-31</v>
      </c>
      <c r="P74" s="2" t="str">
        <f>HYPERLINK("http://exon.niaid.nih.gov/transcriptome/An_gambiae_male_2006/ST1/links/AGM-contig_247-AG5P.txt","ENSANGP00000010096")</f>
        <v>ENSANGP00000010096</v>
      </c>
      <c r="Q74" s="4" t="str">
        <f>HYPERLINK("http://www.anobase.org/cgi-bin/uniexcel_new_var6.pl?proteinname=ENSANGP00000010096","1.E-31")</f>
        <v>1.E-31</v>
      </c>
      <c r="R74" s="2" t="str">
        <f>HYPERLINK("http://exon.niaid.nih.gov/transcriptome/An_gambiae_male_2006/ST1/links/AGM-contig_247-AGPROT.txt","ENSANGP00000029440")</f>
        <v>ENSANGP00000029440</v>
      </c>
      <c r="S74" s="1" t="str">
        <f>HYPERLINK("http://www.ensembl.org/Anopheles_gambiae/protview?peptide=ENSANGP00000029440","8.1")</f>
        <v>8.1</v>
      </c>
      <c r="T74" s="1" t="str">
        <f>HYPERLINK("http://www.anobase.org/cgi-bin/uniexcel_new_var6.pl?proteinname=ENSANGP00000029440","8.1")</f>
        <v>8.1</v>
      </c>
      <c r="AG74" s="6" t="s">
        <v>469</v>
      </c>
      <c r="AH74" s="6" t="s">
        <v>27</v>
      </c>
      <c r="AJ74" s="6">
        <f>AJ73+1</f>
        <v>73</v>
      </c>
    </row>
    <row r="75" spans="1:36" ht="9.75">
      <c r="A75" t="str">
        <f>HYPERLINK("http://exon.niaid.nih.gov/transcriptome/An_gambiae_male_2006/ST1/links/AGM-contig_245.txt","AGM-contig_245")</f>
        <v>AGM-contig_245</v>
      </c>
      <c r="B75" s="1">
        <v>1</v>
      </c>
      <c r="C75" s="1">
        <v>176</v>
      </c>
      <c r="D75" s="1">
        <f>D74+B75</f>
        <v>135</v>
      </c>
      <c r="E75" s="1">
        <v>1.7</v>
      </c>
      <c r="F75" s="1">
        <v>76.1</v>
      </c>
      <c r="G75" s="1">
        <v>106</v>
      </c>
      <c r="H75" t="str">
        <f>HYPERLINK("http://exon.niaid.nih.gov/transcriptome/An_gambiae_male_2006/ST1/links/AGM-7-90-90-asb-245.txt","Contig-245")</f>
        <v>Contig-245</v>
      </c>
      <c r="I75" s="1">
        <v>245</v>
      </c>
      <c r="J75" t="str">
        <f>HYPERLINK("http://exon.niaid.nih.gov/transcriptome/An_gambiae_male_2006/ST1/links/AGM-7-90-90-245-CLU.txt","Contig245")</f>
        <v>Contig245</v>
      </c>
      <c r="K75" t="s">
        <v>698</v>
      </c>
      <c r="L75" s="2" t="str">
        <f>HYPERLINK("http://exon.niaid.nih.gov/transcriptome/An_gambiae_male_2006/ST1/links/AGM-contig_245-AGFRAG.txt","3R_Piece#21")</f>
        <v>3R_Piece#21</v>
      </c>
      <c r="M75" s="4">
        <v>5E-45</v>
      </c>
      <c r="N75" s="2" t="str">
        <f>HYPERLINK("http://exon.niaid.nih.gov/transcriptome/An_gambiae_male_2006/ST1/links/AGM-contig_245-AG3P.txt","ENSANGP00000010120")</f>
        <v>ENSANGP00000010120</v>
      </c>
      <c r="O75" s="1" t="str">
        <f>HYPERLINK("http://www.anobase.org/cgi-bin/uniexcel_new_var6.pl?proteinname=ENSANGP00000010120","1.E-45")</f>
        <v>1.E-45</v>
      </c>
      <c r="R75" s="2" t="str">
        <f>HYPERLINK("http://exon.niaid.nih.gov/transcriptome/An_gambiae_male_2006/ST1/links/AGM-contig_245-AGPROT.txt","ENSANGP00000018210")</f>
        <v>ENSANGP00000018210</v>
      </c>
      <c r="S75" s="1" t="str">
        <f>HYPERLINK("http://www.ensembl.org/Anopheles_gambiae/protview?peptide=ENSANGP00000018210","8.7")</f>
        <v>8.7</v>
      </c>
      <c r="T75" s="1" t="str">
        <f>HYPERLINK("http://www.anobase.org/cgi-bin/uniexcel_new_var6.pl?proteinname=ENSANGP00000018210","8.7")</f>
        <v>8.7</v>
      </c>
      <c r="AG75" s="6" t="s">
        <v>470</v>
      </c>
      <c r="AH75" s="6" t="s">
        <v>27</v>
      </c>
      <c r="AJ75" s="6">
        <f>AJ74+1</f>
        <v>74</v>
      </c>
    </row>
    <row r="76" spans="1:36" ht="9.75">
      <c r="A76" t="str">
        <f>HYPERLINK("http://exon.niaid.nih.gov/transcriptome/An_gambiae_male_2006/ST1/links/AGM-contig_194.txt","AGM-contig_194")</f>
        <v>AGM-contig_194</v>
      </c>
      <c r="B76" s="1">
        <v>1</v>
      </c>
      <c r="C76" s="1">
        <v>136</v>
      </c>
      <c r="D76" s="1">
        <f>D75+B76</f>
        <v>136</v>
      </c>
      <c r="E76" s="1">
        <v>0.7</v>
      </c>
      <c r="F76" s="1">
        <v>60.3</v>
      </c>
      <c r="G76" s="1">
        <v>117</v>
      </c>
      <c r="H76" t="str">
        <f>HYPERLINK("http://exon.niaid.nih.gov/transcriptome/An_gambiae_male_2006/ST1/links/AGM-7-90-90-asb-194.txt","Contig-194")</f>
        <v>Contig-194</v>
      </c>
      <c r="I76" s="1">
        <v>194</v>
      </c>
      <c r="J76" t="str">
        <f>HYPERLINK("http://exon.niaid.nih.gov/transcriptome/An_gambiae_male_2006/ST1/links/AGM-7-90-90-194-CLU.txt","Contig194")</f>
        <v>Contig194</v>
      </c>
      <c r="K76" t="s">
        <v>647</v>
      </c>
      <c r="L76" s="2" t="str">
        <f>HYPERLINK("http://exon.niaid.nih.gov/transcriptome/An_gambiae_male_2006/ST1/links/AGM-contig_194-AGFRAG.txt","2R_Piece#2112")</f>
        <v>2R_Piece#2112</v>
      </c>
      <c r="M76" s="4">
        <v>2E-43</v>
      </c>
      <c r="N76" s="2" t="str">
        <f>HYPERLINK("http://exon.niaid.nih.gov/transcriptome/An_gambiae_male_2006/ST1/links/AGM-contig_194-AG3P.txt","ENSANGP00000011254")</f>
        <v>ENSANGP00000011254</v>
      </c>
      <c r="O76" s="1" t="str">
        <f>HYPERLINK("http://www.anobase.org/cgi-bin/uniexcel_new_var6.pl?proteinname=ENSANGP00000011254","5.E-44")</f>
        <v>5.E-44</v>
      </c>
      <c r="U76" s="2" t="str">
        <f>HYPERLINK("http://exon.niaid.nih.gov/transcriptome/An_gambiae_male_2006/ST1/links/AGCDS/AGM-contig_194-AGCDS.txt","ENSANGT00000024412")</f>
        <v>ENSANGT00000024412</v>
      </c>
      <c r="V76" s="1">
        <v>1E-44</v>
      </c>
      <c r="AA76" s="2" t="str">
        <f>HYPERLINK("http://exon.niaid.nih.gov/transcriptome/An_gambiae_male_2006/ST1/links/AGM-contig_194-AGNUC.txt","AG-contig_298")</f>
        <v>AG-contig_298</v>
      </c>
      <c r="AB76" s="1">
        <v>1E-43</v>
      </c>
      <c r="AG76" s="6" t="s">
        <v>351</v>
      </c>
      <c r="AH76" s="6" t="s">
        <v>27</v>
      </c>
      <c r="AJ76" s="6">
        <f>AJ75+1</f>
        <v>75</v>
      </c>
    </row>
    <row r="77" spans="1:36" ht="9.75">
      <c r="A77" t="str">
        <f>HYPERLINK("http://exon.niaid.nih.gov/transcriptome/An_gambiae_male_2006/ST1/links/AGM-contig_67.txt","AGM-contig_67")</f>
        <v>AGM-contig_67</v>
      </c>
      <c r="B77" s="1">
        <v>2</v>
      </c>
      <c r="C77" s="1">
        <v>364</v>
      </c>
      <c r="D77" s="1">
        <f>D76+B77</f>
        <v>138</v>
      </c>
      <c r="E77" s="1" t="s">
        <v>209</v>
      </c>
      <c r="F77" s="1">
        <v>56</v>
      </c>
      <c r="G77" s="1">
        <v>345</v>
      </c>
      <c r="H77" t="str">
        <f>HYPERLINK("http://exon.niaid.nih.gov/transcriptome/An_gambiae_male_2006/ST1/links/AGM-7-90-90-asb-67.txt","Contig-67")</f>
        <v>Contig-67</v>
      </c>
      <c r="I77" s="1">
        <v>67</v>
      </c>
      <c r="J77" t="str">
        <f>HYPERLINK("http://exon.niaid.nih.gov/transcriptome/An_gambiae_male_2006/ST1/links/AGM-7-90-90-67-CLU.txt","Contig67")</f>
        <v>Contig67</v>
      </c>
      <c r="K77" t="s">
        <v>520</v>
      </c>
      <c r="L77" s="2" t="str">
        <f>HYPERLINK("http://exon.niaid.nih.gov/transcriptome/An_gambiae_male_2006/ST1/links/AGM-contig_67-AGFRAG.txt","3R_Piece#2095")</f>
        <v>3R_Piece#2095</v>
      </c>
      <c r="M77" s="4">
        <v>0</v>
      </c>
      <c r="N77" s="2" t="str">
        <f>HYPERLINK("http://exon.niaid.nih.gov/transcriptome/An_gambiae_male_2006/ST1/links/AGM-contig_67-AG3P.txt","ENSANGP00000014430")</f>
        <v>ENSANGP00000014430</v>
      </c>
      <c r="O77" s="1" t="str">
        <f>HYPERLINK("http://www.anobase.org/cgi-bin/uniexcel_new_var6.pl?proteinname=ENSANGP00000014430","1.E-166")</f>
        <v>1.E-166</v>
      </c>
      <c r="P77" s="2" t="str">
        <f>HYPERLINK("http://exon.niaid.nih.gov/transcriptome/An_gambiae_male_2006/ST1/links/AGM-contig_67-AG5P.txt","ENSANGP00000002872")</f>
        <v>ENSANGP00000002872</v>
      </c>
      <c r="Q77" s="4" t="str">
        <f>HYPERLINK("http://www.anobase.org/cgi-bin/uniexcel_new_var6.pl?proteinname=ENSANGP00000002872","0.E+00")</f>
        <v>0.E+00</v>
      </c>
      <c r="R77" s="2" t="str">
        <f>HYPERLINK("http://exon.niaid.nih.gov/transcriptome/An_gambiae_male_2006/ST1/links/AGM-contig_67-AGPROT.txt","ENSANGP00000014430")</f>
        <v>ENSANGP00000014430</v>
      </c>
      <c r="S77" s="1" t="str">
        <f>HYPERLINK("http://www.ensembl.org/Anopheles_gambiae/protview?peptide=ENSANGP00000014430","1E-028")</f>
        <v>1E-028</v>
      </c>
      <c r="T77" s="1" t="str">
        <f>HYPERLINK("http://www.anobase.org/cgi-bin/uniexcel_new_var6.pl?proteinname=ENSANGP00000014430","1E-028")</f>
        <v>1E-028</v>
      </c>
      <c r="U77" s="2" t="str">
        <f>HYPERLINK("http://exon.niaid.nih.gov/transcriptome/An_gambiae_male_2006/ST1/links/AGCDS/AGM-contig_67-AGCDS.txt","ENSANGT00000014430")</f>
        <v>ENSANGT00000014430</v>
      </c>
      <c r="V77" s="1">
        <v>0</v>
      </c>
      <c r="AC77" s="2" t="str">
        <f>HYPERLINK("http://exon.niaid.nih.gov/transcriptome/An_gambiae_male_2006/ST1/links/AGM-contig_67-NR.txt","ENSANGP00000014430 [Anopheles gambiae]   120   7e-027")</f>
        <v>ENSANGP00000014430 [Anopheles gambiae]   120   7e-027</v>
      </c>
      <c r="AD77" s="1" t="str">
        <f>HYPERLINK("http://www.ncbi.nlm.nih.gov/sutils/blink.cgi?pid=31236609","7E-027")</f>
        <v>7E-027</v>
      </c>
      <c r="AE77" s="1" t="s">
        <v>313</v>
      </c>
      <c r="AF77" s="9" t="s">
        <v>115</v>
      </c>
      <c r="AG77" s="6" t="s">
        <v>389</v>
      </c>
      <c r="AH77" s="6" t="s">
        <v>30</v>
      </c>
      <c r="AJ77" s="6">
        <f>AJ76+1</f>
        <v>76</v>
      </c>
    </row>
    <row r="78" spans="1:36" ht="9.75">
      <c r="A78" t="str">
        <f>HYPERLINK("http://exon.niaid.nih.gov/transcriptome/An_gambiae_male_2006/ST1/links/AGM-contig_303.txt","AGM-contig_303")</f>
        <v>AGM-contig_303</v>
      </c>
      <c r="B78" s="1">
        <v>1</v>
      </c>
      <c r="C78" s="1">
        <v>337</v>
      </c>
      <c r="D78" s="1">
        <f>D77+B78</f>
        <v>139</v>
      </c>
      <c r="E78" s="1" t="s">
        <v>209</v>
      </c>
      <c r="F78" s="1">
        <v>50.4</v>
      </c>
      <c r="G78" s="1">
        <v>318</v>
      </c>
      <c r="H78" t="str">
        <f>HYPERLINK("http://exon.niaid.nih.gov/transcriptome/An_gambiae_male_2006/ST1/links/AGM-7-90-90-asb-303.txt","Contig-303")</f>
        <v>Contig-303</v>
      </c>
      <c r="I78" s="1">
        <v>303</v>
      </c>
      <c r="J78" t="str">
        <f>HYPERLINK("http://exon.niaid.nih.gov/transcriptome/An_gambiae_male_2006/ST1/links/AGM-7-90-90-303-CLU.txt","Contig303")</f>
        <v>Contig303</v>
      </c>
      <c r="K78" t="s">
        <v>170</v>
      </c>
      <c r="L78" s="2" t="str">
        <f>HYPERLINK("http://exon.niaid.nih.gov/transcriptome/An_gambiae_male_2006/ST1/links/AGM-contig_303-AGFRAG.txt","2L_Piece#220")</f>
        <v>2L_Piece#220</v>
      </c>
      <c r="M78" s="4">
        <v>1E-169</v>
      </c>
      <c r="N78" s="2" t="str">
        <f>HYPERLINK("http://exon.niaid.nih.gov/transcriptome/An_gambiae_male_2006/ST1/links/AGM-contig_303-AG3P.txt","ENSANGP00000026442")</f>
        <v>ENSANGP00000026442</v>
      </c>
      <c r="O78" s="1" t="str">
        <f>HYPERLINK("http://www.anobase.org/cgi-bin/uniexcel_new_var6.pl?proteinname=ENSANGP00000026442","1.E-129")</f>
        <v>1.E-129</v>
      </c>
      <c r="P78" s="2" t="str">
        <f>HYPERLINK("http://exon.niaid.nih.gov/transcriptome/An_gambiae_male_2006/ST1/links/AGM-contig_303-AG5P.txt","ENSANGP00000021318")</f>
        <v>ENSANGP00000021318</v>
      </c>
      <c r="Q78" s="4" t="str">
        <f>HYPERLINK("http://www.anobase.org/cgi-bin/uniexcel_new_var6.pl?proteinname=ENSANGP00000021318","1.E-169")</f>
        <v>1.E-169</v>
      </c>
      <c r="R78" s="2" t="str">
        <f>HYPERLINK("http://exon.niaid.nih.gov/transcriptome/An_gambiae_male_2006/ST1/links/AGM-contig_303-AGPROT.txt","ENSANGP00000026442")</f>
        <v>ENSANGP00000026442</v>
      </c>
      <c r="S78" s="1" t="str">
        <f>HYPERLINK("http://www.ensembl.org/Anopheles_gambiae/protview?peptide=ENSANGP00000026442","6E-039")</f>
        <v>6E-039</v>
      </c>
      <c r="T78" s="1" t="str">
        <f>HYPERLINK("http://www.anobase.org/cgi-bin/uniexcel_new_var6.pl?proteinname=ENSANGP00000026442","6E-039")</f>
        <v>6E-039</v>
      </c>
      <c r="U78" s="2" t="str">
        <f>HYPERLINK("http://exon.niaid.nih.gov/transcriptome/An_gambiae_male_2006/ST1/links/AGCDS/AGM-contig_303-AGCDS.txt","ENSANGT00000026244")</f>
        <v>ENSANGT00000026244</v>
      </c>
      <c r="V78" s="1">
        <v>1E-170</v>
      </c>
      <c r="AC78" s="2" t="str">
        <f>HYPERLINK("http://exon.niaid.nih.gov/transcriptome/An_gambiae_male_2006/ST1/links/AGM-contig_303-NR.txt","ENSANGP00000021358 [Anopheles gambiae]   154   5e-037")</f>
        <v>ENSANGP00000021358 [Anopheles gambiae]   154   5e-037</v>
      </c>
      <c r="AD78" s="1" t="str">
        <f>HYPERLINK("http://www.ncbi.nlm.nih.gov/sutils/blink.cgi?pid=31212049","5E-037")</f>
        <v>5E-037</v>
      </c>
      <c r="AE78" s="1" t="s">
        <v>313</v>
      </c>
      <c r="AF78" s="9" t="s">
        <v>444</v>
      </c>
      <c r="AG78" s="6" t="s">
        <v>734</v>
      </c>
      <c r="AH78" s="6" t="s">
        <v>30</v>
      </c>
      <c r="AJ78" s="6">
        <f>AJ77+1</f>
        <v>77</v>
      </c>
    </row>
    <row r="79" spans="1:36" ht="9.75">
      <c r="A79" t="str">
        <f>HYPERLINK("http://exon.niaid.nih.gov/transcriptome/An_gambiae_male_2006/ST1/links/AGM-contig_290.txt","AGM-contig_290")</f>
        <v>AGM-contig_290</v>
      </c>
      <c r="B79" s="1">
        <v>1</v>
      </c>
      <c r="C79" s="1">
        <v>278</v>
      </c>
      <c r="D79" s="1">
        <f>D78+B79</f>
        <v>140</v>
      </c>
      <c r="E79" s="1" t="s">
        <v>209</v>
      </c>
      <c r="F79" s="1">
        <v>47.5</v>
      </c>
      <c r="G79" s="1">
        <v>259</v>
      </c>
      <c r="H79" t="str">
        <f>HYPERLINK("http://exon.niaid.nih.gov/transcriptome/An_gambiae_male_2006/ST1/links/AGM-7-90-90-asb-290.txt","Contig-290")</f>
        <v>Contig-290</v>
      </c>
      <c r="I79" s="1">
        <v>290</v>
      </c>
      <c r="J79" t="str">
        <f>HYPERLINK("http://exon.niaid.nih.gov/transcriptome/An_gambiae_male_2006/ST1/links/AGM-7-90-90-290-CLU.txt","Contig290")</f>
        <v>Contig290</v>
      </c>
      <c r="K79" t="s">
        <v>157</v>
      </c>
      <c r="L79" s="2" t="str">
        <f>HYPERLINK("http://exon.niaid.nih.gov/transcriptome/An_gambiae_male_2006/ST1/links/AGM-contig_290-AGFRAG.txt","2R_Piece#212")</f>
        <v>2R_Piece#212</v>
      </c>
      <c r="M79" s="4">
        <v>1E-140</v>
      </c>
      <c r="N79" s="2" t="str">
        <f>HYPERLINK("http://exon.niaid.nih.gov/transcriptome/An_gambiae_male_2006/ST1/links/AGM-contig_290-AG3P.txt","ENSANGP00000026842")</f>
        <v>ENSANGP00000026842</v>
      </c>
      <c r="O79" s="1" t="str">
        <f>HYPERLINK("http://www.anobase.org/cgi-bin/uniexcel_new_var6.pl?proteinname=ENSANGP00000026842","1.E-111")</f>
        <v>1.E-111</v>
      </c>
      <c r="P79" s="2" t="str">
        <f>HYPERLINK("http://exon.niaid.nih.gov/transcriptome/An_gambiae_male_2006/ST1/links/AGM-contig_290-AG5P.txt","ENSANGP00000026392")</f>
        <v>ENSANGP00000026392</v>
      </c>
      <c r="Q79" s="4" t="str">
        <f>HYPERLINK("http://www.anobase.org/cgi-bin/uniexcel_new_var6.pl?proteinname=ENSANGP00000026392","1.E-141")</f>
        <v>1.E-141</v>
      </c>
      <c r="R79" s="2" t="str">
        <f>HYPERLINK("http://exon.niaid.nih.gov/transcriptome/An_gambiae_male_2006/ST1/links/AGM-contig_290-AGPROT.txt","ENSANGP00000026842")</f>
        <v>ENSANGP00000026842</v>
      </c>
      <c r="S79" s="1" t="str">
        <f>HYPERLINK("http://www.ensembl.org/Anopheles_gambiae/protview?peptide=ENSANGP00000026842","3E-030")</f>
        <v>3E-030</v>
      </c>
      <c r="T79" s="1" t="str">
        <f>HYPERLINK("http://www.anobase.org/cgi-bin/uniexcel_new_var6.pl?proteinname=ENSANGP00000026842","3E-030")</f>
        <v>3E-030</v>
      </c>
      <c r="U79" s="2" t="str">
        <f>HYPERLINK("http://exon.niaid.nih.gov/transcriptome/An_gambiae_male_2006/ST1/links/AGCDS/AGM-contig_290-AGCDS.txt","ENSANGT00000011784")</f>
        <v>ENSANGT00000011784</v>
      </c>
      <c r="V79" s="1">
        <v>1E-141</v>
      </c>
      <c r="AA79" s="2" t="str">
        <f>HYPERLINK("http://exon.niaid.nih.gov/transcriptome/An_gambiae_male_2006/ST1/links/AGM-contig_290-AGNUC.txt","AG-contig_237")</f>
        <v>AG-contig_237</v>
      </c>
      <c r="AB79" s="1">
        <v>1E-137</v>
      </c>
      <c r="AC79" s="2" t="str">
        <f>HYPERLINK("http://exon.niaid.nih.gov/transcriptome/An_gambiae_male_2006/ST1/links/AGM-contig_290-NR.txt","ENSANGP00000011784 [Anopheles gambiae]   125   3e-028")</f>
        <v>ENSANGP00000011784 [Anopheles gambiae]   125   3e-028</v>
      </c>
      <c r="AD79" s="1" t="str">
        <f>HYPERLINK("http://www.ncbi.nlm.nih.gov/sutils/blink.cgi?pid=31242475","3E-028")</f>
        <v>3E-028</v>
      </c>
      <c r="AE79" s="1" t="s">
        <v>313</v>
      </c>
      <c r="AF79" s="9" t="s">
        <v>114</v>
      </c>
      <c r="AG79" s="6" t="s">
        <v>72</v>
      </c>
      <c r="AH79" s="6" t="s">
        <v>30</v>
      </c>
      <c r="AJ79" s="6">
        <f>AJ78+1</f>
        <v>78</v>
      </c>
    </row>
    <row r="80" spans="1:36" ht="9.75">
      <c r="A80" t="str">
        <f>HYPERLINK("http://exon.niaid.nih.gov/transcriptome/An_gambiae_male_2006/ST1/links/AGM-contig_230.txt","AGM-contig_230")</f>
        <v>AGM-contig_230</v>
      </c>
      <c r="B80" s="1">
        <v>1</v>
      </c>
      <c r="C80" s="1">
        <v>323</v>
      </c>
      <c r="D80" s="1">
        <f>D79+B80</f>
        <v>141</v>
      </c>
      <c r="E80" s="1">
        <v>2.8</v>
      </c>
      <c r="F80" s="1">
        <v>49.8</v>
      </c>
      <c r="G80" s="1" t="s">
        <v>260</v>
      </c>
      <c r="H80" t="str">
        <f>HYPERLINK("http://exon.niaid.nih.gov/transcriptome/An_gambiae_male_2006/ST1/links/AGM-7-90-90-asb-230.txt","Contig-230")</f>
        <v>Contig-230</v>
      </c>
      <c r="I80" s="1">
        <v>230</v>
      </c>
      <c r="J80" t="str">
        <f>HYPERLINK("http://exon.niaid.nih.gov/transcriptome/An_gambiae_male_2006/ST1/links/AGM-7-90-90-230-CLU.txt","Contig230")</f>
        <v>Contig230</v>
      </c>
      <c r="K80" t="s">
        <v>683</v>
      </c>
      <c r="L80" s="2" t="str">
        <f>HYPERLINK("http://exon.niaid.nih.gov/transcriptome/An_gambiae_male_2006/ST1/links/AGM-contig_230-AGFRAG.txt","2L_Piece#1890")</f>
        <v>2L_Piece#1890</v>
      </c>
      <c r="M80" s="4">
        <v>1E-135</v>
      </c>
      <c r="N80" s="2" t="str">
        <f>HYPERLINK("http://exon.niaid.nih.gov/transcriptome/An_gambiae_male_2006/ST1/links/AGM-contig_230-AG3P.txt","ENSANGP00000010955")</f>
        <v>ENSANGP00000010955</v>
      </c>
      <c r="O80" s="1" t="str">
        <f>HYPERLINK("http://www.anobase.org/cgi-bin/uniexcel_new_var6.pl?proteinname=ENSANGP00000010955","1.E-136")</f>
        <v>1.E-136</v>
      </c>
      <c r="P80" s="2" t="str">
        <f>HYPERLINK("http://exon.niaid.nih.gov/transcriptome/An_gambiae_male_2006/ST1/links/AGM-contig_230-AG5P.txt","ENSANGP00000029334")</f>
        <v>ENSANGP00000029334</v>
      </c>
      <c r="Q80" s="4" t="str">
        <f>HYPERLINK("http://www.anobase.org/cgi-bin/uniexcel_new_var6.pl?proteinname=ENSANGP00000029334","1.E-136")</f>
        <v>1.E-136</v>
      </c>
      <c r="R80" s="2" t="str">
        <f>HYPERLINK("http://exon.niaid.nih.gov/transcriptome/An_gambiae_male_2006/ST1/links/AGM-contig_230-AGPROT.txt","ENSANGP00000010955")</f>
        <v>ENSANGP00000010955</v>
      </c>
      <c r="S80" s="1" t="str">
        <f>HYPERLINK("http://www.ensembl.org/Anopheles_gambiae/protview?peptide=ENSANGP00000010955","3E-012")</f>
        <v>3E-012</v>
      </c>
      <c r="T80" s="1" t="str">
        <f>HYPERLINK("http://www.anobase.org/cgi-bin/uniexcel_new_var6.pl?proteinname=ENSANGP00000010955","3E-012")</f>
        <v>3E-012</v>
      </c>
      <c r="U80" s="2" t="str">
        <f>HYPERLINK("http://exon.niaid.nih.gov/transcriptome/An_gambiae_male_2006/ST1/links/AGCDS/AGM-contig_230-AGCDS.txt","ENSANGT00000010955")</f>
        <v>ENSANGT00000010955</v>
      </c>
      <c r="V80" s="1">
        <v>1E-136</v>
      </c>
      <c r="AA80" s="2" t="str">
        <f>HYPERLINK("http://exon.niaid.nih.gov/transcriptome/An_gambiae_male_2006/ST1/links/AGM-contig_230-AGNUC.txt","AG-contig_631")</f>
        <v>AG-contig_631</v>
      </c>
      <c r="AB80" s="1">
        <v>1E-133</v>
      </c>
      <c r="AC80" s="2" t="str">
        <f>HYPERLINK("http://exon.niaid.nih.gov/transcriptome/An_gambiae_male_2006/ST1/links/AGM-contig_230-NR.txt","ENSANGP00000010955 [Anopheles gambiae]    65   3e-010")</f>
        <v>ENSANGP00000010955 [Anopheles gambiae]    65   3e-010</v>
      </c>
      <c r="AD80" s="1" t="str">
        <f>HYPERLINK("http://www.ncbi.nlm.nih.gov/sutils/blink.cgi?pid=31198693","3E-010")</f>
        <v>3E-010</v>
      </c>
      <c r="AE80" s="1" t="s">
        <v>313</v>
      </c>
      <c r="AF80" s="9" t="s">
        <v>102</v>
      </c>
      <c r="AG80" s="6" t="s">
        <v>77</v>
      </c>
      <c r="AH80" s="6" t="s">
        <v>30</v>
      </c>
      <c r="AJ80" s="6">
        <f>AJ79+1</f>
        <v>79</v>
      </c>
    </row>
    <row r="81" spans="1:36" ht="9.75">
      <c r="A81" t="str">
        <f>HYPERLINK("http://exon.niaid.nih.gov/transcriptome/An_gambiae_male_2006/ST1/links/AGM-contig_242.txt","AGM-contig_242")</f>
        <v>AGM-contig_242</v>
      </c>
      <c r="B81" s="1">
        <v>1</v>
      </c>
      <c r="C81" s="1">
        <v>192</v>
      </c>
      <c r="D81" s="1">
        <f>D80+B81</f>
        <v>142</v>
      </c>
      <c r="E81" s="1" t="s">
        <v>209</v>
      </c>
      <c r="F81" s="1">
        <v>58.3</v>
      </c>
      <c r="G81" s="1">
        <v>173</v>
      </c>
      <c r="H81" t="str">
        <f>HYPERLINK("http://exon.niaid.nih.gov/transcriptome/An_gambiae_male_2006/ST1/links/AGM-7-90-90-asb-242.txt","Contig-242")</f>
        <v>Contig-242</v>
      </c>
      <c r="I81" s="1">
        <v>242</v>
      </c>
      <c r="J81" t="str">
        <f>HYPERLINK("http://exon.niaid.nih.gov/transcriptome/An_gambiae_male_2006/ST1/links/AGM-7-90-90-242-CLU.txt","Contig242")</f>
        <v>Contig242</v>
      </c>
      <c r="K81" t="s">
        <v>695</v>
      </c>
      <c r="L81" s="2" t="str">
        <f>HYPERLINK("http://exon.niaid.nih.gov/transcriptome/An_gambiae_male_2006/ST1/links/AGM-contig_242-AGFRAG.txt","3R_Piece#1362")</f>
        <v>3R_Piece#1362</v>
      </c>
      <c r="M81" s="4">
        <v>5E-42</v>
      </c>
      <c r="N81" s="2" t="str">
        <f>HYPERLINK("http://exon.niaid.nih.gov/transcriptome/An_gambiae_male_2006/ST1/links/AGM-contig_242-AG3P.txt","ENSANGP00000018631")</f>
        <v>ENSANGP00000018631</v>
      </c>
      <c r="O81" s="1" t="str">
        <f>HYPERLINK("http://www.anobase.org/cgi-bin/uniexcel_new_var6.pl?proteinname=ENSANGP00000018631","9.E-28")</f>
        <v>9.E-28</v>
      </c>
      <c r="P81" s="2" t="str">
        <f>HYPERLINK("http://exon.niaid.nih.gov/transcriptome/An_gambiae_male_2006/ST1/links/AGM-contig_242-AG5P.txt","ENSANGP00000018610")</f>
        <v>ENSANGP00000018610</v>
      </c>
      <c r="Q81" s="4" t="str">
        <f>HYPERLINK("http://www.anobase.org/cgi-bin/uniexcel_new_var6.pl?proteinname=ENSANGP00000018610","1.E-42")</f>
        <v>1.E-42</v>
      </c>
      <c r="R81" s="2" t="str">
        <f>HYPERLINK("http://exon.niaid.nih.gov/transcriptome/An_gambiae_male_2006/ST1/links/AGM-contig_242-AGPROT.txt","ENSANGP00000018631")</f>
        <v>ENSANGP00000018631</v>
      </c>
      <c r="S81" s="1" t="str">
        <f>HYPERLINK("http://www.ensembl.org/Anopheles_gambiae/protview?peptide=ENSANGP00000018631","4E-007")</f>
        <v>4E-007</v>
      </c>
      <c r="T81" s="1" t="str">
        <f>HYPERLINK("http://www.anobase.org/cgi-bin/uniexcel_new_var6.pl?proteinname=ENSANGP00000018631","4E-007")</f>
        <v>4E-007</v>
      </c>
      <c r="U81" s="2" t="str">
        <f>HYPERLINK("http://exon.niaid.nih.gov/transcriptome/An_gambiae_male_2006/ST1/links/AGCDS/AGM-contig_242-AGCDS.txt","ENSANGT00000018631")</f>
        <v>ENSANGT00000018631</v>
      </c>
      <c r="V81" s="1">
        <v>1E-79</v>
      </c>
      <c r="AC81" s="2" t="str">
        <f>HYPERLINK("http://exon.niaid.nih.gov/transcriptome/An_gambiae_male_2006/ST1/links/AGM-contig_242-NR.txt","ENSANGP00000018631 [Anopheles gambiae")</f>
        <v>ENSANGP00000018631 [Anopheles gambiae</v>
      </c>
      <c r="AD81" s="1" t="str">
        <f>HYPERLINK("http://www.ncbi.nlm.nih.gov/sutils/blink.cgi?pid=55246382","4E-005")</f>
        <v>4E-005</v>
      </c>
      <c r="AE81" s="1" t="s">
        <v>313</v>
      </c>
      <c r="AF81" s="9" t="s">
        <v>372</v>
      </c>
      <c r="AG81" s="6" t="s">
        <v>398</v>
      </c>
      <c r="AH81" s="6" t="s">
        <v>30</v>
      </c>
      <c r="AJ81" s="6">
        <f>AJ80+1</f>
        <v>80</v>
      </c>
    </row>
    <row r="82" spans="1:36" ht="9.75">
      <c r="A82" t="str">
        <f>HYPERLINK("http://exon.niaid.nih.gov/transcriptome/An_gambiae_male_2006/ST1/links/AGM-contig_233.txt","AGM-contig_233")</f>
        <v>AGM-contig_233</v>
      </c>
      <c r="B82" s="1">
        <v>1</v>
      </c>
      <c r="C82" s="1">
        <v>164</v>
      </c>
      <c r="D82" s="1">
        <f>D81+B82</f>
        <v>143</v>
      </c>
      <c r="E82" s="1" t="s">
        <v>209</v>
      </c>
      <c r="F82" s="1">
        <v>53</v>
      </c>
      <c r="G82" s="1">
        <v>145</v>
      </c>
      <c r="H82" t="str">
        <f>HYPERLINK("http://exon.niaid.nih.gov/transcriptome/An_gambiae_male_2006/ST1/links/AGM-7-90-90-asb-233.txt","Contig-233")</f>
        <v>Contig-233</v>
      </c>
      <c r="I82" s="1">
        <v>233</v>
      </c>
      <c r="J82" t="str">
        <f>HYPERLINK("http://exon.niaid.nih.gov/transcriptome/An_gambiae_male_2006/ST1/links/AGM-7-90-90-233-CLU.txt","Contig233")</f>
        <v>Contig233</v>
      </c>
      <c r="K82" t="s">
        <v>686</v>
      </c>
      <c r="L82" s="2" t="str">
        <f>HYPERLINK("http://exon.niaid.nih.gov/transcriptome/An_gambiae_male_2006/ST1/links/AGM-contig_233-AGFRAG.txt","X_Piece#388")</f>
        <v>X_Piece#388</v>
      </c>
      <c r="M82" s="4">
        <v>4E-67</v>
      </c>
      <c r="N82" s="2" t="str">
        <f>HYPERLINK("http://exon.niaid.nih.gov/transcriptome/An_gambiae_male_2006/ST1/links/AGM-contig_233-AG3P.txt","ENSANGP00000029176")</f>
        <v>ENSANGP00000029176</v>
      </c>
      <c r="O82" s="1" t="str">
        <f>HYPERLINK("http://www.anobase.org/cgi-bin/uniexcel_new_var6.pl?proteinname=ENSANGP00000029176","8.E-68")</f>
        <v>8.E-68</v>
      </c>
      <c r="P82" s="2" t="str">
        <f>HYPERLINK("http://exon.niaid.nih.gov/transcriptome/An_gambiae_male_2006/ST1/links/AGM-contig_233-AG5P.txt","ENSANGP00000020878")</f>
        <v>ENSANGP00000020878</v>
      </c>
      <c r="Q82" s="4" t="str">
        <f>HYPERLINK("http://www.anobase.org/cgi-bin/uniexcel_new_var6.pl?proteinname=ENSANGP00000020878","6.E-13")</f>
        <v>6.E-13</v>
      </c>
      <c r="R82" s="2" t="str">
        <f>HYPERLINK("http://exon.niaid.nih.gov/transcriptome/An_gambiae_male_2006/ST1/links/AGM-contig_233-AGPROT.txt","ENSANGP00000029176")</f>
        <v>ENSANGP00000029176</v>
      </c>
      <c r="S82" s="1" t="str">
        <f>HYPERLINK("http://www.ensembl.org/Anopheles_gambiae/protview?peptide=ENSANGP00000029176","1E-008")</f>
        <v>1E-008</v>
      </c>
      <c r="T82" s="1" t="str">
        <f>HYPERLINK("http://www.anobase.org/cgi-bin/uniexcel_new_var6.pl?proteinname=ENSANGP00000029176","1E-008")</f>
        <v>1E-008</v>
      </c>
      <c r="U82" s="2" t="str">
        <f>HYPERLINK("http://exon.niaid.nih.gov/transcriptome/An_gambiae_male_2006/ST1/links/AGCDS/AGM-contig_233-AGCDS.txt","ENSANGT00000026419")</f>
        <v>ENSANGT00000026419</v>
      </c>
      <c r="V82" s="1">
        <v>2E-68</v>
      </c>
      <c r="AA82" s="2" t="str">
        <f>HYPERLINK("http://exon.niaid.nih.gov/transcriptome/An_gambiae_male_2006/ST1/links/AGM-contig_233-AGNUC.txt","AG-contig_139")</f>
        <v>AG-contig_139</v>
      </c>
      <c r="AB82" s="1">
        <v>8E-70</v>
      </c>
      <c r="AC82" s="2" t="str">
        <f>HYPERLINK("http://exon.niaid.nih.gov/transcriptome/An_gambiae_male_2006/ST1/links/AGM-contig_233-NR.txt","ENSANGP00000021108 [Anopheles gambi")</f>
        <v>ENSANGP00000021108 [Anopheles gambi</v>
      </c>
      <c r="AD82" s="1" t="str">
        <f>HYPERLINK("http://www.ncbi.nlm.nih.gov/sutils/blink.cgi?pid=31231736","2E-006")</f>
        <v>2E-006</v>
      </c>
      <c r="AE82" s="1" t="s">
        <v>313</v>
      </c>
      <c r="AF82" s="9" t="s">
        <v>796</v>
      </c>
      <c r="AG82" s="6" t="s">
        <v>58</v>
      </c>
      <c r="AH82" s="6" t="s">
        <v>30</v>
      </c>
      <c r="AJ82" s="6">
        <f>AJ81+1</f>
        <v>81</v>
      </c>
    </row>
    <row r="83" spans="1:36" ht="9.75">
      <c r="A83" t="str">
        <f>HYPERLINK("http://exon.niaid.nih.gov/transcriptome/An_gambiae_male_2006/ST1/links/AGM-contig_199.txt","AGM-contig_199")</f>
        <v>AGM-contig_199</v>
      </c>
      <c r="B83" s="1">
        <v>1</v>
      </c>
      <c r="C83" s="1">
        <v>290</v>
      </c>
      <c r="D83" s="1">
        <f>D82+B83</f>
        <v>144</v>
      </c>
      <c r="E83" s="1" t="s">
        <v>209</v>
      </c>
      <c r="F83" s="1">
        <v>49.7</v>
      </c>
      <c r="G83" s="1">
        <v>271</v>
      </c>
      <c r="H83" t="str">
        <f>HYPERLINK("http://exon.niaid.nih.gov/transcriptome/An_gambiae_male_2006/ST1/links/AGM-7-90-90-asb-199.txt","Contig-199")</f>
        <v>Contig-199</v>
      </c>
      <c r="I83" s="1">
        <v>199</v>
      </c>
      <c r="J83" t="str">
        <f>HYPERLINK("http://exon.niaid.nih.gov/transcriptome/An_gambiae_male_2006/ST1/links/AGM-7-90-90-199-CLU.txt","Contig199")</f>
        <v>Contig199</v>
      </c>
      <c r="K83" t="s">
        <v>652</v>
      </c>
      <c r="L83" s="2" t="str">
        <f>HYPERLINK("http://exon.niaid.nih.gov/transcriptome/An_gambiae_male_2006/ST1/links/AGM-contig_199-AGFRAG.txt","X_Piece#468")</f>
        <v>X_Piece#468</v>
      </c>
      <c r="M83" s="4">
        <v>1E-139</v>
      </c>
      <c r="N83" s="2" t="str">
        <f>HYPERLINK("http://exon.niaid.nih.gov/transcriptome/An_gambiae_male_2006/ST1/links/AGM-contig_199-AG3P.txt","ENSANGP00000019081")</f>
        <v>ENSANGP00000019081</v>
      </c>
      <c r="O83" s="1" t="str">
        <f>HYPERLINK("http://www.anobase.org/cgi-bin/uniexcel_new_var6.pl?proteinname=ENSANGP00000019081","1.E-140")</f>
        <v>1.E-140</v>
      </c>
      <c r="R83" s="2" t="str">
        <f>HYPERLINK("http://exon.niaid.nih.gov/transcriptome/An_gambiae_male_2006/ST1/links/AGM-contig_199-AGPROT.txt","ENSANGP00000019081")</f>
        <v>ENSANGP00000019081</v>
      </c>
      <c r="S83" s="1" t="str">
        <f>HYPERLINK("http://www.ensembl.org/Anopheles_gambiae/protview?peptide=ENSANGP00000019081","8E-011")</f>
        <v>8E-011</v>
      </c>
      <c r="T83" s="1" t="str">
        <f>HYPERLINK("http://www.anobase.org/cgi-bin/uniexcel_new_var6.pl?proteinname=ENSANGP00000019081","8E-011")</f>
        <v>8E-011</v>
      </c>
      <c r="U83" s="2" t="str">
        <f>HYPERLINK("http://exon.niaid.nih.gov/transcriptome/An_gambiae_male_2006/ST1/links/AGCDS/AGM-contig_199-AGCDS.txt","ENSANGT00000019081")</f>
        <v>ENSANGT00000019081</v>
      </c>
      <c r="V83" s="1">
        <v>1E-141</v>
      </c>
      <c r="AC83" s="2" t="str">
        <f>HYPERLINK("http://exon.niaid.nih.gov/transcriptome/An_gambiae_male_2006/ST1/links/AGM-contig_199-NR.txt","ENSANGP00000019081 [Anopheles gambiae]    51   9e-009")</f>
        <v>ENSANGP00000019081 [Anopheles gambiae]    51   9e-009</v>
      </c>
      <c r="AD83" s="1" t="str">
        <f>HYPERLINK("http://www.ncbi.nlm.nih.gov/sutils/blink.cgi?pid=31204463","9E-009")</f>
        <v>9E-009</v>
      </c>
      <c r="AE83" s="1" t="s">
        <v>313</v>
      </c>
      <c r="AF83" s="9" t="s">
        <v>108</v>
      </c>
      <c r="AG83" s="6" t="s">
        <v>402</v>
      </c>
      <c r="AH83" s="6" t="s">
        <v>30</v>
      </c>
      <c r="AJ83" s="6">
        <f>AJ82+1</f>
        <v>82</v>
      </c>
    </row>
    <row r="84" spans="1:36" ht="9.75">
      <c r="A84" t="str">
        <f>HYPERLINK("http://exon.niaid.nih.gov/transcriptome/An_gambiae_male_2006/ST1/links/AGM-contig_353.txt","AGM-contig_353")</f>
        <v>AGM-contig_353</v>
      </c>
      <c r="B84" s="1">
        <v>1</v>
      </c>
      <c r="C84" s="1">
        <v>265</v>
      </c>
      <c r="D84" s="1">
        <f>D83+B84</f>
        <v>145</v>
      </c>
      <c r="E84" s="1">
        <v>0.4</v>
      </c>
      <c r="F84" s="1">
        <v>42.6</v>
      </c>
      <c r="G84" s="1">
        <v>246</v>
      </c>
      <c r="H84" t="str">
        <f>HYPERLINK("http://exon.niaid.nih.gov/transcriptome/An_gambiae_male_2006/ST1/links/AGM-7-90-90-asb-353.txt","Contig-353")</f>
        <v>Contig-353</v>
      </c>
      <c r="I84" s="1">
        <v>353</v>
      </c>
      <c r="J84" t="str">
        <f>HYPERLINK("http://exon.niaid.nih.gov/transcriptome/An_gambiae_male_2006/ST1/links/AGM-7-90-90-353-CLU.txt","Contig353")</f>
        <v>Contig353</v>
      </c>
      <c r="K84" t="s">
        <v>293</v>
      </c>
      <c r="L84" s="2" t="str">
        <f>HYPERLINK("http://exon.niaid.nih.gov/transcriptome/An_gambiae_male_2006/ST1/links/AGM-contig_353-AGFRAG.txt","2L_Piece#1549")</f>
        <v>2L_Piece#1549</v>
      </c>
      <c r="M84" s="4">
        <v>1E-111</v>
      </c>
      <c r="N84" s="2" t="str">
        <f>HYPERLINK("http://exon.niaid.nih.gov/transcriptome/An_gambiae_male_2006/ST1/links/AGM-contig_353-AG3P.txt","ENSANGP00000013302")</f>
        <v>ENSANGP00000013302</v>
      </c>
      <c r="O84" s="1" t="str">
        <f>HYPERLINK("http://www.anobase.org/cgi-bin/uniexcel_new_var6.pl?proteinname=ENSANGP00000013302","1.E-112")</f>
        <v>1.E-112</v>
      </c>
      <c r="R84" s="2" t="str">
        <f>HYPERLINK("http://exon.niaid.nih.gov/transcriptome/An_gambiae_male_2006/ST1/links/AGM-contig_353-AGPROT.txt","ENSANGP00000013302")</f>
        <v>ENSANGP00000013302</v>
      </c>
      <c r="S84" s="1" t="str">
        <f>HYPERLINK("http://www.ensembl.org/Anopheles_gambiae/protview?peptide=ENSANGP00000013302","3E-015")</f>
        <v>3E-015</v>
      </c>
      <c r="T84" s="1" t="str">
        <f>HYPERLINK("http://www.anobase.org/cgi-bin/uniexcel_new_var6.pl?proteinname=ENSANGP00000013302","3E-015")</f>
        <v>3E-015</v>
      </c>
      <c r="U84" s="2" t="str">
        <f>HYPERLINK("http://exon.niaid.nih.gov/transcriptome/An_gambiae_male_2006/ST1/links/AGCDS/AGM-contig_353-AGCDS.txt","ENSANGT00000013302")</f>
        <v>ENSANGT00000013302</v>
      </c>
      <c r="V84" s="1">
        <v>1E-113</v>
      </c>
      <c r="AA84" s="2" t="str">
        <f>HYPERLINK("http://exon.niaid.nih.gov/transcriptome/An_gambiae_male_2006/ST1/links/AGM-contig_353-AGNUC.txt","AG-contig_229")</f>
        <v>AG-contig_229</v>
      </c>
      <c r="AB84" s="1">
        <v>1E-125</v>
      </c>
      <c r="AC84" s="2" t="str">
        <f>HYPERLINK("http://exon.niaid.nih.gov/transcriptome/An_gambiae_male_2006/ST1/links/AGM-contig_353-NR.txt","ENSANGP00000013302 [Anopheles gambiae]    77   1e-013")</f>
        <v>ENSANGP00000013302 [Anopheles gambiae]    77   1e-013</v>
      </c>
      <c r="AD84" s="1" t="str">
        <f>HYPERLINK("http://www.ncbi.nlm.nih.gov/sutils/blink.cgi?pid=31199877","1E-013")</f>
        <v>1E-013</v>
      </c>
      <c r="AE84" s="1" t="s">
        <v>313</v>
      </c>
      <c r="AF84" s="9" t="s">
        <v>763</v>
      </c>
      <c r="AG84" s="6" t="s">
        <v>71</v>
      </c>
      <c r="AH84" s="6" t="s">
        <v>30</v>
      </c>
      <c r="AJ84" s="6">
        <f>AJ83+1</f>
        <v>83</v>
      </c>
    </row>
    <row r="85" spans="1:36" ht="9.75">
      <c r="A85" t="str">
        <f>HYPERLINK("http://exon.niaid.nih.gov/transcriptome/An_gambiae_male_2006/ST1/links/AGM-contig_190.txt","AGM-contig_190")</f>
        <v>AGM-contig_190</v>
      </c>
      <c r="B85" s="1">
        <v>1</v>
      </c>
      <c r="C85" s="1">
        <v>385</v>
      </c>
      <c r="D85" s="1">
        <f>D84+B85</f>
        <v>146</v>
      </c>
      <c r="E85" s="1" t="s">
        <v>209</v>
      </c>
      <c r="F85" s="1">
        <v>48.6</v>
      </c>
      <c r="G85" s="1">
        <v>366</v>
      </c>
      <c r="H85" t="str">
        <f>HYPERLINK("http://exon.niaid.nih.gov/transcriptome/An_gambiae_male_2006/ST1/links/AGM-7-90-90-asb-190.txt","Contig-190")</f>
        <v>Contig-190</v>
      </c>
      <c r="I85" s="1">
        <v>190</v>
      </c>
      <c r="J85" t="str">
        <f>HYPERLINK("http://exon.niaid.nih.gov/transcriptome/An_gambiae_male_2006/ST1/links/AGM-7-90-90-190-CLU.txt","Contig190")</f>
        <v>Contig190</v>
      </c>
      <c r="K85" t="s">
        <v>643</v>
      </c>
      <c r="L85" s="2" t="str">
        <f>HYPERLINK("http://exon.niaid.nih.gov/transcriptome/An_gambiae_male_2006/ST1/links/AGM-contig_190-AGFRAG.txt","3R_Piece#1422")</f>
        <v>3R_Piece#1422</v>
      </c>
      <c r="M85" s="4">
        <v>0</v>
      </c>
      <c r="N85" s="2" t="str">
        <f>HYPERLINK("http://exon.niaid.nih.gov/transcriptome/An_gambiae_male_2006/ST1/links/AGM-contig_190-AG3P.txt","ENSANGP00000011018")</f>
        <v>ENSANGP00000011018</v>
      </c>
      <c r="O85" s="1" t="str">
        <f>HYPERLINK("http://www.anobase.org/cgi-bin/uniexcel_new_var6.pl?proteinname=ENSANGP00000011018","1.E-102")</f>
        <v>1.E-102</v>
      </c>
      <c r="R85" s="2" t="str">
        <f>HYPERLINK("http://exon.niaid.nih.gov/transcriptome/An_gambiae_male_2006/ST1/links/AGM-contig_190-AGPROT.txt","ENSANGP00000011018")</f>
        <v>ENSANGP00000011018</v>
      </c>
      <c r="S85" s="1" t="str">
        <f>HYPERLINK("http://www.ensembl.org/Anopheles_gambiae/protview?peptide=ENSANGP00000011018","1E-052")</f>
        <v>1E-052</v>
      </c>
      <c r="T85" s="1" t="str">
        <f>HYPERLINK("http://www.anobase.org/cgi-bin/uniexcel_new_var6.pl?proteinname=ENSANGP00000011018","1E-052")</f>
        <v>1E-052</v>
      </c>
      <c r="U85" s="2" t="str">
        <f>HYPERLINK("http://exon.niaid.nih.gov/transcriptome/An_gambiae_male_2006/ST1/links/AGCDS/AGM-contig_190-AGCDS.txt","ENSANGT00000011018")</f>
        <v>ENSANGT00000011018</v>
      </c>
      <c r="V85" s="1">
        <v>0</v>
      </c>
      <c r="AA85" s="2" t="str">
        <f>HYPERLINK("http://exon.niaid.nih.gov/transcriptome/An_gambiae_male_2006/ST1/links/AGM-contig_190-AGNUC.txt","AG-contig_225")</f>
        <v>AG-contig_225</v>
      </c>
      <c r="AB85" s="1">
        <v>0</v>
      </c>
      <c r="AC85" s="2" t="str">
        <f>HYPERLINK("http://exon.niaid.nih.gov/transcriptome/An_gambiae_male_2006/ST1/links/AGM-contig_190-NR.txt","ENSANGP00000011018 [Anopheles gambiae]   200   7e-051")</f>
        <v>ENSANGP00000011018 [Anopheles gambiae]   200   7e-051</v>
      </c>
      <c r="AD85" s="1" t="str">
        <f>HYPERLINK("http://www.ncbi.nlm.nih.gov/sutils/blink.cgi?pid=31202479","7E-051")</f>
        <v>7E-051</v>
      </c>
      <c r="AE85" s="1" t="s">
        <v>313</v>
      </c>
      <c r="AF85" s="9" t="s">
        <v>814</v>
      </c>
      <c r="AG85" s="6" t="s">
        <v>79</v>
      </c>
      <c r="AH85" s="6" t="s">
        <v>30</v>
      </c>
      <c r="AJ85" s="6">
        <f>AJ84+1</f>
        <v>84</v>
      </c>
    </row>
    <row r="86" spans="1:36" ht="9.75">
      <c r="A86" t="str">
        <f>HYPERLINK("http://exon.niaid.nih.gov/transcriptome/An_gambiae_male_2006/ST1/links/AGM-contig_243.txt","AGM-contig_243")</f>
        <v>AGM-contig_243</v>
      </c>
      <c r="B86" s="1">
        <v>1</v>
      </c>
      <c r="C86" s="1">
        <v>178</v>
      </c>
      <c r="D86" s="1">
        <f>D85+B86</f>
        <v>147</v>
      </c>
      <c r="E86" s="1" t="s">
        <v>209</v>
      </c>
      <c r="F86" s="1">
        <v>59</v>
      </c>
      <c r="G86" s="1">
        <v>159</v>
      </c>
      <c r="H86" t="str">
        <f>HYPERLINK("http://exon.niaid.nih.gov/transcriptome/An_gambiae_male_2006/ST1/links/AGM-7-90-90-asb-243.txt","Contig-243")</f>
        <v>Contig-243</v>
      </c>
      <c r="I86" s="1">
        <v>243</v>
      </c>
      <c r="J86" t="str">
        <f>HYPERLINK("http://exon.niaid.nih.gov/transcriptome/An_gambiae_male_2006/ST1/links/AGM-7-90-90-243-CLU.txt","Contig243")</f>
        <v>Contig243</v>
      </c>
      <c r="K86" t="s">
        <v>696</v>
      </c>
      <c r="L86" s="2" t="str">
        <f>HYPERLINK("http://exon.niaid.nih.gov/transcriptome/An_gambiae_male_2006/ST1/links/AGM-contig_243-AGFRAG.txt","3L_Piece#1479")</f>
        <v>3L_Piece#1479</v>
      </c>
      <c r="M86" s="4">
        <v>8E-84</v>
      </c>
      <c r="N86" s="2" t="str">
        <f>HYPERLINK("http://exon.niaid.nih.gov/transcriptome/An_gambiae_male_2006/ST1/links/AGM-contig_243-AG3P.txt","ENSANGP00000016601")</f>
        <v>ENSANGP00000016601</v>
      </c>
      <c r="O86" s="1" t="str">
        <f>HYPERLINK("http://www.anobase.org/cgi-bin/uniexcel_new_var6.pl?proteinname=ENSANGP00000016601","2.E-84")</f>
        <v>2.E-84</v>
      </c>
      <c r="R86" s="2" t="str">
        <f>HYPERLINK("http://exon.niaid.nih.gov/transcriptome/An_gambiae_male_2006/ST1/links/AGM-contig_243-AGPROT.txt","ENSANGP00000014905")</f>
        <v>ENSANGP00000014905</v>
      </c>
      <c r="S86" s="1" t="str">
        <f>HYPERLINK("http://www.ensembl.org/Anopheles_gambiae/protview?peptide=ENSANGP00000014905","4.5")</f>
        <v>4.5</v>
      </c>
      <c r="T86" s="1" t="str">
        <f>HYPERLINK("http://www.anobase.org/cgi-bin/uniexcel_new_var6.pl?proteinname=ENSANGP00000014905","4.5")</f>
        <v>4.5</v>
      </c>
      <c r="U86" s="2" t="str">
        <f>HYPERLINK("http://exon.niaid.nih.gov/transcriptome/An_gambiae_male_2006/ST1/links/AGCDS/AGM-contig_243-AGCDS.txt","ENSANGT00000016601")</f>
        <v>ENSANGT00000016601</v>
      </c>
      <c r="V86" s="1">
        <v>5E-85</v>
      </c>
      <c r="AA86" s="2" t="str">
        <f>HYPERLINK("http://exon.niaid.nih.gov/transcriptome/An_gambiae_male_2006/ST1/links/AGM-contig_243-AGNUC.txt","AG-contig_152")</f>
        <v>AG-contig_152</v>
      </c>
      <c r="AB86" s="1">
        <v>6E-80</v>
      </c>
      <c r="AG86" s="6" t="s">
        <v>845</v>
      </c>
      <c r="AH86" s="6" t="s">
        <v>30</v>
      </c>
      <c r="AJ86" s="6">
        <f>AJ85+1</f>
        <v>85</v>
      </c>
    </row>
    <row r="87" spans="1:36" ht="9.75">
      <c r="A87" t="str">
        <f>HYPERLINK("http://exon.niaid.nih.gov/transcriptome/An_gambiae_male_2006/ST1/links/AGM-contig_98.txt","AGM-contig_98")</f>
        <v>AGM-contig_98</v>
      </c>
      <c r="B87" s="1">
        <v>2</v>
      </c>
      <c r="C87" s="1">
        <v>174</v>
      </c>
      <c r="D87" s="1">
        <f>D86+B87</f>
        <v>149</v>
      </c>
      <c r="E87" s="1" t="s">
        <v>209</v>
      </c>
      <c r="F87" s="1">
        <v>60.3</v>
      </c>
      <c r="G87" s="1">
        <v>155</v>
      </c>
      <c r="H87" t="str">
        <f>HYPERLINK("http://exon.niaid.nih.gov/transcriptome/An_gambiae_male_2006/ST1/links/AGM-7-90-90-asb-98.txt","Contig-98")</f>
        <v>Contig-98</v>
      </c>
      <c r="I87" s="1">
        <v>98</v>
      </c>
      <c r="J87" t="str">
        <f>HYPERLINK("http://exon.niaid.nih.gov/transcriptome/An_gambiae_male_2006/ST1/links/AGM-7-90-90-98-CLU.txt","Contig98")</f>
        <v>Contig98</v>
      </c>
      <c r="K87" t="s">
        <v>551</v>
      </c>
      <c r="L87" s="2" t="str">
        <f>HYPERLINK("http://exon.niaid.nih.gov/transcriptome/An_gambiae_male_2006/ST1/links/AGM-contig_98-AGFRAG.txt","X_Piece#734")</f>
        <v>X_Piece#734</v>
      </c>
      <c r="M87" s="4">
        <v>7E-78</v>
      </c>
      <c r="N87" s="2" t="str">
        <f>HYPERLINK("http://exon.niaid.nih.gov/transcriptome/An_gambiae_male_2006/ST1/links/AGM-contig_98-AG3P.txt","ENSANGP00000018702")</f>
        <v>ENSANGP00000018702</v>
      </c>
      <c r="O87" s="1" t="str">
        <f>HYPERLINK("http://www.anobase.org/cgi-bin/uniexcel_new_var6.pl?proteinname=ENSANGP00000018702","2.E-78")</f>
        <v>2.E-78</v>
      </c>
      <c r="R87" s="2" t="str">
        <f>HYPERLINK("http://exon.niaid.nih.gov/transcriptome/An_gambiae_male_2006/ST1/links/AGM-contig_98-AGPROT.txt","ENSANGP00000020136")</f>
        <v>ENSANGP00000020136</v>
      </c>
      <c r="S87" s="1" t="str">
        <f>HYPERLINK("http://www.ensembl.org/Anopheles_gambiae/protview?peptide=ENSANGP00000020136","3.0")</f>
        <v>3.0</v>
      </c>
      <c r="T87" s="1" t="str">
        <f>HYPERLINK("http://www.anobase.org/cgi-bin/uniexcel_new_var6.pl?proteinname=ENSANGP00000020136","3.0")</f>
        <v>3.0</v>
      </c>
      <c r="AA87" s="2" t="str">
        <f>HYPERLINK("http://exon.niaid.nih.gov/transcriptome/An_gambiae_male_2006/ST1/links/AGM-contig_98-AGNUC.txt","AG-contig_169")</f>
        <v>AG-contig_169</v>
      </c>
      <c r="AB87" s="1">
        <v>2E-80</v>
      </c>
      <c r="AC87" s="2" t="str">
        <f>HYPERLINK("http://exon.niaid.nih.gov/transcriptome/An_gambiae_male_2006/ST1/links/AGM-contig_98-NR.txt","ENSANGP00000018702 [Anopheles gambiae]    90   1e-017")</f>
        <v>ENSANGP00000018702 [Anopheles gambiae]    90   1e-017</v>
      </c>
      <c r="AD87" s="1" t="str">
        <f>HYPERLINK("http://www.ncbi.nlm.nih.gov/sutils/blink.cgi?pid=31200389","1E-017")</f>
        <v>1E-017</v>
      </c>
      <c r="AE87" s="1" t="s">
        <v>313</v>
      </c>
      <c r="AF87" s="9" t="s">
        <v>753</v>
      </c>
      <c r="AG87" s="6" t="s">
        <v>47</v>
      </c>
      <c r="AH87" s="6" t="s">
        <v>30</v>
      </c>
      <c r="AJ87" s="6">
        <f>AJ86+1</f>
        <v>86</v>
      </c>
    </row>
    <row r="88" spans="1:36" ht="9.75">
      <c r="A88" t="str">
        <f>HYPERLINK("http://exon.niaid.nih.gov/transcriptome/An_gambiae_male_2006/ST1/links/AGM-contig_77.txt","AGM-contig_77")</f>
        <v>AGM-contig_77</v>
      </c>
      <c r="B88" s="1">
        <v>2</v>
      </c>
      <c r="C88" s="1">
        <v>232</v>
      </c>
      <c r="D88" s="1">
        <f>D87+B88</f>
        <v>151</v>
      </c>
      <c r="E88" s="1" t="s">
        <v>209</v>
      </c>
      <c r="F88" s="1">
        <v>51.7</v>
      </c>
      <c r="G88" s="1">
        <v>213</v>
      </c>
      <c r="H88" t="str">
        <f>HYPERLINK("http://exon.niaid.nih.gov/transcriptome/An_gambiae_male_2006/ST1/links/AGM-7-90-90-asb-77.txt","Contig-77")</f>
        <v>Contig-77</v>
      </c>
      <c r="I88" s="1">
        <v>77</v>
      </c>
      <c r="J88" t="str">
        <f>HYPERLINK("http://exon.niaid.nih.gov/transcriptome/An_gambiae_male_2006/ST1/links/AGM-7-90-90-77-CLU.txt","Contig77")</f>
        <v>Contig77</v>
      </c>
      <c r="K88" t="s">
        <v>530</v>
      </c>
      <c r="L88" s="2" t="str">
        <f>HYPERLINK("http://exon.niaid.nih.gov/transcriptome/An_gambiae_male_2006/ST1/links/AGM-contig_77-AGFRAG.txt","2L_Piece#1365")</f>
        <v>2L_Piece#1365</v>
      </c>
      <c r="M88" s="4">
        <v>1E-30</v>
      </c>
      <c r="N88" s="2" t="str">
        <f>HYPERLINK("http://exon.niaid.nih.gov/transcriptome/An_gambiae_male_2006/ST1/links/AGM-contig_77-AG3P.txt","ENSANGP00000011511")</f>
        <v>ENSANGP00000011511</v>
      </c>
      <c r="O88" s="1" t="str">
        <f>HYPERLINK("http://www.anobase.org/cgi-bin/uniexcel_new_var6.pl?proteinname=ENSANGP00000011511","3.E-31")</f>
        <v>3.E-31</v>
      </c>
      <c r="R88" s="2" t="str">
        <f>HYPERLINK("http://exon.niaid.nih.gov/transcriptome/An_gambiae_male_2006/ST1/links/AGM-contig_77-AGPROT.txt","ENSANGP00000011511")</f>
        <v>ENSANGP00000011511</v>
      </c>
      <c r="S88" s="1" t="str">
        <f>HYPERLINK("http://www.ensembl.org/Anopheles_gambiae/protview?peptide=ENSANGP00000011511","3E-008")</f>
        <v>3E-008</v>
      </c>
      <c r="T88" s="1" t="str">
        <f>HYPERLINK("http://www.anobase.org/cgi-bin/uniexcel_new_var6.pl?proteinname=ENSANGP00000011511","3E-008")</f>
        <v>3E-008</v>
      </c>
      <c r="U88" s="2" t="str">
        <f>HYPERLINK("http://exon.niaid.nih.gov/transcriptome/An_gambiae_male_2006/ST1/links/AGCDS/AGM-contig_77-AGCDS.txt","ENSANGT00000011511")</f>
        <v>ENSANGT00000011511</v>
      </c>
      <c r="V88" s="1">
        <v>8E-32</v>
      </c>
      <c r="AC88" s="2" t="str">
        <f>HYPERLINK("http://exon.niaid.nih.gov/transcriptome/An_gambiae_male_2006/ST1/links/AGM-contig_77-NR.txt","ENSANGP00000011511 [Anopheles gambiae]    77   1e-013")</f>
        <v>ENSANGP00000011511 [Anopheles gambiae]    77   1e-013</v>
      </c>
      <c r="AD88" s="1" t="str">
        <f>HYPERLINK("http://www.ncbi.nlm.nih.gov/sutils/blink.cgi?pid=31248054","1E-013")</f>
        <v>1E-013</v>
      </c>
      <c r="AE88" s="1" t="s">
        <v>313</v>
      </c>
      <c r="AF88" s="9" t="s">
        <v>762</v>
      </c>
      <c r="AG88" s="6" t="s">
        <v>473</v>
      </c>
      <c r="AH88" s="6" t="s">
        <v>30</v>
      </c>
      <c r="AJ88" s="6">
        <f>AJ87+1</f>
        <v>87</v>
      </c>
    </row>
    <row r="89" spans="1:36" ht="9.75">
      <c r="A89" t="str">
        <f>HYPERLINK("http://exon.niaid.nih.gov/transcriptome/An_gambiae_male_2006/ST1/links/AGM-contig_315.txt","AGM-contig_315")</f>
        <v>AGM-contig_315</v>
      </c>
      <c r="B89" s="1">
        <v>1</v>
      </c>
      <c r="C89" s="1">
        <v>273</v>
      </c>
      <c r="D89" s="1">
        <f>D88+B89</f>
        <v>152</v>
      </c>
      <c r="E89" s="1" t="s">
        <v>209</v>
      </c>
      <c r="F89" s="1">
        <v>51.3</v>
      </c>
      <c r="G89" s="1">
        <v>254</v>
      </c>
      <c r="H89" t="str">
        <f>HYPERLINK("http://exon.niaid.nih.gov/transcriptome/An_gambiae_male_2006/ST1/links/AGM-7-90-90-asb-315.txt","Contig-315")</f>
        <v>Contig-315</v>
      </c>
      <c r="I89" s="1">
        <v>315</v>
      </c>
      <c r="J89" t="str">
        <f>HYPERLINK("http://exon.niaid.nih.gov/transcriptome/An_gambiae_male_2006/ST1/links/AGM-7-90-90-315-CLU.txt","Contig315")</f>
        <v>Contig315</v>
      </c>
      <c r="K89" t="s">
        <v>182</v>
      </c>
      <c r="L89" s="2" t="str">
        <f>HYPERLINK("http://exon.niaid.nih.gov/transcriptome/An_gambiae_male_2006/ST1/links/AGM-contig_315-AGFRAG.txt","3L_Piece#1360")</f>
        <v>3L_Piece#1360</v>
      </c>
      <c r="M89" s="4">
        <v>1E-131</v>
      </c>
      <c r="N89" s="2" t="str">
        <f>HYPERLINK("http://exon.niaid.nih.gov/transcriptome/An_gambiae_male_2006/ST1/links/AGM-contig_315-AG3P.txt","ENSANGP00000021179")</f>
        <v>ENSANGP00000021179</v>
      </c>
      <c r="O89" s="1" t="str">
        <f>HYPERLINK("http://www.anobase.org/cgi-bin/uniexcel_new_var6.pl?proteinname=ENSANGP00000021179","1.E-132")</f>
        <v>1.E-132</v>
      </c>
      <c r="P89" s="2" t="str">
        <f>HYPERLINK("http://exon.niaid.nih.gov/transcriptome/An_gambiae_male_2006/ST1/links/AGM-contig_315-AG5P.txt","ENSANGP00000021321")</f>
        <v>ENSANGP00000021321</v>
      </c>
      <c r="Q89" s="4" t="str">
        <f>HYPERLINK("http://www.anobase.org/cgi-bin/uniexcel_new_var6.pl?proteinname=ENSANGP00000021321","2.E-26")</f>
        <v>2.E-26</v>
      </c>
      <c r="R89" s="2" t="str">
        <f>HYPERLINK("http://exon.niaid.nih.gov/transcriptome/An_gambiae_male_2006/ST1/links/AGM-contig_315-AGPROT.txt","ENSANGP00000021277")</f>
        <v>ENSANGP00000021277</v>
      </c>
      <c r="S89" s="1" t="str">
        <f>HYPERLINK("http://www.ensembl.org/Anopheles_gambiae/protview?peptide=ENSANGP00000021277","2E-007")</f>
        <v>2E-007</v>
      </c>
      <c r="T89" s="1" t="str">
        <f>HYPERLINK("http://www.anobase.org/cgi-bin/uniexcel_new_var6.pl?proteinname=ENSANGP00000021277","2E-007")</f>
        <v>2E-007</v>
      </c>
      <c r="U89" s="2" t="str">
        <f>HYPERLINK("http://exon.niaid.nih.gov/transcriptome/An_gambiae_male_2006/ST1/links/AGCDS/AGM-contig_315-AGCDS.txt","ENSANGT00000021277")</f>
        <v>ENSANGT00000021277</v>
      </c>
      <c r="V89" s="1">
        <v>1E-132</v>
      </c>
      <c r="AA89" s="2" t="str">
        <f>HYPERLINK("http://exon.niaid.nih.gov/transcriptome/An_gambiae_male_2006/ST1/links/AGM-contig_315-AGNUC.txt","AG-contig_263")</f>
        <v>AG-contig_263</v>
      </c>
      <c r="AB89" s="1">
        <v>1E-131</v>
      </c>
      <c r="AC89" s="2" t="str">
        <f>HYPERLINK("http://exon.niaid.nih.gov/transcriptome/An_gambiae_male_2006/ST1/links/AGM-contig_315-NR.txt","ENSANGP00000021277 [Anopheles gambiae]    49   2e-005")</f>
        <v>ENSANGP00000021277 [Anopheles gambiae]    49   2e-005</v>
      </c>
      <c r="AD89" s="1" t="str">
        <f>HYPERLINK("http://www.ncbi.nlm.nih.gov/sutils/blink.cgi?pid=31240433","2E-005")</f>
        <v>2E-005</v>
      </c>
      <c r="AE89" s="1" t="s">
        <v>313</v>
      </c>
      <c r="AF89" s="9" t="s">
        <v>371</v>
      </c>
      <c r="AG89" s="6" t="s">
        <v>74</v>
      </c>
      <c r="AH89" s="6" t="s">
        <v>30</v>
      </c>
      <c r="AJ89" s="6">
        <f>AJ88+1</f>
        <v>88</v>
      </c>
    </row>
    <row r="90" spans="1:36" ht="9.75">
      <c r="A90" t="str">
        <f>HYPERLINK("http://exon.niaid.nih.gov/transcriptome/An_gambiae_male_2006/ST1/links/AGM-contig_173.txt","AGM-contig_173")</f>
        <v>AGM-contig_173</v>
      </c>
      <c r="B90" s="1">
        <v>1</v>
      </c>
      <c r="C90" s="1">
        <v>356</v>
      </c>
      <c r="D90" s="1">
        <f>D89+B90</f>
        <v>153</v>
      </c>
      <c r="E90" s="1" t="s">
        <v>209</v>
      </c>
      <c r="F90" s="1">
        <v>50.8</v>
      </c>
      <c r="G90" s="1">
        <v>337</v>
      </c>
      <c r="H90" t="str">
        <f>HYPERLINK("http://exon.niaid.nih.gov/transcriptome/An_gambiae_male_2006/ST1/links/AGM-7-90-90-asb-173.txt","Contig-173")</f>
        <v>Contig-173</v>
      </c>
      <c r="I90" s="1">
        <v>173</v>
      </c>
      <c r="J90" t="str">
        <f>HYPERLINK("http://exon.niaid.nih.gov/transcriptome/An_gambiae_male_2006/ST1/links/AGM-7-90-90-173-CLU.txt","Contig173")</f>
        <v>Contig173</v>
      </c>
      <c r="K90" t="s">
        <v>626</v>
      </c>
      <c r="L90" s="2" t="str">
        <f>HYPERLINK("http://exon.niaid.nih.gov/transcriptome/An_gambiae_male_2006/ST1/links/AGM-contig_173-AGFRAG.txt","3R_Piece#160")</f>
        <v>3R_Piece#160</v>
      </c>
      <c r="M90" s="4">
        <v>1E-148</v>
      </c>
      <c r="N90" s="2" t="str">
        <f>HYPERLINK("http://exon.niaid.nih.gov/transcriptome/An_gambiae_male_2006/ST1/links/AGM-contig_173-AG3P.txt","ENSANGP00000012302")</f>
        <v>ENSANGP00000012302</v>
      </c>
      <c r="O90" s="1" t="str">
        <f>HYPERLINK("http://www.anobase.org/cgi-bin/uniexcel_new_var6.pl?proteinname=ENSANGP00000012302","1.E-148")</f>
        <v>1.E-148</v>
      </c>
      <c r="P90" s="2" t="str">
        <f>HYPERLINK("http://exon.niaid.nih.gov/transcriptome/An_gambiae_male_2006/ST1/links/AGM-contig_173-AG5P.txt","ENSANGP00000012304")</f>
        <v>ENSANGP00000012304</v>
      </c>
      <c r="Q90" s="4" t="str">
        <f>HYPERLINK("http://www.anobase.org/cgi-bin/uniexcel_new_var6.pl?proteinname=ENSANGP00000012304","1.E-148")</f>
        <v>1.E-148</v>
      </c>
      <c r="R90" s="2" t="str">
        <f>HYPERLINK("http://exon.niaid.nih.gov/transcriptome/An_gambiae_male_2006/ST1/links/AGM-contig_173-AGPROT.txt","ENSANGP00000012302")</f>
        <v>ENSANGP00000012302</v>
      </c>
      <c r="S90" s="1" t="str">
        <f>HYPERLINK("http://www.ensembl.org/Anopheles_gambiae/protview?peptide=ENSANGP00000012302","4E-005")</f>
        <v>4E-005</v>
      </c>
      <c r="T90" s="1" t="str">
        <f>HYPERLINK("http://www.anobase.org/cgi-bin/uniexcel_new_var6.pl?proteinname=ENSANGP00000012302","4E-005")</f>
        <v>4E-005</v>
      </c>
      <c r="U90" s="2" t="str">
        <f>HYPERLINK("http://exon.niaid.nih.gov/transcriptome/An_gambiae_male_2006/ST1/links/AGCDS/AGM-contig_173-AGCDS.txt","ENSANGT00000012302")</f>
        <v>ENSANGT00000012302</v>
      </c>
      <c r="V90" s="1">
        <v>1E-149</v>
      </c>
      <c r="AA90" s="2" t="str">
        <f>HYPERLINK("http://exon.niaid.nih.gov/transcriptome/An_gambiae_male_2006/ST1/links/AGM-contig_173-AGNUC.txt","AG-contig_161")</f>
        <v>AG-contig_161</v>
      </c>
      <c r="AB90" s="1">
        <v>1E-139</v>
      </c>
      <c r="AC90" s="2" t="str">
        <f>HYPERLINK("http://exon.niaid.nih.gov/transcriptome/An_gambiae_male_2006/ST1/links/AGM-contig_173-NR.txt","ENSANGP00000012302 [Anopheles gambi")</f>
        <v>ENSANGP00000012302 [Anopheles gambi</v>
      </c>
      <c r="AD90" s="1" t="str">
        <f>HYPERLINK("http://www.ncbi.nlm.nih.gov/sutils/blink.cgi?pid=31224651","0.003")</f>
        <v>0.003</v>
      </c>
      <c r="AE90" s="1" t="s">
        <v>313</v>
      </c>
      <c r="AF90" s="9" t="s">
        <v>375</v>
      </c>
      <c r="AG90" s="6" t="s">
        <v>80</v>
      </c>
      <c r="AH90" s="6" t="s">
        <v>30</v>
      </c>
      <c r="AJ90" s="6">
        <f>AJ89+1</f>
        <v>89</v>
      </c>
    </row>
    <row r="91" spans="1:36" ht="9.75">
      <c r="A91" t="str">
        <f>HYPERLINK("http://exon.niaid.nih.gov/transcriptome/An_gambiae_male_2006/ST1/links/AGM-contig_41.txt","AGM-contig_41")</f>
        <v>AGM-contig_41</v>
      </c>
      <c r="B91" s="1">
        <v>1</v>
      </c>
      <c r="C91" s="1">
        <v>301</v>
      </c>
      <c r="D91" s="1">
        <f>D90+B91</f>
        <v>154</v>
      </c>
      <c r="E91" s="1" t="s">
        <v>209</v>
      </c>
      <c r="F91" s="1">
        <v>62.1</v>
      </c>
      <c r="G91" s="1">
        <v>220</v>
      </c>
      <c r="H91" t="str">
        <f>HYPERLINK("http://exon.niaid.nih.gov/transcriptome/An_gambiae_male_2006/ST1/links/AGM-7-90-90-asb-41.txt","Contig-41")</f>
        <v>Contig-41</v>
      </c>
      <c r="I91" s="1">
        <v>41</v>
      </c>
      <c r="J91" t="str">
        <f>HYPERLINK("http://exon.niaid.nih.gov/transcriptome/An_gambiae_male_2006/ST1/links/AGM-7-90-90-41-CLU.txt","Contig41")</f>
        <v>Contig41</v>
      </c>
      <c r="K91" t="s">
        <v>250</v>
      </c>
      <c r="L91" s="2" t="str">
        <f>HYPERLINK("http://exon.niaid.nih.gov/transcriptome/An_gambiae_male_2006/ST1/links/AGM-contig_41-AGFRAG.txt","2R_Piece#1185")</f>
        <v>2R_Piece#1185</v>
      </c>
      <c r="M91" s="4">
        <v>1E-120</v>
      </c>
      <c r="N91" s="2" t="str">
        <f>HYPERLINK("http://exon.niaid.nih.gov/transcriptome/An_gambiae_male_2006/ST1/links/AGM-contig_41-AG3P.txt","ENSANGP00000011144")</f>
        <v>ENSANGP00000011144</v>
      </c>
      <c r="O91" s="1" t="str">
        <f>HYPERLINK("http://www.anobase.org/cgi-bin/uniexcel_new_var6.pl?proteinname=ENSANGP00000011144","1.E-121")</f>
        <v>1.E-121</v>
      </c>
      <c r="R91" s="2" t="str">
        <f>HYPERLINK("http://exon.niaid.nih.gov/transcriptome/An_gambiae_male_2006/ST1/links/AGM-contig_41-AGPROT.txt","ENSANGP00000011144")</f>
        <v>ENSANGP00000011144</v>
      </c>
      <c r="S91" s="1" t="str">
        <f>HYPERLINK("http://www.ensembl.org/Anopheles_gambiae/protview?peptide=ENSANGP00000011144","2E-004")</f>
        <v>2E-004</v>
      </c>
      <c r="T91" s="1" t="str">
        <f>HYPERLINK("http://www.anobase.org/cgi-bin/uniexcel_new_var6.pl?proteinname=ENSANGP00000011144","2E-004")</f>
        <v>2E-004</v>
      </c>
      <c r="U91" s="2" t="str">
        <f>HYPERLINK("http://exon.niaid.nih.gov/transcriptome/An_gambiae_male_2006/ST1/links/AGCDS/AGM-contig_41-AGCDS.txt","ENSANGT00000011144")</f>
        <v>ENSANGT00000011144</v>
      </c>
      <c r="V91" s="1">
        <v>1E-122</v>
      </c>
      <c r="AA91" s="2" t="str">
        <f>HYPERLINK("http://exon.niaid.nih.gov/transcriptome/An_gambiae_male_2006/ST1/links/AGM-contig_41-AGNUC.txt","AG-contig_391")</f>
        <v>AG-contig_391</v>
      </c>
      <c r="AB91" s="1">
        <v>6E-38</v>
      </c>
      <c r="AC91" s="2" t="str">
        <f>HYPERLINK("http://exon.niaid.nih.gov/transcriptome/An_gambiae_male_2006/ST1/links/AGM-contig_41-NR.txt","ENSANGP00000011144 [Anopheles gambiae")</f>
        <v>ENSANGP00000011144 [Anopheles gambiae</v>
      </c>
      <c r="AD91" s="1" t="str">
        <f>HYPERLINK("http://www.ncbi.nlm.nih.gov/sutils/blink.cgi?pid=55241842","0.024")</f>
        <v>0.024</v>
      </c>
      <c r="AE91" s="1" t="s">
        <v>313</v>
      </c>
      <c r="AF91" s="9" t="s">
        <v>377</v>
      </c>
      <c r="AG91" s="6" t="s">
        <v>512</v>
      </c>
      <c r="AH91" s="6" t="s">
        <v>30</v>
      </c>
      <c r="AJ91" s="6">
        <f>AJ90+1</f>
        <v>90</v>
      </c>
    </row>
    <row r="92" spans="1:36" ht="9.75">
      <c r="A92" t="str">
        <f>HYPERLINK("http://exon.niaid.nih.gov/transcriptome/An_gambiae_male_2006/ST1/links/AGM-contig_55.txt","AGM-contig_55")</f>
        <v>AGM-contig_55</v>
      </c>
      <c r="B92" s="1">
        <v>4</v>
      </c>
      <c r="C92" s="1">
        <v>276</v>
      </c>
      <c r="D92" s="1">
        <f>D91+B92</f>
        <v>158</v>
      </c>
      <c r="E92" s="1" t="s">
        <v>209</v>
      </c>
      <c r="F92" s="1">
        <v>54</v>
      </c>
      <c r="G92" s="1">
        <v>257</v>
      </c>
      <c r="H92" t="str">
        <f>HYPERLINK("http://exon.niaid.nih.gov/transcriptome/An_gambiae_male_2006/ST1/links/AGM-7-90-90-asb-55.txt","Contig-55")</f>
        <v>Contig-55</v>
      </c>
      <c r="I92" s="1">
        <v>55</v>
      </c>
      <c r="J92" t="str">
        <f>HYPERLINK("http://exon.niaid.nih.gov/transcriptome/An_gambiae_male_2006/ST1/links/AGM-7-90-90-55-CLU.txt","Contig55")</f>
        <v>Contig55</v>
      </c>
      <c r="K92" t="s">
        <v>265</v>
      </c>
      <c r="L92" s="2" t="str">
        <f>HYPERLINK("http://exon.niaid.nih.gov/transcriptome/An_gambiae_male_2006/ST1/links/AGM-contig_55-AGFRAG.txt","3L_Piece#1229")</f>
        <v>3L_Piece#1229</v>
      </c>
      <c r="M92" s="4">
        <v>1E-114</v>
      </c>
      <c r="N92" s="2" t="str">
        <f>HYPERLINK("http://exon.niaid.nih.gov/transcriptome/An_gambiae_male_2006/ST1/links/AGM-contig_55-AG3P.txt","ENSANGP00000017873")</f>
        <v>ENSANGP00000017873</v>
      </c>
      <c r="O92" s="1" t="str">
        <f>HYPERLINK("http://www.anobase.org/cgi-bin/uniexcel_new_var6.pl?proteinname=ENSANGP00000017873","1.E-114")</f>
        <v>1.E-114</v>
      </c>
      <c r="R92" s="2" t="str">
        <f>HYPERLINK("http://exon.niaid.nih.gov/transcriptome/An_gambiae_male_2006/ST1/links/AGM-contig_55-AGPROT.txt","ENSANGP00000016267")</f>
        <v>ENSANGP00000016267</v>
      </c>
      <c r="S92" s="1" t="str">
        <f>HYPERLINK("http://www.ensembl.org/Anopheles_gambiae/protview?peptide=ENSANGP00000016267","0.092")</f>
        <v>0.092</v>
      </c>
      <c r="T92" s="1" t="str">
        <f>HYPERLINK("http://www.anobase.org/cgi-bin/uniexcel_new_var6.pl?proteinname=ENSANGP00000016267","0.092")</f>
        <v>0.092</v>
      </c>
      <c r="AA92" s="2" t="str">
        <f>HYPERLINK("http://exon.niaid.nih.gov/transcriptome/An_gambiae_male_2006/ST1/links/AGM-contig_55-AGNUC.txt","AG-contig_241")</f>
        <v>AG-contig_241</v>
      </c>
      <c r="AB92" s="1">
        <v>1E-131</v>
      </c>
      <c r="AC92" s="2" t="str">
        <f>HYPERLINK("http://exon.niaid.nih.gov/transcriptome/An_gambiae_male_2006/ST1/links/AGM-contig_55-NR.txt","hypothetical protein CaO19.1725 [Cand")</f>
        <v>hypothetical protein CaO19.1725 [Cand</v>
      </c>
      <c r="AD92" s="1" t="str">
        <f>HYPERLINK("http://www.ncbi.nlm.nih.gov/sutils/blink.cgi?pid=46443734","3.8")</f>
        <v>3.8</v>
      </c>
      <c r="AE92" s="1" t="s">
        <v>313</v>
      </c>
      <c r="AF92" s="9" t="s">
        <v>142</v>
      </c>
      <c r="AG92" s="6" t="s">
        <v>38</v>
      </c>
      <c r="AH92" s="6" t="s">
        <v>30</v>
      </c>
      <c r="AJ92" s="6">
        <f>AJ91+1</f>
        <v>91</v>
      </c>
    </row>
    <row r="93" spans="1:36" ht="9.75">
      <c r="A93" t="str">
        <f>HYPERLINK("http://exon.niaid.nih.gov/transcriptome/An_gambiae_male_2006/ST1/links/AGM-contig_281.txt","AGM-contig_281")</f>
        <v>AGM-contig_281</v>
      </c>
      <c r="B93" s="1">
        <v>1</v>
      </c>
      <c r="C93" s="1">
        <v>272</v>
      </c>
      <c r="D93" s="1">
        <f>D92+B93</f>
        <v>159</v>
      </c>
      <c r="E93" s="1" t="s">
        <v>209</v>
      </c>
      <c r="F93" s="1">
        <v>57.7</v>
      </c>
      <c r="G93" s="1">
        <v>253</v>
      </c>
      <c r="H93" t="str">
        <f>HYPERLINK("http://exon.niaid.nih.gov/transcriptome/An_gambiae_male_2006/ST1/links/AGM-7-90-90-asb-281.txt","Contig-281")</f>
        <v>Contig-281</v>
      </c>
      <c r="I93" s="1">
        <v>281</v>
      </c>
      <c r="J93" t="str">
        <f>HYPERLINK("http://exon.niaid.nih.gov/transcriptome/An_gambiae_male_2006/ST1/links/AGM-7-90-90-281-CLU.txt","Contig281")</f>
        <v>Contig281</v>
      </c>
      <c r="K93" t="s">
        <v>148</v>
      </c>
      <c r="L93" s="2" t="str">
        <f>HYPERLINK("http://exon.niaid.nih.gov/transcriptome/An_gambiae_male_2006/ST1/links/AGM-contig_281-AGFRAG.txt","3L_Piece#788")</f>
        <v>3L_Piece#788</v>
      </c>
      <c r="M93" s="4">
        <v>2E-98</v>
      </c>
      <c r="N93" s="2" t="str">
        <f>HYPERLINK("http://exon.niaid.nih.gov/transcriptome/An_gambiae_male_2006/ST1/links/AGM-contig_281-AG3P.txt","ENSANGP00000026665")</f>
        <v>ENSANGP00000026665</v>
      </c>
      <c r="O93" s="1" t="str">
        <f>HYPERLINK("http://www.anobase.org/cgi-bin/uniexcel_new_var6.pl?proteinname=ENSANGP00000026665","7.E-91")</f>
        <v>7.E-91</v>
      </c>
      <c r="R93" s="2" t="str">
        <f>HYPERLINK("http://exon.niaid.nih.gov/transcriptome/An_gambiae_male_2006/ST1/links/AGM-contig_281-AGPROT.txt","ENSANGP00000005722")</f>
        <v>ENSANGP00000005722</v>
      </c>
      <c r="S93" s="1" t="str">
        <f>HYPERLINK("http://www.ensembl.org/Anopheles_gambiae/protview?peptide=ENSANGP00000005722","0.17")</f>
        <v>0.17</v>
      </c>
      <c r="T93" s="1" t="str">
        <f>HYPERLINK("http://www.anobase.org/cgi-bin/uniexcel_new_var6.pl?proteinname=ENSANGP00000005722","0.17")</f>
        <v>0.17</v>
      </c>
      <c r="AC93" s="2" t="str">
        <f>HYPERLINK("http://exon.niaid.nih.gov/transcriptome/An_gambiae_male_2006/ST1/links/AGM-contig_281-NR.txt","GA19934-PA [Drosophila pseudoobscura]       36   0.35")</f>
        <v>GA19934-PA [Drosophila pseudoobscura]       36   0.35</v>
      </c>
      <c r="AD93" s="1" t="str">
        <f>HYPERLINK("http://www.ncbi.nlm.nih.gov/sutils/blink.cgi?pid=54637440","0.35")</f>
        <v>0.35</v>
      </c>
      <c r="AE93" s="1" t="s">
        <v>313</v>
      </c>
      <c r="AF93" s="9" t="s">
        <v>109</v>
      </c>
      <c r="AG93" s="6" t="s">
        <v>735</v>
      </c>
      <c r="AH93" s="6" t="s">
        <v>30</v>
      </c>
      <c r="AJ93" s="6">
        <f>AJ92+1</f>
        <v>92</v>
      </c>
    </row>
    <row r="94" spans="1:36" ht="9.75">
      <c r="A94" t="str">
        <f>HYPERLINK("http://exon.niaid.nih.gov/transcriptome/An_gambiae_male_2006/ST1/links/AGM-contig_266.txt","AGM-contig_266")</f>
        <v>AGM-contig_266</v>
      </c>
      <c r="B94" s="1">
        <v>1</v>
      </c>
      <c r="C94" s="1">
        <v>261</v>
      </c>
      <c r="D94" s="1">
        <f>D93+B94</f>
        <v>160</v>
      </c>
      <c r="E94" s="1" t="s">
        <v>209</v>
      </c>
      <c r="F94" s="1">
        <v>54.8</v>
      </c>
      <c r="G94" s="1">
        <v>242</v>
      </c>
      <c r="H94" t="str">
        <f>HYPERLINK("http://exon.niaid.nih.gov/transcriptome/An_gambiae_male_2006/ST1/links/AGM-7-90-90-asb-266.txt","Contig-266")</f>
        <v>Contig-266</v>
      </c>
      <c r="I94" s="1">
        <v>266</v>
      </c>
      <c r="J94" t="str">
        <f>HYPERLINK("http://exon.niaid.nih.gov/transcriptome/An_gambiae_male_2006/ST1/links/AGM-7-90-90-266-CLU.txt","Contig266")</f>
        <v>Contig266</v>
      </c>
      <c r="K94" t="s">
        <v>719</v>
      </c>
      <c r="L94" s="2" t="str">
        <f>HYPERLINK("http://exon.niaid.nih.gov/transcriptome/An_gambiae_male_2006/ST1/links/AGM-contig_266-AGFRAG.txt","3L_Piece#1565")</f>
        <v>3L_Piece#1565</v>
      </c>
      <c r="M94" s="4">
        <v>1E-129</v>
      </c>
      <c r="N94" s="2" t="str">
        <f>HYPERLINK("http://exon.niaid.nih.gov/transcriptome/An_gambiae_male_2006/ST1/links/AGM-contig_266-AG3P.txt","ENSANGP00000016619")</f>
        <v>ENSANGP00000016619</v>
      </c>
      <c r="O94" s="1" t="str">
        <f>HYPERLINK("http://www.anobase.org/cgi-bin/uniexcel_new_var6.pl?proteinname=ENSANGP00000016619","1.E-129")</f>
        <v>1.E-129</v>
      </c>
      <c r="P94" s="2" t="str">
        <f>HYPERLINK("http://exon.niaid.nih.gov/transcriptome/An_gambiae_male_2006/ST1/links/AGM-contig_266-AG5P.txt","ENSANGP00000016493")</f>
        <v>ENSANGP00000016493</v>
      </c>
      <c r="Q94" s="4" t="str">
        <f>HYPERLINK("http://www.anobase.org/cgi-bin/uniexcel_new_var6.pl?proteinname=ENSANGP00000016493","1.E-129")</f>
        <v>1.E-129</v>
      </c>
      <c r="R94" s="2" t="str">
        <f>HYPERLINK("http://exon.niaid.nih.gov/transcriptome/An_gambiae_male_2006/ST1/links/AGM-contig_266-AGPROT.txt","ENSANGP00000019331")</f>
        <v>ENSANGP00000019331</v>
      </c>
      <c r="S94" s="1" t="str">
        <f>HYPERLINK("http://www.ensembl.org/Anopheles_gambiae/protview?peptide=ENSANGP00000019331","0.21")</f>
        <v>0.21</v>
      </c>
      <c r="T94" s="1" t="str">
        <f>HYPERLINK("http://www.anobase.org/cgi-bin/uniexcel_new_var6.pl?proteinname=ENSANGP00000019331","0.21")</f>
        <v>0.21</v>
      </c>
      <c r="U94" s="2" t="str">
        <f>HYPERLINK("http://exon.niaid.nih.gov/transcriptome/An_gambiae_male_2006/ST1/links/AGCDS/AGM-contig_266-AGCDS.txt","ENSANGT00000016619")</f>
        <v>ENSANGT00000016619</v>
      </c>
      <c r="V94" s="1">
        <v>1E-130</v>
      </c>
      <c r="AA94" s="2" t="str">
        <f>HYPERLINK("http://exon.niaid.nih.gov/transcriptome/An_gambiae_male_2006/ST1/links/AGM-contig_266-AGNUC.txt","AG-contig_297")</f>
        <v>AG-contig_297</v>
      </c>
      <c r="AB94" s="1">
        <v>1E-94</v>
      </c>
      <c r="AC94" s="2" t="str">
        <f>HYPERLINK("http://exon.niaid.nih.gov/transcriptome/An_gambiae_male_2006/ST1/links/AGM-contig_266-NR.txt","hypothetical protein all0918 [Nosto")</f>
        <v>hypothetical protein all0918 [Nosto</v>
      </c>
      <c r="AD94" s="1" t="str">
        <f>HYPERLINK("http://www.ncbi.nlm.nih.gov/sutils/blink.cgi?pid=17228413","0.015")</f>
        <v>0.015</v>
      </c>
      <c r="AE94" s="1" t="s">
        <v>313</v>
      </c>
      <c r="AF94" s="9" t="s">
        <v>840</v>
      </c>
      <c r="AG94" s="6" t="s">
        <v>70</v>
      </c>
      <c r="AH94" s="6" t="s">
        <v>30</v>
      </c>
      <c r="AJ94" s="6">
        <f>AJ93+1</f>
        <v>93</v>
      </c>
    </row>
    <row r="95" spans="1:36" ht="9.75">
      <c r="A95" t="str">
        <f>HYPERLINK("http://exon.niaid.nih.gov/transcriptome/An_gambiae_male_2006/ST1/links/AGM-contig_99.txt","AGM-contig_99")</f>
        <v>AGM-contig_99</v>
      </c>
      <c r="B95" s="1">
        <v>2</v>
      </c>
      <c r="C95" s="1">
        <v>181</v>
      </c>
      <c r="D95" s="1">
        <f>D94+B95</f>
        <v>162</v>
      </c>
      <c r="E95" s="1" t="s">
        <v>209</v>
      </c>
      <c r="F95" s="1">
        <v>60.8</v>
      </c>
      <c r="G95" s="1">
        <v>162</v>
      </c>
      <c r="H95" t="str">
        <f>HYPERLINK("http://exon.niaid.nih.gov/transcriptome/An_gambiae_male_2006/ST1/links/AGM-7-90-90-asb-99.txt","Contig-99")</f>
        <v>Contig-99</v>
      </c>
      <c r="I95" s="1">
        <v>99</v>
      </c>
      <c r="J95" t="str">
        <f>HYPERLINK("http://exon.niaid.nih.gov/transcriptome/An_gambiae_male_2006/ST1/links/AGM-7-90-90-99-CLU.txt","Contig99")</f>
        <v>Contig99</v>
      </c>
      <c r="K95" t="s">
        <v>552</v>
      </c>
      <c r="L95" s="2" t="str">
        <f>HYPERLINK("http://exon.niaid.nih.gov/transcriptome/An_gambiae_male_2006/ST1/links/AGM-contig_99-AGFRAG.txt","2R_Piece#642")</f>
        <v>2R_Piece#642</v>
      </c>
      <c r="M95" s="4">
        <v>4E-70</v>
      </c>
      <c r="N95" s="2" t="str">
        <f>HYPERLINK("http://exon.niaid.nih.gov/transcriptome/An_gambiae_male_2006/ST1/links/AGM-contig_99-AG3P.txt","ENSANGP00000017702")</f>
        <v>ENSANGP00000017702</v>
      </c>
      <c r="O95" s="1" t="str">
        <f>HYPERLINK("http://www.anobase.org/cgi-bin/uniexcel_new_var6.pl?proteinname=ENSANGP00000017702","9.E-71")</f>
        <v>9.E-71</v>
      </c>
      <c r="R95" s="2" t="str">
        <f>HYPERLINK("http://exon.niaid.nih.gov/transcriptome/An_gambiae_male_2006/ST1/links/AGM-contig_99-AGPROT.txt","ENSANGP00000020354")</f>
        <v>ENSANGP00000020354</v>
      </c>
      <c r="S95" s="1" t="str">
        <f>HYPERLINK("http://www.ensembl.org/Anopheles_gambiae/protview?peptide=ENSANGP00000020354","0.24")</f>
        <v>0.24</v>
      </c>
      <c r="T95" s="1" t="str">
        <f>HYPERLINK("http://www.anobase.org/cgi-bin/uniexcel_new_var6.pl?proteinname=ENSANGP00000020354","0.24")</f>
        <v>0.24</v>
      </c>
      <c r="U95" s="2" t="str">
        <f>HYPERLINK("http://exon.niaid.nih.gov/transcriptome/An_gambiae_male_2006/ST1/links/AGCDS/AGM-contig_99-AGCDS.txt","ENSANGT00000017702")</f>
        <v>ENSANGT00000017702</v>
      </c>
      <c r="V95" s="1">
        <v>2E-65</v>
      </c>
      <c r="AA95" s="2" t="str">
        <f>HYPERLINK("http://exon.niaid.nih.gov/transcriptome/An_gambiae_male_2006/ST1/links/AGM-contig_99-AGNUC.txt","AG-contig_633")</f>
        <v>AG-contig_633</v>
      </c>
      <c r="AB95" s="1">
        <v>6E-77</v>
      </c>
      <c r="AC95" s="2" t="str">
        <f>HYPERLINK("http://exon.niaid.nih.gov/transcriptome/An_gambiae_male_2006/ST1/links/AGM-contig_99-NR.txt","avirulence protein [Xanthomonas axo")</f>
        <v>avirulence protein [Xanthomonas axo</v>
      </c>
      <c r="AD95" s="1" t="str">
        <f>HYPERLINK("http://www.ncbi.nlm.nih.gov/sutils/blink.cgi?pid=21241060","5.0")</f>
        <v>5.0</v>
      </c>
      <c r="AE95" s="1" t="s">
        <v>314</v>
      </c>
      <c r="AF95" s="9" t="s">
        <v>817</v>
      </c>
      <c r="AG95" s="6" t="s">
        <v>46</v>
      </c>
      <c r="AH95" s="6" t="s">
        <v>30</v>
      </c>
      <c r="AJ95" s="6">
        <f>AJ94+1</f>
        <v>94</v>
      </c>
    </row>
    <row r="96" spans="1:36" ht="9.75">
      <c r="A96" t="str">
        <f>HYPERLINK("http://exon.niaid.nih.gov/transcriptome/An_gambiae_male_2006/ST1/links/AGM-contig_2.txt","AGM-contig_2")</f>
        <v>AGM-contig_2</v>
      </c>
      <c r="B96" s="1">
        <v>10</v>
      </c>
      <c r="C96" s="1">
        <v>292</v>
      </c>
      <c r="D96" s="1">
        <f>D95+B96</f>
        <v>172</v>
      </c>
      <c r="E96" s="1" t="s">
        <v>209</v>
      </c>
      <c r="F96" s="1">
        <v>49</v>
      </c>
      <c r="G96" s="1">
        <v>273</v>
      </c>
      <c r="H96" t="str">
        <f>HYPERLINK("http://exon.niaid.nih.gov/transcriptome/An_gambiae_male_2006/ST1/links/AGM-7-90-90-asb-2.txt","Contig-2")</f>
        <v>Contig-2</v>
      </c>
      <c r="I96" s="1">
        <v>2</v>
      </c>
      <c r="J96" t="str">
        <f>HYPERLINK("http://exon.niaid.nih.gov/transcriptome/An_gambiae_male_2006/ST1/links/AGM-7-90-90-2-CLU.txt","Contig2")</f>
        <v>Contig2</v>
      </c>
      <c r="K96" t="s">
        <v>211</v>
      </c>
      <c r="L96" s="2" t="str">
        <f>HYPERLINK("http://exon.niaid.nih.gov/transcriptome/An_gambiae_male_2006/ST1/links/AGM-contig_2-AGFRAG.txt","3L_Piece#1300")</f>
        <v>3L_Piece#1300</v>
      </c>
      <c r="M96" s="4">
        <v>1E-108</v>
      </c>
      <c r="N96" s="2" t="str">
        <f>HYPERLINK("http://exon.niaid.nih.gov/transcriptome/An_gambiae_male_2006/ST1/links/AGM-contig_2-AG3P.txt","ENSANGP00000020171")</f>
        <v>ENSANGP00000020171</v>
      </c>
      <c r="O96" s="1" t="str">
        <f>HYPERLINK("http://www.anobase.org/cgi-bin/uniexcel_new_var6.pl?proteinname=ENSANGP00000020171","1.E-108")</f>
        <v>1.E-108</v>
      </c>
      <c r="R96" s="2" t="str">
        <f>HYPERLINK("http://exon.niaid.nih.gov/transcriptome/An_gambiae_male_2006/ST1/links/AGM-contig_2-AGPROT.txt","ENSANGP00000016725")</f>
        <v>ENSANGP00000016725</v>
      </c>
      <c r="S96" s="1" t="str">
        <f>HYPERLINK("http://www.ensembl.org/Anopheles_gambiae/protview?peptide=ENSANGP00000016725","0.28")</f>
        <v>0.28</v>
      </c>
      <c r="T96" s="1" t="str">
        <f>HYPERLINK("http://www.anobase.org/cgi-bin/uniexcel_new_var6.pl?proteinname=ENSANGP00000016725","0.28")</f>
        <v>0.28</v>
      </c>
      <c r="U96" s="2" t="str">
        <f>HYPERLINK("http://exon.niaid.nih.gov/transcriptome/An_gambiae_male_2006/ST1/links/AGCDS/AGM-contig_2-AGCDS.txt","ENSANGT00000020171")</f>
        <v>ENSANGT00000020171</v>
      </c>
      <c r="V96" s="1">
        <v>1E-109</v>
      </c>
      <c r="AA96" s="2" t="str">
        <f>HYPERLINK("http://exon.niaid.nih.gov/transcriptome/An_gambiae_male_2006/ST1/links/AGM-contig_2-AGNUC.txt","AG-contig_686")</f>
        <v>AG-contig_686</v>
      </c>
      <c r="AB96" s="1">
        <v>8E-28</v>
      </c>
      <c r="AC96" s="2" t="str">
        <f>HYPERLINK("http://exon.niaid.nih.gov/transcriptome/An_gambiae_male_2006/ST1/links/AGM-contig_2-NR.txt","ENSANGP00000020171 [Anopheles gambiae]    40   0.014")</f>
        <v>ENSANGP00000020171 [Anopheles gambiae]    40   0.014</v>
      </c>
      <c r="AD96" s="1" t="str">
        <f>HYPERLINK("http://www.ncbi.nlm.nih.gov/sutils/blink.cgi?pid=31240645","0.014")</f>
        <v>0.014</v>
      </c>
      <c r="AE96" s="1" t="s">
        <v>313</v>
      </c>
      <c r="AF96" s="9" t="s">
        <v>848</v>
      </c>
      <c r="AG96" s="6" t="s">
        <v>37</v>
      </c>
      <c r="AH96" s="6" t="s">
        <v>30</v>
      </c>
      <c r="AJ96" s="6">
        <f>AJ95+1</f>
        <v>95</v>
      </c>
    </row>
    <row r="97" spans="1:36" ht="9.75">
      <c r="A97" t="str">
        <f>HYPERLINK("http://exon.niaid.nih.gov/transcriptome/An_gambiae_male_2006/ST1/links/AGM-contig_89.txt","AGM-contig_89")</f>
        <v>AGM-contig_89</v>
      </c>
      <c r="B97" s="1">
        <v>2</v>
      </c>
      <c r="C97" s="1">
        <v>185</v>
      </c>
      <c r="D97" s="1">
        <f>D96+B97</f>
        <v>174</v>
      </c>
      <c r="E97" s="1" t="s">
        <v>209</v>
      </c>
      <c r="F97" s="1">
        <v>57.3</v>
      </c>
      <c r="G97" s="1">
        <v>166</v>
      </c>
      <c r="H97" t="str">
        <f>HYPERLINK("http://exon.niaid.nih.gov/transcriptome/An_gambiae_male_2006/ST1/links/AGM-7-90-90-asb-89.txt","Contig-89")</f>
        <v>Contig-89</v>
      </c>
      <c r="I97" s="1">
        <v>89</v>
      </c>
      <c r="J97" t="str">
        <f>HYPERLINK("http://exon.niaid.nih.gov/transcriptome/An_gambiae_male_2006/ST1/links/AGM-7-90-90-89-CLU.txt","Contig89")</f>
        <v>Contig89</v>
      </c>
      <c r="K97" t="s">
        <v>542</v>
      </c>
      <c r="L97" s="2" t="str">
        <f>HYPERLINK("http://exon.niaid.nih.gov/transcriptome/An_gambiae_male_2006/ST1/links/AGM-contig_89-AGFRAG.txt","3L_Piece#618")</f>
        <v>3L_Piece#618</v>
      </c>
      <c r="M97" s="4">
        <v>3E-74</v>
      </c>
      <c r="N97" s="2" t="str">
        <f>HYPERLINK("http://exon.niaid.nih.gov/transcriptome/An_gambiae_male_2006/ST1/links/AGM-contig_89-AG3P.txt","ENSANGP00000022279")</f>
        <v>ENSANGP00000022279</v>
      </c>
      <c r="O97" s="1" t="str">
        <f>HYPERLINK("http://www.anobase.org/cgi-bin/uniexcel_new_var6.pl?proteinname=ENSANGP00000022279","6.E-75")</f>
        <v>6.E-75</v>
      </c>
      <c r="R97" s="2" t="str">
        <f>HYPERLINK("http://exon.niaid.nih.gov/transcriptome/An_gambiae_male_2006/ST1/links/AGM-contig_89-AGPROT.txt","ENSANGP00000022284")</f>
        <v>ENSANGP00000022284</v>
      </c>
      <c r="S97" s="1" t="str">
        <f>HYPERLINK("http://www.ensembl.org/Anopheles_gambiae/protview?peptide=ENSANGP00000022284","0.53")</f>
        <v>0.53</v>
      </c>
      <c r="T97" s="1" t="str">
        <f>HYPERLINK("http://www.anobase.org/cgi-bin/uniexcel_new_var6.pl?proteinname=ENSANGP00000022284","0.53")</f>
        <v>0.53</v>
      </c>
      <c r="U97" s="2" t="str">
        <f>HYPERLINK("http://exon.niaid.nih.gov/transcriptome/An_gambiae_male_2006/ST1/links/AGCDS/AGM-contig_89-AGCDS.txt","ENSANGT00000022284")</f>
        <v>ENSANGT00000022284</v>
      </c>
      <c r="V97" s="1">
        <v>2E-75</v>
      </c>
      <c r="AA97" s="2" t="str">
        <f>HYPERLINK("http://exon.niaid.nih.gov/transcriptome/An_gambiae_male_2006/ST1/links/AGM-contig_89-AGNUC.txt","AG-contig_216")</f>
        <v>AG-contig_216</v>
      </c>
      <c r="AB97" s="1">
        <v>6E-77</v>
      </c>
      <c r="AC97" s="2" t="str">
        <f>HYPERLINK("http://exon.niaid.nih.gov/transcriptome/An_gambiae_male_2006/ST1/links/AGM-contig_89-NR.txt","CG11911-PA [Drosophila melanogaster")</f>
        <v>CG11911-PA [Drosophila melanogaster</v>
      </c>
      <c r="AD97" s="1" t="str">
        <f>HYPERLINK("http://www.ncbi.nlm.nih.gov/sutils/blink.cgi?pid=24580619","8.7")</f>
        <v>8.7</v>
      </c>
      <c r="AE97" s="1" t="s">
        <v>313</v>
      </c>
      <c r="AF97" s="9" t="s">
        <v>344</v>
      </c>
      <c r="AG97" s="6" t="s">
        <v>363</v>
      </c>
      <c r="AH97" s="6" t="s">
        <v>30</v>
      </c>
      <c r="AJ97" s="6">
        <f>AJ96+1</f>
        <v>96</v>
      </c>
    </row>
    <row r="98" spans="1:36" ht="9.75">
      <c r="A98" t="str">
        <f>HYPERLINK("http://exon.niaid.nih.gov/transcriptome/An_gambiae_male_2006/ST1/links/AGM-contig_298.txt","AGM-contig_298")</f>
        <v>AGM-contig_298</v>
      </c>
      <c r="B98" s="1">
        <v>1</v>
      </c>
      <c r="C98" s="1">
        <v>276</v>
      </c>
      <c r="D98" s="1">
        <f>D97+B98</f>
        <v>175</v>
      </c>
      <c r="E98" s="1" t="s">
        <v>209</v>
      </c>
      <c r="F98" s="1">
        <v>55.8</v>
      </c>
      <c r="G98" s="1">
        <v>257</v>
      </c>
      <c r="H98" t="str">
        <f>HYPERLINK("http://exon.niaid.nih.gov/transcriptome/An_gambiae_male_2006/ST1/links/AGM-7-90-90-asb-298.txt","Contig-298")</f>
        <v>Contig-298</v>
      </c>
      <c r="I98" s="1">
        <v>298</v>
      </c>
      <c r="J98" t="str">
        <f>HYPERLINK("http://exon.niaid.nih.gov/transcriptome/An_gambiae_male_2006/ST1/links/AGM-7-90-90-298-CLU.txt","Contig298")</f>
        <v>Contig298</v>
      </c>
      <c r="K98" t="s">
        <v>165</v>
      </c>
      <c r="L98" s="2" t="str">
        <f>HYPERLINK("http://exon.niaid.nih.gov/transcriptome/An_gambiae_male_2006/ST1/links/AGM-contig_298-AGFRAG.txt","3R_Piece#1363")</f>
        <v>3R_Piece#1363</v>
      </c>
      <c r="M98" s="4">
        <v>1E-115</v>
      </c>
      <c r="N98" s="2" t="str">
        <f>HYPERLINK("http://exon.niaid.nih.gov/transcriptome/An_gambiae_male_2006/ST1/links/AGM-contig_298-AG3P.txt","ENSANGP00000018623")</f>
        <v>ENSANGP00000018623</v>
      </c>
      <c r="O98" s="1" t="str">
        <f>HYPERLINK("http://www.anobase.org/cgi-bin/uniexcel_new_var6.pl?proteinname=ENSANGP00000018623","1.E-116")</f>
        <v>1.E-116</v>
      </c>
      <c r="P98" s="2" t="str">
        <f>HYPERLINK("http://exon.niaid.nih.gov/transcriptome/An_gambiae_male_2006/ST1/links/AGM-contig_298-AG5P.txt","ENSANGP00000004035")</f>
        <v>ENSANGP00000004035</v>
      </c>
      <c r="Q98" s="4" t="str">
        <f>HYPERLINK("http://www.anobase.org/cgi-bin/uniexcel_new_var6.pl?proteinname=ENSANGP00000004035","1.E-116")</f>
        <v>1.E-116</v>
      </c>
      <c r="R98" s="2" t="str">
        <f>HYPERLINK("http://exon.niaid.nih.gov/transcriptome/An_gambiae_male_2006/ST1/links/AGM-contig_298-AGPROT.txt","ENSANGP00000021503")</f>
        <v>ENSANGP00000021503</v>
      </c>
      <c r="S98" s="1" t="str">
        <f>HYPERLINK("http://www.ensembl.org/Anopheles_gambiae/protview?peptide=ENSANGP00000021503","0.63")</f>
        <v>0.63</v>
      </c>
      <c r="T98" s="1" t="str">
        <f>HYPERLINK("http://www.anobase.org/cgi-bin/uniexcel_new_var6.pl?proteinname=ENSANGP00000021503","0.63")</f>
        <v>0.63</v>
      </c>
      <c r="U98" s="2" t="str">
        <f>HYPERLINK("http://exon.niaid.nih.gov/transcriptome/An_gambiae_male_2006/ST1/links/AGCDS/AGM-contig_298-AGCDS.txt","ENSANGT00000018623")</f>
        <v>ENSANGT00000018623</v>
      </c>
      <c r="V98" s="1">
        <v>1E-116</v>
      </c>
      <c r="AA98" s="2" t="str">
        <f>HYPERLINK("http://exon.niaid.nih.gov/transcriptome/An_gambiae_male_2006/ST1/links/AGM-contig_298-AGNUC.txt","AG-contig_177")</f>
        <v>AG-contig_177</v>
      </c>
      <c r="AB98" s="1">
        <v>1E-138</v>
      </c>
      <c r="AC98" s="2" t="str">
        <f>HYPERLINK("http://exon.niaid.nih.gov/transcriptome/An_gambiae_male_2006/ST1/links/AGM-contig_298-NR.txt","unnamed protein product [Tetraodon n")</f>
        <v>unnamed protein product [Tetraodon n</v>
      </c>
      <c r="AD98" s="1" t="str">
        <f>HYPERLINK("http://www.ncbi.nlm.nih.gov/sutils/blink.cgi?pid=47213596","1E-008")</f>
        <v>1E-008</v>
      </c>
      <c r="AE98" s="1" t="s">
        <v>314</v>
      </c>
      <c r="AF98" s="9" t="s">
        <v>483</v>
      </c>
      <c r="AG98" s="6" t="s">
        <v>73</v>
      </c>
      <c r="AH98" s="6" t="s">
        <v>30</v>
      </c>
      <c r="AJ98" s="6">
        <f>AJ97+1</f>
        <v>97</v>
      </c>
    </row>
    <row r="99" spans="1:36" ht="9.75">
      <c r="A99" t="str">
        <f>HYPERLINK("http://exon.niaid.nih.gov/transcriptome/An_gambiae_male_2006/ST1/links/AGM-contig_268.txt","AGM-contig_268")</f>
        <v>AGM-contig_268</v>
      </c>
      <c r="B99" s="1">
        <v>1</v>
      </c>
      <c r="C99" s="1">
        <v>176</v>
      </c>
      <c r="D99" s="1">
        <f>D98+B99</f>
        <v>176</v>
      </c>
      <c r="E99" s="1" t="s">
        <v>209</v>
      </c>
      <c r="F99" s="1">
        <v>59.1</v>
      </c>
      <c r="G99" s="1">
        <v>157</v>
      </c>
      <c r="H99" t="str">
        <f>HYPERLINK("http://exon.niaid.nih.gov/transcriptome/An_gambiae_male_2006/ST1/links/AGM-7-90-90-asb-268.txt","Contig-268")</f>
        <v>Contig-268</v>
      </c>
      <c r="I99" s="1">
        <v>268</v>
      </c>
      <c r="J99" t="str">
        <f>HYPERLINK("http://exon.niaid.nih.gov/transcriptome/An_gambiae_male_2006/ST1/links/AGM-7-90-90-268-CLU.txt","Contig268")</f>
        <v>Contig268</v>
      </c>
      <c r="K99" t="s">
        <v>721</v>
      </c>
      <c r="L99" s="2" t="str">
        <f>HYPERLINK("http://exon.niaid.nih.gov/transcriptome/An_gambiae_male_2006/ST1/links/AGM-contig_268-AGFRAG.txt","3L_Piece#1307")</f>
        <v>3L_Piece#1307</v>
      </c>
      <c r="M99" s="4">
        <v>3E-80</v>
      </c>
      <c r="N99" s="2" t="str">
        <f>HYPERLINK("http://exon.niaid.nih.gov/transcriptome/An_gambiae_male_2006/ST1/links/AGM-contig_268-AG3P.txt","ENSANGP00000020220")</f>
        <v>ENSANGP00000020220</v>
      </c>
      <c r="O99" s="1" t="str">
        <f>HYPERLINK("http://www.anobase.org/cgi-bin/uniexcel_new_var6.pl?proteinname=ENSANGP00000020220","7.E-81")</f>
        <v>7.E-81</v>
      </c>
      <c r="P99" s="2" t="str">
        <f>HYPERLINK("http://exon.niaid.nih.gov/transcriptome/An_gambiae_male_2006/ST1/links/AGM-contig_268-AG5P.txt","ENSANGP00000020127")</f>
        <v>ENSANGP00000020127</v>
      </c>
      <c r="Q99" s="4" t="str">
        <f>HYPERLINK("http://www.anobase.org/cgi-bin/uniexcel_new_var6.pl?proteinname=ENSANGP00000020127","7.E-81")</f>
        <v>7.E-81</v>
      </c>
      <c r="R99" s="2" t="str">
        <f>HYPERLINK("http://exon.niaid.nih.gov/transcriptome/An_gambiae_male_2006/ST1/links/AGM-contig_268-AGPROT.txt","ENSANGP00000025743")</f>
        <v>ENSANGP00000025743</v>
      </c>
      <c r="S99" s="1" t="str">
        <f>HYPERLINK("http://www.ensembl.org/Anopheles_gambiae/protview?peptide=ENSANGP00000025743","0.91")</f>
        <v>0.91</v>
      </c>
      <c r="T99" s="1" t="str">
        <f>HYPERLINK("http://www.anobase.org/cgi-bin/uniexcel_new_var6.pl?proteinname=ENSANGP00000025743","0.91")</f>
        <v>0.91</v>
      </c>
      <c r="U99" s="2" t="str">
        <f>HYPERLINK("http://exon.niaid.nih.gov/transcriptome/An_gambiae_male_2006/ST1/links/AGCDS/AGM-contig_268-AGCDS.txt","ENSANGT00000020220")</f>
        <v>ENSANGT00000020220</v>
      </c>
      <c r="V99" s="1">
        <v>2E-81</v>
      </c>
      <c r="AA99" s="2" t="str">
        <f>HYPERLINK("http://exon.niaid.nih.gov/transcriptome/An_gambiae_male_2006/ST1/links/AGM-contig_268-AGNUC.txt","AG-contig_265")</f>
        <v>AG-contig_265</v>
      </c>
      <c r="AB99" s="1">
        <v>3E-85</v>
      </c>
      <c r="AC99" s="2" t="str">
        <f>HYPERLINK("http://exon.niaid.nih.gov/transcriptome/An_gambiae_male_2006/ST1/links/AGM-contig_268-NR.txt","ENSANGP00000020220 [Anopheles gambiae]    91   9e-018")</f>
        <v>ENSANGP00000020220 [Anopheles gambiae]    91   9e-018</v>
      </c>
      <c r="AD99" s="1" t="str">
        <f>HYPERLINK("http://www.ncbi.nlm.nih.gov/sutils/blink.cgi?pid=31240599","9E-018")</f>
        <v>9E-018</v>
      </c>
      <c r="AE99" s="1" t="s">
        <v>313</v>
      </c>
      <c r="AF99" s="9" t="s">
        <v>752</v>
      </c>
      <c r="AG99" s="6" t="s">
        <v>362</v>
      </c>
      <c r="AH99" s="6" t="s">
        <v>30</v>
      </c>
      <c r="AJ99" s="6">
        <f>AJ98+1</f>
        <v>98</v>
      </c>
    </row>
    <row r="100" spans="1:36" ht="9.75">
      <c r="A100" t="str">
        <f>HYPERLINK("http://exon.niaid.nih.gov/transcriptome/An_gambiae_male_2006/ST1/links/AGM-contig_84.txt","AGM-contig_84")</f>
        <v>AGM-contig_84</v>
      </c>
      <c r="B100" s="1">
        <v>2</v>
      </c>
      <c r="C100" s="1">
        <v>176</v>
      </c>
      <c r="D100" s="1">
        <f>D99+B100</f>
        <v>178</v>
      </c>
      <c r="E100" s="1" t="s">
        <v>209</v>
      </c>
      <c r="F100" s="1">
        <v>58.5</v>
      </c>
      <c r="G100" s="1">
        <v>157</v>
      </c>
      <c r="H100" t="str">
        <f>HYPERLINK("http://exon.niaid.nih.gov/transcriptome/An_gambiae_male_2006/ST1/links/AGM-7-90-90-asb-84.txt","Contig-84")</f>
        <v>Contig-84</v>
      </c>
      <c r="I100" s="1">
        <v>84</v>
      </c>
      <c r="J100" t="str">
        <f>HYPERLINK("http://exon.niaid.nih.gov/transcriptome/An_gambiae_male_2006/ST1/links/AGM-7-90-90-84-CLU.txt","Contig84")</f>
        <v>Contig84</v>
      </c>
      <c r="K100" t="s">
        <v>537</v>
      </c>
      <c r="L100" s="2" t="str">
        <f>HYPERLINK("http://exon.niaid.nih.gov/transcriptome/An_gambiae_male_2006/ST1/links/AGM-contig_84-AGFRAG.txt","2R_Piece#425")</f>
        <v>2R_Piece#425</v>
      </c>
      <c r="M100" s="4">
        <v>1E-45</v>
      </c>
      <c r="N100" s="2" t="str">
        <f>HYPERLINK("http://exon.niaid.nih.gov/transcriptome/An_gambiae_male_2006/ST1/links/AGM-contig_84-AG3P.txt","ENSANGP00000018501")</f>
        <v>ENSANGP00000018501</v>
      </c>
      <c r="O100" s="1" t="str">
        <f>HYPERLINK("http://www.anobase.org/cgi-bin/uniexcel_new_var6.pl?proteinname=ENSANGP00000018501","3.E-46")</f>
        <v>3.E-46</v>
      </c>
      <c r="R100" s="2" t="str">
        <f>HYPERLINK("http://exon.niaid.nih.gov/transcriptome/An_gambiae_male_2006/ST1/links/AGM-contig_84-AGPROT.txt","ENSANGP00000023887")</f>
        <v>ENSANGP00000023887</v>
      </c>
      <c r="S100" s="1" t="str">
        <f>HYPERLINK("http://www.ensembl.org/Anopheles_gambiae/protview?peptide=ENSANGP00000023887","3.4")</f>
        <v>3.4</v>
      </c>
      <c r="T100" s="1" t="str">
        <f>HYPERLINK("http://www.anobase.org/cgi-bin/uniexcel_new_var6.pl?proteinname=ENSANGP00000023887","3.4")</f>
        <v>3.4</v>
      </c>
      <c r="AA100" s="2" t="str">
        <f>HYPERLINK("http://exon.niaid.nih.gov/transcriptome/An_gambiae_male_2006/ST1/links/AGM-contig_84-AGNUC.txt","AG-contig_828")</f>
        <v>AG-contig_828</v>
      </c>
      <c r="AB100" s="1">
        <v>3E-66</v>
      </c>
      <c r="AC100" s="2" t="str">
        <f>HYPERLINK("http://exon.niaid.nih.gov/transcriptome/An_gambiae_male_2006/ST1/links/AGM-contig_84-NR.txt","VAP-peptide [Bombyx mori]                   32   4.4")</f>
        <v>VAP-peptide [Bombyx mori]                   32   4.4</v>
      </c>
      <c r="AD100" s="1" t="str">
        <f>HYPERLINK("http://www.ncbi.nlm.nih.gov/sutils/blink.cgi?pid=1842154","4.4")</f>
        <v>4.4</v>
      </c>
      <c r="AE100" s="1" t="s">
        <v>314</v>
      </c>
      <c r="AF100" s="9" t="s">
        <v>807</v>
      </c>
      <c r="AG100" s="6" t="s">
        <v>843</v>
      </c>
      <c r="AH100" s="6" t="s">
        <v>30</v>
      </c>
      <c r="AJ100" s="6">
        <f>AJ99+1</f>
        <v>99</v>
      </c>
    </row>
    <row r="101" spans="1:36" ht="9.75">
      <c r="A101" t="str">
        <f>HYPERLINK("http://exon.niaid.nih.gov/transcriptome/An_gambiae_male_2006/ST1/links/AGM-contig_187.txt","AGM-contig_187")</f>
        <v>AGM-contig_187</v>
      </c>
      <c r="B101" s="1">
        <v>1</v>
      </c>
      <c r="C101" s="1">
        <v>146</v>
      </c>
      <c r="D101" s="1">
        <f>D100+B101</f>
        <v>179</v>
      </c>
      <c r="E101" s="1" t="s">
        <v>209</v>
      </c>
      <c r="F101" s="1">
        <v>58.2</v>
      </c>
      <c r="G101" s="1">
        <v>127</v>
      </c>
      <c r="H101" t="str">
        <f>HYPERLINK("http://exon.niaid.nih.gov/transcriptome/An_gambiae_male_2006/ST1/links/AGM-7-90-90-asb-187.txt","Contig-187")</f>
        <v>Contig-187</v>
      </c>
      <c r="I101" s="1">
        <v>187</v>
      </c>
      <c r="J101" t="str">
        <f>HYPERLINK("http://exon.niaid.nih.gov/transcriptome/An_gambiae_male_2006/ST1/links/AGM-7-90-90-187-CLU.txt","Contig187")</f>
        <v>Contig187</v>
      </c>
      <c r="K101" t="s">
        <v>640</v>
      </c>
      <c r="L101" s="2" t="str">
        <f>HYPERLINK("http://exon.niaid.nih.gov/transcriptome/An_gambiae_male_2006/ST1/links/AGM-contig_187-AGFRAG.txt","2L_Piece#961")</f>
        <v>2L_Piece#961</v>
      </c>
      <c r="M101" s="4">
        <v>5E-63</v>
      </c>
      <c r="N101" s="2" t="str">
        <f>HYPERLINK("http://exon.niaid.nih.gov/transcriptome/An_gambiae_male_2006/ST1/links/AGM-contig_187-AG3P.txt","ENSANGP00000010747")</f>
        <v>ENSANGP00000010747</v>
      </c>
      <c r="O101" s="1" t="str">
        <f>HYPERLINK("http://www.anobase.org/cgi-bin/uniexcel_new_var6.pl?proteinname=ENSANGP00000010747","1.E-63")</f>
        <v>1.E-63</v>
      </c>
      <c r="R101" s="2" t="str">
        <f>HYPERLINK("http://exon.niaid.nih.gov/transcriptome/An_gambiae_male_2006/ST1/links/AGM-contig_187-AGPROT.txt","ENSANGP00000025471")</f>
        <v>ENSANGP00000025471</v>
      </c>
      <c r="S101" s="1" t="str">
        <f>HYPERLINK("http://www.ensembl.org/Anopheles_gambiae/protview?peptide=ENSANGP00000025471","5.0")</f>
        <v>5.0</v>
      </c>
      <c r="T101" s="1" t="str">
        <f>HYPERLINK("http://www.anobase.org/cgi-bin/uniexcel_new_var6.pl?proteinname=ENSANGP00000025471","5.0")</f>
        <v>5.0</v>
      </c>
      <c r="U101" s="2" t="str">
        <f>HYPERLINK("http://exon.niaid.nih.gov/transcriptome/An_gambiae_male_2006/ST1/links/AGCDS/AGM-contig_187-AGCDS.txt","ENSANGT00000010796")</f>
        <v>ENSANGT00000010796</v>
      </c>
      <c r="V101" s="1">
        <v>3E-64</v>
      </c>
      <c r="AA101" s="2" t="str">
        <f>HYPERLINK("http://exon.niaid.nih.gov/transcriptome/An_gambiae_male_2006/ST1/links/AGM-contig_187-AGNUC.txt","AG-contig_245")</f>
        <v>AG-contig_245</v>
      </c>
      <c r="AB101" s="1">
        <v>1E-65</v>
      </c>
      <c r="AG101" s="6" t="s">
        <v>471</v>
      </c>
      <c r="AH101" s="6" t="s">
        <v>30</v>
      </c>
      <c r="AJ101" s="6">
        <f>AJ100+1</f>
        <v>100</v>
      </c>
    </row>
    <row r="102" spans="1:36" ht="9.75">
      <c r="A102" t="str">
        <f>HYPERLINK("http://exon.niaid.nih.gov/transcriptome/An_gambiae_male_2006/ST1/links/AGM-contig_183.txt","AGM-contig_183")</f>
        <v>AGM-contig_183</v>
      </c>
      <c r="B102" s="1">
        <v>1</v>
      </c>
      <c r="C102" s="1">
        <v>161</v>
      </c>
      <c r="D102" s="1">
        <f>D101+B102</f>
        <v>180</v>
      </c>
      <c r="E102" s="1">
        <v>1.2</v>
      </c>
      <c r="F102" s="1">
        <v>64.6</v>
      </c>
      <c r="G102" s="1">
        <v>113</v>
      </c>
      <c r="H102" t="str">
        <f>HYPERLINK("http://exon.niaid.nih.gov/transcriptome/An_gambiae_male_2006/ST1/links/AGM-7-90-90-asb-183.txt","Contig-183")</f>
        <v>Contig-183</v>
      </c>
      <c r="I102" s="1">
        <v>183</v>
      </c>
      <c r="J102" t="str">
        <f>HYPERLINK("http://exon.niaid.nih.gov/transcriptome/An_gambiae_male_2006/ST1/links/AGM-7-90-90-183-CLU.txt","Contig183")</f>
        <v>Contig183</v>
      </c>
      <c r="K102" t="s">
        <v>636</v>
      </c>
      <c r="L102" s="2" t="str">
        <f>HYPERLINK("http://exon.niaid.nih.gov/transcriptome/An_gambiae_male_2006/ST1/links/AGM-contig_183-AGFRAG.txt","2R_Piece#244")</f>
        <v>2R_Piece#244</v>
      </c>
      <c r="M102" s="4">
        <v>1E-54</v>
      </c>
      <c r="N102" s="2" t="str">
        <f>HYPERLINK("http://exon.niaid.nih.gov/transcriptome/An_gambiae_male_2006/ST1/links/AGM-contig_183-AG3P.txt","ENSANGP00000012229")</f>
        <v>ENSANGP00000012229</v>
      </c>
      <c r="O102" s="1" t="str">
        <f>HYPERLINK("http://www.anobase.org/cgi-bin/uniexcel_new_var6.pl?proteinname=ENSANGP00000012229","3.E-55")</f>
        <v>3.E-55</v>
      </c>
      <c r="P102" s="2" t="str">
        <f>HYPERLINK("http://exon.niaid.nih.gov/transcriptome/An_gambiae_male_2006/ST1/links/AGM-contig_183-AG5P.txt","ENSANGP00000011469")</f>
        <v>ENSANGP00000011469</v>
      </c>
      <c r="Q102" s="4" t="str">
        <f>HYPERLINK("http://www.anobase.org/cgi-bin/uniexcel_new_var6.pl?proteinname=ENSANGP00000011469","3.E-55")</f>
        <v>3.E-55</v>
      </c>
      <c r="R102" s="2" t="str">
        <f>HYPERLINK("http://exon.niaid.nih.gov/transcriptome/An_gambiae_male_2006/ST1/links/AGM-contig_183-AGPROT.txt","ENSANGP00000008560")</f>
        <v>ENSANGP00000008560</v>
      </c>
      <c r="S102" s="1" t="str">
        <f>HYPERLINK("http://www.ensembl.org/Anopheles_gambiae/protview?peptide=ENSANGP00000008560","6.8")</f>
        <v>6.8</v>
      </c>
      <c r="T102" s="1" t="str">
        <f>HYPERLINK("http://www.anobase.org/cgi-bin/uniexcel_new_var6.pl?proteinname=ENSANGP00000008560","6.8")</f>
        <v>6.8</v>
      </c>
      <c r="AG102" s="6" t="s">
        <v>384</v>
      </c>
      <c r="AH102" s="6" t="s">
        <v>30</v>
      </c>
      <c r="AJ102" s="6">
        <f>AJ101+1</f>
        <v>101</v>
      </c>
    </row>
    <row r="103" spans="1:36" ht="9.75">
      <c r="A103" t="str">
        <f>HYPERLINK("http://exon.niaid.nih.gov/transcriptome/An_gambiae_male_2006/ST1/links/AGM-contig_329.txt","AGM-contig_329")</f>
        <v>AGM-contig_329</v>
      </c>
      <c r="B103" s="1">
        <v>1</v>
      </c>
      <c r="C103" s="1">
        <v>157</v>
      </c>
      <c r="D103" s="1">
        <f>D102+B103</f>
        <v>181</v>
      </c>
      <c r="E103" s="1">
        <v>0.6</v>
      </c>
      <c r="F103" s="1">
        <v>66.9</v>
      </c>
      <c r="G103" s="1" t="s">
        <v>260</v>
      </c>
      <c r="H103" t="str">
        <f>HYPERLINK("http://exon.niaid.nih.gov/transcriptome/An_gambiae_male_2006/ST1/links/AGM-7-90-90-asb-329.txt","Contig-329")</f>
        <v>Contig-329</v>
      </c>
      <c r="I103" s="1">
        <v>329</v>
      </c>
      <c r="J103" t="str">
        <f>HYPERLINK("http://exon.niaid.nih.gov/transcriptome/An_gambiae_male_2006/ST1/links/AGM-7-90-90-329-CLU.txt","Contig329")</f>
        <v>Contig329</v>
      </c>
      <c r="K103" t="s">
        <v>196</v>
      </c>
      <c r="L103" s="2" t="str">
        <f>HYPERLINK("http://exon.niaid.nih.gov/transcriptome/An_gambiae_male_2006/ST1/links/AGM-contig_329-AGFRAG.txt","2R_Piece#1250")</f>
        <v>2R_Piece#1250</v>
      </c>
      <c r="M103" s="4">
        <v>1E-51</v>
      </c>
      <c r="R103" s="2" t="str">
        <f>HYPERLINK("http://exon.niaid.nih.gov/transcriptome/An_gambiae_male_2006/ST1/links/AGM-contig_329-AGPROT.txt","ENSANGP00000018210")</f>
        <v>ENSANGP00000018210</v>
      </c>
      <c r="S103" s="1" t="str">
        <f>HYPERLINK("http://www.ensembl.org/Anopheles_gambiae/protview?peptide=ENSANGP00000018210","6.8")</f>
        <v>6.8</v>
      </c>
      <c r="T103" s="1" t="str">
        <f>HYPERLINK("http://www.anobase.org/cgi-bin/uniexcel_new_var6.pl?proteinname=ENSANGP00000018210","6.8")</f>
        <v>6.8</v>
      </c>
      <c r="U103" s="2" t="str">
        <f>HYPERLINK("http://exon.niaid.nih.gov/transcriptome/An_gambiae_male_2006/ST1/links/AGCDS/AGM-contig_329-AGCDS.txt","ENSANGT00000023482")</f>
        <v>ENSANGT00000023482</v>
      </c>
      <c r="V103" s="1">
        <v>3E-52</v>
      </c>
      <c r="AA103" s="2" t="str">
        <f>HYPERLINK("http://exon.niaid.nih.gov/transcriptome/An_gambiae_male_2006/ST1/links/AGM-contig_329-AGNUC.txt","AG-contig_179")</f>
        <v>AG-contig_179</v>
      </c>
      <c r="AB103" s="1">
        <v>3E-75</v>
      </c>
      <c r="AC103" s="2" t="str">
        <f>HYPERLINK("http://exon.niaid.nih.gov/transcriptome/An_gambiae_male_2006/ST1/links/AGM-contig_329-NR.txt","ENSANGP00000023645 [Anopheles gambiae]    70   2e-011")</f>
        <v>ENSANGP00000023645 [Anopheles gambiae]    70   2e-011</v>
      </c>
      <c r="AD103" s="1" t="str">
        <f>HYPERLINK("http://www.ncbi.nlm.nih.gov/sutils/blink.cgi?pid=31205799","2E-011")</f>
        <v>2E-011</v>
      </c>
      <c r="AE103" s="1" t="s">
        <v>313</v>
      </c>
      <c r="AF103" s="9" t="s">
        <v>752</v>
      </c>
      <c r="AG103" s="6" t="s">
        <v>61</v>
      </c>
      <c r="AH103" s="6" t="s">
        <v>30</v>
      </c>
      <c r="AJ103" s="6">
        <f>AJ102+1</f>
        <v>102</v>
      </c>
    </row>
    <row r="104" spans="1:36" ht="9.75">
      <c r="A104" t="str">
        <f>HYPERLINK("http://exon.niaid.nih.gov/transcriptome/An_gambiae_male_2006/ST1/links/AGM-contig_258.txt","AGM-contig_258")</f>
        <v>AGM-contig_258</v>
      </c>
      <c r="B104" s="1">
        <v>1</v>
      </c>
      <c r="C104" s="1">
        <v>136</v>
      </c>
      <c r="D104" s="1">
        <f>D103+B104</f>
        <v>182</v>
      </c>
      <c r="E104" s="1" t="s">
        <v>209</v>
      </c>
      <c r="F104" s="1">
        <v>61.8</v>
      </c>
      <c r="G104" s="1">
        <v>117</v>
      </c>
      <c r="H104" t="str">
        <f>HYPERLINK("http://exon.niaid.nih.gov/transcriptome/An_gambiae_male_2006/ST1/links/AGM-7-90-90-asb-258.txt","Contig-258")</f>
        <v>Contig-258</v>
      </c>
      <c r="I104" s="1">
        <v>258</v>
      </c>
      <c r="J104" t="str">
        <f>HYPERLINK("http://exon.niaid.nih.gov/transcriptome/An_gambiae_male_2006/ST1/links/AGM-7-90-90-258-CLU.txt","Contig258")</f>
        <v>Contig258</v>
      </c>
      <c r="K104" t="s">
        <v>711</v>
      </c>
      <c r="L104" s="2" t="str">
        <f>HYPERLINK("http://exon.niaid.nih.gov/transcriptome/An_gambiae_male_2006/ST1/links/AGM-contig_258-AGFRAG.txt","2R_Piece#88")</f>
        <v>2R_Piece#88</v>
      </c>
      <c r="M104" s="4">
        <v>4E-48</v>
      </c>
      <c r="N104" s="2" t="str">
        <f>HYPERLINK("http://exon.niaid.nih.gov/transcriptome/An_gambiae_male_2006/ST1/links/AGM-contig_258-AG3P.txt","ENSANGP00000013890")</f>
        <v>ENSANGP00000013890</v>
      </c>
      <c r="O104" s="1" t="str">
        <f>HYPERLINK("http://www.anobase.org/cgi-bin/uniexcel_new_var6.pl?proteinname=ENSANGP00000013890","8.E-49")</f>
        <v>8.E-49</v>
      </c>
      <c r="R104" s="2" t="str">
        <f>HYPERLINK("http://exon.niaid.nih.gov/transcriptome/An_gambiae_male_2006/ST1/links/AGM-contig_258-AGPROT.txt","ENSANGP00000018330")</f>
        <v>ENSANGP00000018330</v>
      </c>
      <c r="S104" s="1" t="str">
        <f>HYPERLINK("http://www.ensembl.org/Anopheles_gambiae/protview?peptide=ENSANGP00000018330","8.7")</f>
        <v>8.7</v>
      </c>
      <c r="T104" s="1" t="str">
        <f>HYPERLINK("http://www.anobase.org/cgi-bin/uniexcel_new_var6.pl?proteinname=ENSANGP00000018330","8.7")</f>
        <v>8.7</v>
      </c>
      <c r="U104" s="2" t="str">
        <f>HYPERLINK("http://exon.niaid.nih.gov/transcriptome/An_gambiae_male_2006/ST1/links/AGCDS/AGM-contig_258-AGCDS.txt","ENSANGT00000013957")</f>
        <v>ENSANGT00000013957</v>
      </c>
      <c r="V104" s="1">
        <v>2E-49</v>
      </c>
      <c r="AA104" s="2" t="str">
        <f>HYPERLINK("http://exon.niaid.nih.gov/transcriptome/An_gambiae_male_2006/ST1/links/AGM-contig_258-AGNUC.txt","AG-contig_504")</f>
        <v>AG-contig_504</v>
      </c>
      <c r="AB104" s="1">
        <v>3E-47</v>
      </c>
      <c r="AG104" s="6" t="s">
        <v>64</v>
      </c>
      <c r="AH104" s="6" t="s">
        <v>30</v>
      </c>
      <c r="AJ104" s="6">
        <f>AJ103+1</f>
        <v>103</v>
      </c>
    </row>
    <row r="105" spans="1:36" ht="9.75">
      <c r="A105" t="str">
        <f>HYPERLINK("http://exon.niaid.nih.gov/transcriptome/An_gambiae_male_2006/ST1/links/AGM-contig_277.txt","AGM-contig_277")</f>
        <v>AGM-contig_277</v>
      </c>
      <c r="B105" s="1">
        <v>1</v>
      </c>
      <c r="C105" s="1">
        <v>164</v>
      </c>
      <c r="D105" s="1">
        <f>D104+B105</f>
        <v>183</v>
      </c>
      <c r="E105" s="1">
        <v>1.2</v>
      </c>
      <c r="F105" s="1">
        <v>57.3</v>
      </c>
      <c r="G105" s="1">
        <v>145</v>
      </c>
      <c r="H105" t="str">
        <f>HYPERLINK("http://exon.niaid.nih.gov/transcriptome/An_gambiae_male_2006/ST1/links/AGM-7-90-90-asb-277.txt","Contig-277")</f>
        <v>Contig-277</v>
      </c>
      <c r="I105" s="1">
        <v>277</v>
      </c>
      <c r="J105" t="str">
        <f>HYPERLINK("http://exon.niaid.nih.gov/transcriptome/An_gambiae_male_2006/ST1/links/AGM-7-90-90-277-CLU.txt","Contig277")</f>
        <v>Contig277</v>
      </c>
      <c r="K105" t="s">
        <v>144</v>
      </c>
      <c r="L105" s="2" t="str">
        <f>HYPERLINK("http://exon.niaid.nih.gov/transcriptome/An_gambiae_male_2006/ST1/links/AGM-contig_277-AGFRAG.txt","2L_Piece#937")</f>
        <v>2L_Piece#937</v>
      </c>
      <c r="M105" s="4">
        <v>2E-59</v>
      </c>
      <c r="N105" s="2" t="str">
        <f>HYPERLINK("http://exon.niaid.nih.gov/transcriptome/An_gambiae_male_2006/ST1/links/AGM-contig_277-AG3P.txt","ENSANGP00000010842")</f>
        <v>ENSANGP00000010842</v>
      </c>
      <c r="O105" s="1" t="str">
        <f>HYPERLINK("http://www.anobase.org/cgi-bin/uniexcel_new_var6.pl?proteinname=ENSANGP00000010842","5.E-60")</f>
        <v>5.E-60</v>
      </c>
      <c r="P105" s="2" t="str">
        <f>HYPERLINK("http://exon.niaid.nih.gov/transcriptome/An_gambiae_male_2006/ST1/links/AGM-contig_277-AG5P.txt","ENSANGP00000010775")</f>
        <v>ENSANGP00000010775</v>
      </c>
      <c r="Q105" s="4" t="str">
        <f>HYPERLINK("http://www.anobase.org/cgi-bin/uniexcel_new_var6.pl?proteinname=ENSANGP00000010775","5.E-60")</f>
        <v>5.E-60</v>
      </c>
      <c r="R105" s="2" t="str">
        <f>HYPERLINK("http://exon.niaid.nih.gov/transcriptome/An_gambiae_male_2006/ST1/links/AGM-contig_277-AGPROT.txt","ENSANGP00000017680")</f>
        <v>ENSANGP00000017680</v>
      </c>
      <c r="S105" s="1" t="str">
        <f>HYPERLINK("http://www.ensembl.org/Anopheles_gambiae/protview?peptide=ENSANGP00000017680","8.8")</f>
        <v>8.8</v>
      </c>
      <c r="T105" s="1" t="str">
        <f>HYPERLINK("http://www.anobase.org/cgi-bin/uniexcel_new_var6.pl?proteinname=ENSANGP00000017680","8.8")</f>
        <v>8.8</v>
      </c>
      <c r="U105" s="2" t="str">
        <f>HYPERLINK("http://exon.niaid.nih.gov/transcriptome/An_gambiae_male_2006/ST1/links/AGCDS/AGM-contig_277-AGCDS.txt","ENSANGT00000010842")</f>
        <v>ENSANGT00000010842</v>
      </c>
      <c r="V105" s="1">
        <v>1E-60</v>
      </c>
      <c r="AA105" s="2" t="str">
        <f>HYPERLINK("http://exon.niaid.nih.gov/transcriptome/An_gambiae_male_2006/ST1/links/AGM-contig_277-AGNUC.txt","AG-contig_266")</f>
        <v>AG-contig_266</v>
      </c>
      <c r="AB105" s="1">
        <v>3E-60</v>
      </c>
      <c r="AG105" s="6" t="s">
        <v>57</v>
      </c>
      <c r="AH105" s="6" t="s">
        <v>30</v>
      </c>
      <c r="AJ105" s="6">
        <f>AJ104+1</f>
        <v>104</v>
      </c>
    </row>
    <row r="106" spans="1:36" ht="9.75">
      <c r="A106" t="str">
        <f>HYPERLINK("http://exon.niaid.nih.gov/transcriptome/An_gambiae_male_2006/ST1/links/AGM-contig_305.txt","AGM-contig_305")</f>
        <v>AGM-contig_305</v>
      </c>
      <c r="B106" s="1">
        <v>1</v>
      </c>
      <c r="C106" s="1">
        <v>104</v>
      </c>
      <c r="D106" s="1">
        <f>D105+B106</f>
        <v>184</v>
      </c>
      <c r="E106" s="1" t="s">
        <v>209</v>
      </c>
      <c r="F106" s="1">
        <v>64.4</v>
      </c>
      <c r="G106" s="1">
        <v>85</v>
      </c>
      <c r="H106" t="str">
        <f>HYPERLINK("http://exon.niaid.nih.gov/transcriptome/An_gambiae_male_2006/ST1/links/AGM-7-90-90-asb-305.txt","Contig-305")</f>
        <v>Contig-305</v>
      </c>
      <c r="I106" s="1">
        <v>305</v>
      </c>
      <c r="J106" t="str">
        <f>HYPERLINK("http://exon.niaid.nih.gov/transcriptome/An_gambiae_male_2006/ST1/links/AGM-7-90-90-305-CLU.txt","Contig305")</f>
        <v>Contig305</v>
      </c>
      <c r="K106" t="s">
        <v>172</v>
      </c>
      <c r="L106" s="2" t="str">
        <f>HYPERLINK("http://exon.niaid.nih.gov/transcriptome/An_gambiae_male_2006/ST1/links/AGM-contig_305-AGFRAG.txt","3L_Piece#695")</f>
        <v>3L_Piece#695</v>
      </c>
      <c r="M106" s="4">
        <v>4E-35</v>
      </c>
      <c r="N106" s="2" t="str">
        <f>HYPERLINK("http://exon.niaid.nih.gov/transcriptome/An_gambiae_male_2006/ST1/links/AGM-contig_305-AG3P.txt","ENSANGP00000021987")</f>
        <v>ENSANGP00000021987</v>
      </c>
      <c r="O106" s="1" t="str">
        <f>HYPERLINK("http://www.anobase.org/cgi-bin/uniexcel_new_var6.pl?proteinname=ENSANGP00000021987","8.E-36")</f>
        <v>8.E-36</v>
      </c>
      <c r="P106" s="2" t="str">
        <f>HYPERLINK("http://exon.niaid.nih.gov/transcriptome/An_gambiae_male_2006/ST1/links/AGM-contig_305-AG5P.txt","ENSANGP00000008324")</f>
        <v>ENSANGP00000008324</v>
      </c>
      <c r="Q106" s="4" t="str">
        <f>HYPERLINK("http://www.anobase.org/cgi-bin/uniexcel_new_var6.pl?proteinname=ENSANGP00000008324","8.E-36")</f>
        <v>8.E-36</v>
      </c>
      <c r="U106" s="2" t="str">
        <f>HYPERLINK("http://exon.niaid.nih.gov/transcriptome/An_gambiae_male_2006/ST1/links/AGCDS/AGM-contig_305-AGCDS.txt","ENSANGT00000025740")</f>
        <v>ENSANGT00000025740</v>
      </c>
      <c r="V106" s="1">
        <v>2E-36</v>
      </c>
      <c r="AA106" s="2" t="str">
        <f>HYPERLINK("http://exon.niaid.nih.gov/transcriptome/An_gambiae_male_2006/ST1/links/AGM-contig_305-AGNUC.txt","AG-contig_587")</f>
        <v>AG-contig_587</v>
      </c>
      <c r="AB106" s="1">
        <v>1E-42</v>
      </c>
      <c r="AG106" s="6" t="s">
        <v>353</v>
      </c>
      <c r="AH106" s="6" t="s">
        <v>30</v>
      </c>
      <c r="AJ106" s="6">
        <f>AJ105+1</f>
        <v>105</v>
      </c>
    </row>
    <row r="107" spans="1:36" ht="9.75">
      <c r="A107" t="str">
        <f>HYPERLINK("http://exon.niaid.nih.gov/transcriptome/An_gambiae_male_2006/ST1/links/AGM-contig_318.txt","AGM-contig_318")</f>
        <v>AGM-contig_318</v>
      </c>
      <c r="B107" s="1">
        <v>1</v>
      </c>
      <c r="C107" s="1">
        <v>112</v>
      </c>
      <c r="D107" s="1">
        <f>D106+B107</f>
        <v>185</v>
      </c>
      <c r="E107" s="1" t="s">
        <v>209</v>
      </c>
      <c r="F107" s="1">
        <v>75</v>
      </c>
      <c r="G107" s="1">
        <v>81</v>
      </c>
      <c r="H107" t="str">
        <f>HYPERLINK("http://exon.niaid.nih.gov/transcriptome/An_gambiae_male_2006/ST1/links/AGM-7-90-90-asb-318.txt","Contig-318")</f>
        <v>Contig-318</v>
      </c>
      <c r="I107" s="1">
        <v>318</v>
      </c>
      <c r="J107" t="str">
        <f>HYPERLINK("http://exon.niaid.nih.gov/transcriptome/An_gambiae_male_2006/ST1/links/AGM-7-90-90-318-CLU.txt","Contig318")</f>
        <v>Contig318</v>
      </c>
      <c r="K107" t="s">
        <v>185</v>
      </c>
      <c r="L107" s="2" t="str">
        <f>HYPERLINK("http://exon.niaid.nih.gov/transcriptome/An_gambiae_male_2006/ST1/links/AGM-contig_318-AGFRAG.txt","2L_Piece#999")</f>
        <v>2L_Piece#999</v>
      </c>
      <c r="M107" s="4">
        <v>8E-18</v>
      </c>
      <c r="N107" s="2" t="str">
        <f>HYPERLINK("http://exon.niaid.nih.gov/transcriptome/An_gambiae_male_2006/ST1/links/AGM-contig_318-AG3P.txt","ENSANGP00000024740")</f>
        <v>ENSANGP00000024740</v>
      </c>
      <c r="O107" s="1" t="str">
        <f>HYPERLINK("http://www.anobase.org/cgi-bin/uniexcel_new_var6.pl?proteinname=ENSANGP00000024740","2.E-18")</f>
        <v>2.E-18</v>
      </c>
      <c r="P107" s="2" t="str">
        <f>HYPERLINK("http://exon.niaid.nih.gov/transcriptome/An_gambiae_male_2006/ST1/links/AGM-contig_318-AG5P.txt","ENSANGP00000012452")</f>
        <v>ENSANGP00000012452</v>
      </c>
      <c r="Q107" s="4" t="str">
        <f>HYPERLINK("http://www.anobase.org/cgi-bin/uniexcel_new_var6.pl?proteinname=ENSANGP00000012452","2.E-18")</f>
        <v>2.E-18</v>
      </c>
      <c r="U107" s="2" t="str">
        <f>HYPERLINK("http://exon.niaid.nih.gov/transcriptome/An_gambiae_male_2006/ST1/links/AGCDS/AGM-contig_318-AGCDS.txt","ENSANGT00000012554")</f>
        <v>ENSANGT00000012554</v>
      </c>
      <c r="V107" s="1">
        <v>5E-19</v>
      </c>
      <c r="AA107" s="2" t="str">
        <f>HYPERLINK("http://exon.niaid.nih.gov/transcriptome/An_gambiae_male_2006/ST1/links/AGM-contig_318-AGNUC.txt","AG-contig_189")</f>
        <v>AG-contig_189</v>
      </c>
      <c r="AB107" s="1">
        <v>2E-20</v>
      </c>
      <c r="AG107" s="6" t="s">
        <v>356</v>
      </c>
      <c r="AH107" s="6" t="s">
        <v>30</v>
      </c>
      <c r="AJ107" s="6">
        <f>AJ106+1</f>
        <v>106</v>
      </c>
    </row>
    <row r="108" spans="1:36" ht="9.75">
      <c r="A108" t="str">
        <f>HYPERLINK("http://exon.niaid.nih.gov/transcriptome/An_gambiae_male_2006/ST1/links/AGM-contig_90.txt","AGM-contig_90")</f>
        <v>AGM-contig_90</v>
      </c>
      <c r="B108" s="1">
        <v>2</v>
      </c>
      <c r="C108" s="1">
        <v>164</v>
      </c>
      <c r="D108" s="1">
        <f>D107+B108</f>
        <v>187</v>
      </c>
      <c r="E108" s="1" t="s">
        <v>209</v>
      </c>
      <c r="F108" s="1">
        <v>67.1</v>
      </c>
      <c r="G108" s="1">
        <v>145</v>
      </c>
      <c r="H108" t="str">
        <f>HYPERLINK("http://exon.niaid.nih.gov/transcriptome/An_gambiae_male_2006/ST1/links/AGM-7-90-90-asb-90.txt","Contig-90")</f>
        <v>Contig-90</v>
      </c>
      <c r="I108" s="1">
        <v>90</v>
      </c>
      <c r="J108" t="str">
        <f>HYPERLINK("http://exon.niaid.nih.gov/transcriptome/An_gambiae_male_2006/ST1/links/AGM-7-90-90-90-CLU.txt","Contig90")</f>
        <v>Contig90</v>
      </c>
      <c r="K108" t="s">
        <v>543</v>
      </c>
      <c r="L108" s="2" t="str">
        <f>HYPERLINK("http://exon.niaid.nih.gov/transcriptome/An_gambiae_male_2006/ST1/links/AGM-contig_90-AGFRAG.txt","3R_Piece#7")</f>
        <v>3R_Piece#7</v>
      </c>
      <c r="M108" s="4">
        <v>4E-67</v>
      </c>
      <c r="N108" s="2" t="str">
        <f>HYPERLINK("http://exon.niaid.nih.gov/transcriptome/An_gambiae_male_2006/ST1/links/AGM-contig_90-AG3P.txt","ENSANGP00000022231")</f>
        <v>ENSANGP00000022231</v>
      </c>
      <c r="O108" s="1" t="str">
        <f>HYPERLINK("http://www.anobase.org/cgi-bin/uniexcel_new_var6.pl?proteinname=ENSANGP00000022231","8.E-68")</f>
        <v>8.E-68</v>
      </c>
      <c r="P108" s="2" t="str">
        <f>HYPERLINK("http://exon.niaid.nih.gov/transcriptome/An_gambiae_male_2006/ST1/links/AGM-contig_90-AG5P.txt","ENSANGP00000022244")</f>
        <v>ENSANGP00000022244</v>
      </c>
      <c r="Q108" s="4" t="str">
        <f>HYPERLINK("http://www.anobase.org/cgi-bin/uniexcel_new_var6.pl?proteinname=ENSANGP00000022244","8.E-68")</f>
        <v>8.E-68</v>
      </c>
      <c r="U108" s="2" t="str">
        <f>HYPERLINK("http://exon.niaid.nih.gov/transcriptome/An_gambiae_male_2006/ST1/links/AGCDS/AGM-contig_90-AGCDS.txt","ENSANGT00000022228")</f>
        <v>ENSANGT00000022228</v>
      </c>
      <c r="V108" s="1">
        <v>2E-75</v>
      </c>
      <c r="AA108" s="2" t="str">
        <f>HYPERLINK("http://exon.niaid.nih.gov/transcriptome/An_gambiae_male_2006/ST1/links/AGM-contig_90-AGNUC.txt","AG-contig_874")</f>
        <v>AG-contig_874</v>
      </c>
      <c r="AB108" s="1">
        <v>3E-75</v>
      </c>
      <c r="AG108" s="6" t="s">
        <v>48</v>
      </c>
      <c r="AH108" s="6" t="s">
        <v>30</v>
      </c>
      <c r="AJ108" s="6">
        <f>AJ107+1</f>
        <v>107</v>
      </c>
    </row>
    <row r="109" spans="1:36" ht="9.75">
      <c r="A109" t="str">
        <f>HYPERLINK("http://exon.niaid.nih.gov/transcriptome/An_gambiae_male_2006/ST1/links/AGM-contig_167.txt","AGM-contig_167")</f>
        <v>AGM-contig_167</v>
      </c>
      <c r="B109" s="1">
        <v>1</v>
      </c>
      <c r="C109" s="1">
        <v>94</v>
      </c>
      <c r="D109" s="1">
        <f>D108+B109</f>
        <v>188</v>
      </c>
      <c r="E109" s="1" t="s">
        <v>209</v>
      </c>
      <c r="F109" s="1">
        <v>66</v>
      </c>
      <c r="G109" s="1">
        <v>67</v>
      </c>
      <c r="H109" t="str">
        <f>HYPERLINK("http://exon.niaid.nih.gov/transcriptome/An_gambiae_male_2006/ST1/links/AGM-7-90-90-asb-167.txt","Contig-167")</f>
        <v>Contig-167</v>
      </c>
      <c r="I109" s="1">
        <v>167</v>
      </c>
      <c r="J109" t="str">
        <f>HYPERLINK("http://exon.niaid.nih.gov/transcriptome/An_gambiae_male_2006/ST1/links/AGM-7-90-90-167-CLU.txt","Contig167")</f>
        <v>Contig167</v>
      </c>
      <c r="K109" t="s">
        <v>620</v>
      </c>
      <c r="L109" s="2" t="str">
        <f>HYPERLINK("http://exon.niaid.nih.gov/transcriptome/An_gambiae_male_2006/ST1/links/AGM-contig_167-AGFRAG.txt","UNKN_Piece#190")</f>
        <v>UNKN_Piece#190</v>
      </c>
      <c r="M109" s="4">
        <v>2E-24</v>
      </c>
      <c r="N109" s="2" t="str">
        <f>HYPERLINK("http://exon.niaid.nih.gov/transcriptome/An_gambiae_male_2006/ST1/links/AGM-contig_167-AG3P.txt","ENSANGP00000017104")</f>
        <v>ENSANGP00000017104</v>
      </c>
      <c r="O109" s="1" t="str">
        <f>HYPERLINK("http://www.anobase.org/cgi-bin/uniexcel_new_var6.pl?proteinname=ENSANGP00000017104","4.E-25")</f>
        <v>4.E-25</v>
      </c>
      <c r="U109" s="2" t="str">
        <f>HYPERLINK("http://exon.niaid.nih.gov/transcriptome/An_gambiae_male_2006/ST1/links/AGCDS/AGM-contig_167-AGCDS.txt","ENSANGT00000017104")</f>
        <v>ENSANGT00000017104</v>
      </c>
      <c r="V109" s="1">
        <v>1E-25</v>
      </c>
      <c r="AA109" s="2" t="str">
        <f>HYPERLINK("http://exon.niaid.nih.gov/transcriptome/An_gambiae_male_2006/ST1/links/AGM-contig_167-AGNUC.txt","AG-contig_152")</f>
        <v>AG-contig_152</v>
      </c>
      <c r="AB109" s="1">
        <v>2E-22</v>
      </c>
      <c r="AG109" s="6" t="s">
        <v>845</v>
      </c>
      <c r="AH109" s="6" t="s">
        <v>30</v>
      </c>
      <c r="AJ109" s="6">
        <f>AJ108+1</f>
        <v>108</v>
      </c>
    </row>
    <row r="110" spans="1:36" ht="9.75">
      <c r="A110" t="str">
        <f>HYPERLINK("http://exon.niaid.nih.gov/transcriptome/An_gambiae_male_2006/ST1/links/AGM-contig_20.txt","AGM-contig_20")</f>
        <v>AGM-contig_20</v>
      </c>
      <c r="B110" s="1">
        <v>6</v>
      </c>
      <c r="C110" s="1">
        <v>688</v>
      </c>
      <c r="D110" s="1">
        <f>D109+B110</f>
        <v>194</v>
      </c>
      <c r="E110" s="1" t="s">
        <v>209</v>
      </c>
      <c r="F110" s="1">
        <v>51.2</v>
      </c>
      <c r="G110" s="1">
        <v>669</v>
      </c>
      <c r="H110" t="str">
        <f>HYPERLINK("http://exon.niaid.nih.gov/transcriptome/An_gambiae_male_2006/ST1/links/AGM-7-90-90-asb-20.txt","Contig-20")</f>
        <v>Contig-20</v>
      </c>
      <c r="I110" s="1">
        <v>20</v>
      </c>
      <c r="J110" t="str">
        <f>HYPERLINK("http://exon.niaid.nih.gov/transcriptome/An_gambiae_male_2006/ST1/links/AGM-7-90-90-20-CLU.txt","Contig20")</f>
        <v>Contig20</v>
      </c>
      <c r="K110" t="s">
        <v>229</v>
      </c>
      <c r="L110" s="2" t="str">
        <f>HYPERLINK("http://exon.niaid.nih.gov/transcriptome/An_gambiae_male_2006/ST1/links/AGM-contig_20-AGFRAG.txt","2R_Piece#1980")</f>
        <v>2R_Piece#1980</v>
      </c>
      <c r="M110" s="4">
        <v>0</v>
      </c>
      <c r="P110" s="2" t="str">
        <f>HYPERLINK("http://exon.niaid.nih.gov/transcriptome/An_gambiae_male_2006/ST1/links/AGM-contig_20-AG5P.txt","ENSANGP00000014376")</f>
        <v>ENSANGP00000014376</v>
      </c>
      <c r="Q110" s="4" t="str">
        <f>HYPERLINK("http://www.anobase.org/cgi-bin/uniexcel_new_var6.pl?proteinname=ENSANGP00000014376","0.E+00")</f>
        <v>0.E+00</v>
      </c>
      <c r="R110" s="2" t="str">
        <f>HYPERLINK("http://exon.niaid.nih.gov/transcriptome/An_gambiae_male_2006/ST1/links/AGM-contig_20-AGPROT.txt","ENSANGP00000014376")</f>
        <v>ENSANGP00000014376</v>
      </c>
      <c r="S110" s="1" t="str">
        <f>HYPERLINK("http://www.ensembl.org/Anopheles_gambiae/protview?peptide=ENSANGP00000014376","2E-021")</f>
        <v>2E-021</v>
      </c>
      <c r="T110" s="1" t="str">
        <f>HYPERLINK("http://www.anobase.org/cgi-bin/uniexcel_new_var6.pl?proteinname=ENSANGP00000014376","2E-021")</f>
        <v>2E-021</v>
      </c>
      <c r="U110" s="2" t="str">
        <f>HYPERLINK("http://exon.niaid.nih.gov/transcriptome/An_gambiae_male_2006/ST1/links/AGCDS/AGM-contig_20-AGCDS.txt","ENSANGT00000014376")</f>
        <v>ENSANGT00000014376</v>
      </c>
      <c r="V110" s="1">
        <v>4E-70</v>
      </c>
      <c r="AA110" s="2" t="str">
        <f>HYPERLINK("http://exon.niaid.nih.gov/transcriptome/An_gambiae_male_2006/ST1/links/AGM-contig_20-AGNUC.txt","AG-contig_160")</f>
        <v>AG-contig_160</v>
      </c>
      <c r="AB110" s="1">
        <v>0</v>
      </c>
      <c r="AC110" s="2" t="str">
        <f>HYPERLINK("http://exon.niaid.nih.gov/transcriptome/An_gambiae_male_2006/ST1/links/AGM-contig_20-NR.txt","ENSANGP00000014376 [Anopheles gambiae")</f>
        <v>ENSANGP00000014376 [Anopheles gambiae</v>
      </c>
      <c r="AD110" s="1" t="str">
        <f>HYPERLINK("http://www.ncbi.nlm.nih.gov/sutils/blink.cgi?pid=55236682","1E-019")</f>
        <v>1E-019</v>
      </c>
      <c r="AE110" s="1" t="s">
        <v>314</v>
      </c>
      <c r="AF110" s="9" t="s">
        <v>751</v>
      </c>
      <c r="AG110" s="6" t="s">
        <v>28</v>
      </c>
      <c r="AH110" s="6" t="s">
        <v>28</v>
      </c>
      <c r="AJ110" s="6">
        <f>AJ109+1</f>
        <v>109</v>
      </c>
    </row>
    <row r="111" spans="1:36" ht="9.75">
      <c r="A111" t="str">
        <f>HYPERLINK("http://exon.niaid.nih.gov/transcriptome/An_gambiae_male_2006/ST1/links/AGM-contig_85.txt","AGM-contig_85")</f>
        <v>AGM-contig_85</v>
      </c>
      <c r="B111" s="1">
        <v>2</v>
      </c>
      <c r="C111" s="1">
        <v>358</v>
      </c>
      <c r="D111" s="1">
        <f>D110+B111</f>
        <v>196</v>
      </c>
      <c r="E111" s="1" t="s">
        <v>209</v>
      </c>
      <c r="F111" s="1">
        <v>69.8</v>
      </c>
      <c r="G111" s="1">
        <v>339</v>
      </c>
      <c r="H111" t="str">
        <f>HYPERLINK("http://exon.niaid.nih.gov/transcriptome/An_gambiae_male_2006/ST1/links/AGM-7-90-90-asb-85.txt","Contig-85")</f>
        <v>Contig-85</v>
      </c>
      <c r="I111" s="1">
        <v>85</v>
      </c>
      <c r="J111" t="str">
        <f>HYPERLINK("http://exon.niaid.nih.gov/transcriptome/An_gambiae_male_2006/ST1/links/AGM-7-90-90-85-CLU.txt","Contig85")</f>
        <v>Contig85</v>
      </c>
      <c r="K111" t="s">
        <v>538</v>
      </c>
      <c r="L111" s="2" t="str">
        <f>HYPERLINK("http://exon.niaid.nih.gov/transcriptome/An_gambiae_male_2006/ST1/links/AGM-contig_85-AGFRAG.txt","2R_Piece#1980")</f>
        <v>2R_Piece#1980</v>
      </c>
      <c r="M111" s="4">
        <v>1E-158</v>
      </c>
      <c r="P111" s="2" t="str">
        <f>HYPERLINK("http://exon.niaid.nih.gov/transcriptome/An_gambiae_male_2006/ST1/links/AGM-contig_85-AG5P.txt","ENSANGP00000014376")</f>
        <v>ENSANGP00000014376</v>
      </c>
      <c r="Q111" s="4" t="str">
        <f>HYPERLINK("http://www.anobase.org/cgi-bin/uniexcel_new_var6.pl?proteinname=ENSANGP00000014376","1.E-159")</f>
        <v>1.E-159</v>
      </c>
      <c r="R111" s="2" t="str">
        <f>HYPERLINK("http://exon.niaid.nih.gov/transcriptome/An_gambiae_male_2006/ST1/links/AGM-contig_85-AGPROT.txt","ENSANGP00000010838")</f>
        <v>ENSANGP00000010838</v>
      </c>
      <c r="S111" s="1" t="str">
        <f>HYPERLINK("http://www.ensembl.org/Anopheles_gambiae/protview?peptide=ENSANGP00000010838","7.7")</f>
        <v>7.7</v>
      </c>
      <c r="T111" s="1" t="str">
        <f>HYPERLINK("http://www.anobase.org/cgi-bin/uniexcel_new_var6.pl?proteinname=ENSANGP00000010838","7.7")</f>
        <v>7.7</v>
      </c>
      <c r="AA111" s="2" t="str">
        <f>HYPERLINK("http://exon.niaid.nih.gov/transcriptome/An_gambiae_male_2006/ST1/links/AGM-contig_85-AGNUC.txt","AG-contig_160")</f>
        <v>AG-contig_160</v>
      </c>
      <c r="AB111" s="1">
        <v>0</v>
      </c>
      <c r="AG111" s="6" t="s">
        <v>354</v>
      </c>
      <c r="AH111" s="6" t="s">
        <v>28</v>
      </c>
      <c r="AJ111" s="6">
        <f>AJ110+1</f>
        <v>110</v>
      </c>
    </row>
    <row r="112" spans="1:36" ht="9.75">
      <c r="A112" t="str">
        <f>HYPERLINK("http://exon.niaid.nih.gov/transcriptome/An_gambiae_male_2006/ST1/links/AGM-contig_188.txt","AGM-contig_188")</f>
        <v>AGM-contig_188</v>
      </c>
      <c r="B112" s="1">
        <v>1</v>
      </c>
      <c r="C112" s="1">
        <v>285</v>
      </c>
      <c r="D112" s="1">
        <f>D111+B112</f>
        <v>197</v>
      </c>
      <c r="E112" s="1" t="s">
        <v>209</v>
      </c>
      <c r="F112" s="1">
        <v>53.7</v>
      </c>
      <c r="G112" s="1">
        <v>266</v>
      </c>
      <c r="H112" t="str">
        <f>HYPERLINK("http://exon.niaid.nih.gov/transcriptome/An_gambiae_male_2006/ST1/links/AGM-7-90-90-asb-188.txt","Contig-188")</f>
        <v>Contig-188</v>
      </c>
      <c r="I112" s="1">
        <v>188</v>
      </c>
      <c r="J112" t="str">
        <f>HYPERLINK("http://exon.niaid.nih.gov/transcriptome/An_gambiae_male_2006/ST1/links/AGM-7-90-90-188-CLU.txt","Contig188")</f>
        <v>Contig188</v>
      </c>
      <c r="K112" t="s">
        <v>641</v>
      </c>
      <c r="L112" s="2" t="str">
        <f>HYPERLINK("http://exon.niaid.nih.gov/transcriptome/An_gambiae_male_2006/ST1/links/AGM-contig_188-AGFRAG.txt","3R_Piece#2024")</f>
        <v>3R_Piece#2024</v>
      </c>
      <c r="M112" s="4">
        <v>1E-148</v>
      </c>
      <c r="N112" s="2" t="str">
        <f>HYPERLINK("http://exon.niaid.nih.gov/transcriptome/An_gambiae_male_2006/ST1/links/AGM-contig_188-AG3P.txt","ENSANGP00000012469")</f>
        <v>ENSANGP00000012469</v>
      </c>
      <c r="O112" s="1" t="str">
        <f>HYPERLINK("http://www.anobase.org/cgi-bin/uniexcel_new_var6.pl?proteinname=ENSANGP00000012469","1.E-148")</f>
        <v>1.E-148</v>
      </c>
      <c r="P112" s="2" t="str">
        <f>HYPERLINK("http://exon.niaid.nih.gov/transcriptome/An_gambiae_male_2006/ST1/links/AGM-contig_188-AG5P.txt","ENSANGP00000022441")</f>
        <v>ENSANGP00000022441</v>
      </c>
      <c r="Q112" s="4" t="str">
        <f>HYPERLINK("http://www.anobase.org/cgi-bin/uniexcel_new_var6.pl?proteinname=ENSANGP00000022441","1.E-148")</f>
        <v>1.E-148</v>
      </c>
      <c r="R112" s="2" t="str">
        <f>HYPERLINK("http://exon.niaid.nih.gov/transcriptome/An_gambiae_male_2006/ST1/links/AGM-contig_188-AGPROT.txt","ENSANGP00000012560")</f>
        <v>ENSANGP00000012560</v>
      </c>
      <c r="S112" s="1" t="str">
        <f>HYPERLINK("http://www.ensembl.org/Anopheles_gambiae/protview?peptide=ENSANGP00000012560","4E-026")</f>
        <v>4E-026</v>
      </c>
      <c r="T112" s="1" t="str">
        <f>HYPERLINK("http://www.anobase.org/cgi-bin/uniexcel_new_var6.pl?proteinname=ENSANGP00000012560","4E-026")</f>
        <v>4E-026</v>
      </c>
      <c r="U112" s="2" t="str">
        <f>HYPERLINK("http://exon.niaid.nih.gov/transcriptome/An_gambiae_male_2006/ST1/links/AGCDS/AGM-contig_188-AGCDS.txt","ENSANGT00000012560")</f>
        <v>ENSANGT00000012560</v>
      </c>
      <c r="V112" s="1">
        <v>1E-149</v>
      </c>
      <c r="AA112" s="2" t="str">
        <f>HYPERLINK("http://exon.niaid.nih.gov/transcriptome/An_gambiae_male_2006/ST1/links/AGM-contig_188-AGNUC.txt","AG-contig_217")</f>
        <v>AG-contig_217</v>
      </c>
      <c r="AB112" s="1">
        <v>1E-147</v>
      </c>
      <c r="AC112" s="2" t="str">
        <f>HYPERLINK("http://exon.niaid.nih.gov/transcriptome/An_gambiae_male_2006/ST1/links/AGM-contig_188-NR.txt","ENSANGP00000012560 [Anopheles gambiae]   111   5e-024")</f>
        <v>ENSANGP00000012560 [Anopheles gambiae]   111   5e-024</v>
      </c>
      <c r="AD112" s="1" t="str">
        <f>HYPERLINK("http://www.ncbi.nlm.nih.gov/sutils/blink.cgi?pid=31236053","5E-024")</f>
        <v>5E-024</v>
      </c>
      <c r="AE112" s="1" t="s">
        <v>313</v>
      </c>
      <c r="AF112" s="9" t="s">
        <v>89</v>
      </c>
      <c r="AG112" s="6" t="s">
        <v>75</v>
      </c>
      <c r="AH112" s="6" t="s">
        <v>28</v>
      </c>
      <c r="AJ112" s="6">
        <f>AJ111+1</f>
        <v>111</v>
      </c>
    </row>
    <row r="113" spans="1:36" ht="9.75">
      <c r="A113" t="str">
        <f>HYPERLINK("http://exon.niaid.nih.gov/transcriptome/An_gambiae_male_2006/ST1/links/AGM-contig_73.txt","AGM-contig_73")</f>
        <v>AGM-contig_73</v>
      </c>
      <c r="B113" s="1">
        <v>2</v>
      </c>
      <c r="C113" s="1">
        <v>278</v>
      </c>
      <c r="D113" s="1">
        <f>D112+B113</f>
        <v>199</v>
      </c>
      <c r="E113" s="1" t="s">
        <v>209</v>
      </c>
      <c r="F113" s="1">
        <v>57.6</v>
      </c>
      <c r="G113" s="1">
        <v>259</v>
      </c>
      <c r="H113" t="str">
        <f>HYPERLINK("http://exon.niaid.nih.gov/transcriptome/An_gambiae_male_2006/ST1/links/AGM-7-90-90-asb-73.txt","Contig-73")</f>
        <v>Contig-73</v>
      </c>
      <c r="I113" s="1">
        <v>73</v>
      </c>
      <c r="J113" t="str">
        <f>HYPERLINK("http://exon.niaid.nih.gov/transcriptome/An_gambiae_male_2006/ST1/links/AGM-7-90-90-73-CLU.txt","Contig73")</f>
        <v>Contig73</v>
      </c>
      <c r="K113" t="s">
        <v>526</v>
      </c>
      <c r="L113" s="2" t="str">
        <f>HYPERLINK("http://exon.niaid.nih.gov/transcriptome/An_gambiae_male_2006/ST1/links/AGM-contig_73-AGFRAG.txt","3L_Piece#993")</f>
        <v>3L_Piece#993</v>
      </c>
      <c r="M113" s="4">
        <v>1E-141</v>
      </c>
      <c r="N113" s="2" t="str">
        <f>HYPERLINK("http://exon.niaid.nih.gov/transcriptome/An_gambiae_male_2006/ST1/links/AGM-contig_73-AG3P.txt","ENSANGP00000014959")</f>
        <v>ENSANGP00000014959</v>
      </c>
      <c r="O113" s="1" t="str">
        <f>HYPERLINK("http://www.anobase.org/cgi-bin/uniexcel_new_var6.pl?proteinname=ENSANGP00000014959","1.E-142")</f>
        <v>1.E-142</v>
      </c>
      <c r="P113" s="2" t="str">
        <f>HYPERLINK("http://exon.niaid.nih.gov/transcriptome/An_gambiae_male_2006/ST1/links/AGM-contig_73-AG5P.txt","ENSANGP00000014352")</f>
        <v>ENSANGP00000014352</v>
      </c>
      <c r="Q113" s="4" t="str">
        <f>HYPERLINK("http://www.anobase.org/cgi-bin/uniexcel_new_var6.pl?proteinname=ENSANGP00000014352","1.E-142")</f>
        <v>1.E-142</v>
      </c>
      <c r="R113" s="2" t="str">
        <f>HYPERLINK("http://exon.niaid.nih.gov/transcriptome/An_gambiae_male_2006/ST1/links/AGM-contig_73-AGPROT.txt","ENSANGP00000014959")</f>
        <v>ENSANGP00000014959</v>
      </c>
      <c r="S113" s="1" t="str">
        <f>HYPERLINK("http://www.ensembl.org/Anopheles_gambiae/protview?peptide=ENSANGP00000014959","2E-016")</f>
        <v>2E-016</v>
      </c>
      <c r="T113" s="1" t="str">
        <f>HYPERLINK("http://www.anobase.org/cgi-bin/uniexcel_new_var6.pl?proteinname=ENSANGP00000014959","2E-016")</f>
        <v>2E-016</v>
      </c>
      <c r="U113" s="2" t="str">
        <f>HYPERLINK("http://exon.niaid.nih.gov/transcriptome/An_gambiae_male_2006/ST1/links/AGCDS/AGM-contig_73-AGCDS.txt","ENSANGT00000014959")</f>
        <v>ENSANGT00000014959</v>
      </c>
      <c r="V113" s="1">
        <v>2E-54</v>
      </c>
      <c r="AC113" s="2" t="str">
        <f>HYPERLINK("http://exon.niaid.nih.gov/transcriptome/An_gambiae_male_2006/ST1/links/AGM-contig_73-NR.txt","ENSANGP00000014959 [Anopheles gambiae")</f>
        <v>ENSANGP00000014959 [Anopheles gambiae</v>
      </c>
      <c r="AD113" s="1" t="str">
        <f>HYPERLINK("http://www.ncbi.nlm.nih.gov/sutils/blink.cgi?pid=55236964","2E-014")</f>
        <v>2E-014</v>
      </c>
      <c r="AE113" s="1" t="s">
        <v>313</v>
      </c>
      <c r="AF113" s="9" t="s">
        <v>761</v>
      </c>
      <c r="AG113" s="6" t="s">
        <v>390</v>
      </c>
      <c r="AH113" s="6" t="s">
        <v>28</v>
      </c>
      <c r="AJ113" s="6">
        <f>AJ112+1</f>
        <v>112</v>
      </c>
    </row>
    <row r="114" spans="1:36" ht="9.75">
      <c r="A114" t="str">
        <f>HYPERLINK("http://exon.niaid.nih.gov/transcriptome/An_gambiae_male_2006/ST1/links/AGM-contig_221.txt","AGM-contig_221")</f>
        <v>AGM-contig_221</v>
      </c>
      <c r="B114" s="1">
        <v>1</v>
      </c>
      <c r="C114" s="1">
        <v>351</v>
      </c>
      <c r="D114" s="1">
        <f>D113+B114</f>
        <v>200</v>
      </c>
      <c r="E114" s="1" t="s">
        <v>209</v>
      </c>
      <c r="F114" s="1">
        <v>55.3</v>
      </c>
      <c r="G114" s="1">
        <v>332</v>
      </c>
      <c r="H114" t="str">
        <f>HYPERLINK("http://exon.niaid.nih.gov/transcriptome/An_gambiae_male_2006/ST1/links/AGM-7-90-90-asb-221.txt","Contig-221")</f>
        <v>Contig-221</v>
      </c>
      <c r="I114" s="1">
        <v>221</v>
      </c>
      <c r="J114" t="str">
        <f>HYPERLINK("http://exon.niaid.nih.gov/transcriptome/An_gambiae_male_2006/ST1/links/AGM-7-90-90-221-CLU.txt","Contig221")</f>
        <v>Contig221</v>
      </c>
      <c r="K114" t="s">
        <v>674</v>
      </c>
      <c r="L114" s="2" t="str">
        <f>HYPERLINK("http://exon.niaid.nih.gov/transcriptome/An_gambiae_male_2006/ST1/links/AGM-contig_221-AGFRAG.txt","2R_Piece#662")</f>
        <v>2R_Piece#662</v>
      </c>
      <c r="M114" s="4">
        <v>1E-114</v>
      </c>
      <c r="N114" s="2" t="str">
        <f>HYPERLINK("http://exon.niaid.nih.gov/transcriptome/An_gambiae_male_2006/ST1/links/AGM-contig_221-AG3P.txt","ENSANGP00000006336")</f>
        <v>ENSANGP00000006336</v>
      </c>
      <c r="O114" s="1" t="str">
        <f>HYPERLINK("http://www.anobase.org/cgi-bin/uniexcel_new_var6.pl?proteinname=ENSANGP00000006336","1.E-114")</f>
        <v>1.E-114</v>
      </c>
      <c r="P114" s="2" t="str">
        <f>HYPERLINK("http://exon.niaid.nih.gov/transcriptome/An_gambiae_male_2006/ST1/links/AGM-contig_221-AG5P.txt","ENSANGP00000019454")</f>
        <v>ENSANGP00000019454</v>
      </c>
      <c r="Q114" s="4" t="str">
        <f>HYPERLINK("http://www.anobase.org/cgi-bin/uniexcel_new_var6.pl?proteinname=ENSANGP00000019454","1.E-114")</f>
        <v>1.E-114</v>
      </c>
      <c r="R114" s="2" t="str">
        <f>HYPERLINK("http://exon.niaid.nih.gov/transcriptome/An_gambiae_male_2006/ST1/links/AGM-contig_221-AGPROT.txt","ENSANGP00000006336")</f>
        <v>ENSANGP00000006336</v>
      </c>
      <c r="S114" s="1" t="str">
        <f>HYPERLINK("http://www.ensembl.org/Anopheles_gambiae/protview?peptide=ENSANGP00000006336","6E-012")</f>
        <v>6E-012</v>
      </c>
      <c r="T114" s="1" t="str">
        <f>HYPERLINK("http://www.anobase.org/cgi-bin/uniexcel_new_var6.pl?proteinname=ENSANGP00000006336","6E-012")</f>
        <v>6E-012</v>
      </c>
      <c r="U114" s="2" t="str">
        <f>HYPERLINK("http://exon.niaid.nih.gov/transcriptome/An_gambiae_male_2006/ST1/links/AGCDS/AGM-contig_221-AGCDS.txt","ENSANGT00000006336")</f>
        <v>ENSANGT00000006336</v>
      </c>
      <c r="V114" s="1">
        <v>6E-46</v>
      </c>
      <c r="AC114" s="2" t="str">
        <f>HYPERLINK("http://exon.niaid.nih.gov/transcriptome/An_gambiae_male_2006/ST1/links/AGM-contig_221-NR.txt","ENSANGP00000019395 [Anopheles gambiae]    80   2e-014")</f>
        <v>ENSANGP00000019395 [Anopheles gambiae]    80   2e-014</v>
      </c>
      <c r="AD114" s="1" t="str">
        <f>HYPERLINK("http://www.ncbi.nlm.nih.gov/sutils/blink.cgi?pid=31198185","2E-014")</f>
        <v>2E-014</v>
      </c>
      <c r="AE114" s="1" t="s">
        <v>313</v>
      </c>
      <c r="AF114" s="9" t="s">
        <v>759</v>
      </c>
      <c r="AG114" s="6" t="s">
        <v>461</v>
      </c>
      <c r="AH114" s="6" t="s">
        <v>28</v>
      </c>
      <c r="AJ114" s="6">
        <f>AJ113+1</f>
        <v>113</v>
      </c>
    </row>
    <row r="115" spans="1:36" ht="9.75">
      <c r="A115" t="str">
        <f>HYPERLINK("http://exon.niaid.nih.gov/transcriptome/An_gambiae_male_2006/ST1/links/AGM-contig_302.txt","AGM-contig_302")</f>
        <v>AGM-contig_302</v>
      </c>
      <c r="B115" s="1">
        <v>1</v>
      </c>
      <c r="C115" s="1">
        <v>168</v>
      </c>
      <c r="D115" s="1">
        <f>D114+B115</f>
        <v>201</v>
      </c>
      <c r="E115" s="1" t="s">
        <v>209</v>
      </c>
      <c r="F115" s="1">
        <v>76.8</v>
      </c>
      <c r="G115" s="1">
        <v>149</v>
      </c>
      <c r="H115" t="str">
        <f>HYPERLINK("http://exon.niaid.nih.gov/transcriptome/An_gambiae_male_2006/ST1/links/AGM-7-90-90-asb-302.txt","Contig-302")</f>
        <v>Contig-302</v>
      </c>
      <c r="I115" s="1">
        <v>302</v>
      </c>
      <c r="J115" t="str">
        <f>HYPERLINK("http://exon.niaid.nih.gov/transcriptome/An_gambiae_male_2006/ST1/links/AGM-7-90-90-302-CLU.txt","Contig302")</f>
        <v>Contig302</v>
      </c>
      <c r="K115" t="s">
        <v>169</v>
      </c>
      <c r="L115" s="2" t="str">
        <f>HYPERLINK("http://exon.niaid.nih.gov/transcriptome/An_gambiae_male_2006/ST1/links/AGM-contig_302-AGFRAG.txt","2R_Piece#1980")</f>
        <v>2R_Piece#1980</v>
      </c>
      <c r="M115" s="4">
        <v>5E-45</v>
      </c>
      <c r="P115" s="2" t="str">
        <f>HYPERLINK("http://exon.niaid.nih.gov/transcriptome/An_gambiae_male_2006/ST1/links/AGM-contig_302-AG5P.txt","ENSANGP00000014376")</f>
        <v>ENSANGP00000014376</v>
      </c>
      <c r="Q115" s="4" t="str">
        <f>HYPERLINK("http://www.anobase.org/cgi-bin/uniexcel_new_var6.pl?proteinname=ENSANGP00000014376","1.E-45")</f>
        <v>1.E-45</v>
      </c>
      <c r="R115" s="2" t="str">
        <f>HYPERLINK("http://exon.niaid.nih.gov/transcriptome/An_gambiae_male_2006/ST1/links/AGM-contig_302-AGPROT.txt","ENSANGP00000020131")</f>
        <v>ENSANGP00000020131</v>
      </c>
      <c r="S115" s="1" t="str">
        <f>HYPERLINK("http://www.ensembl.org/Anopheles_gambiae/protview?peptide=ENSANGP00000020131","3.9")</f>
        <v>3.9</v>
      </c>
      <c r="T115" s="1" t="str">
        <f>HYPERLINK("http://www.anobase.org/cgi-bin/uniexcel_new_var6.pl?proteinname=ENSANGP00000020131","3.9")</f>
        <v>3.9</v>
      </c>
      <c r="AA115" s="2" t="str">
        <f>HYPERLINK("http://exon.niaid.nih.gov/transcriptome/An_gambiae_male_2006/ST1/links/AGM-contig_302-AGNUC.txt","AG-contig_160")</f>
        <v>AG-contig_160</v>
      </c>
      <c r="AB115" s="1">
        <v>8E-36</v>
      </c>
      <c r="AG115" s="6" t="s">
        <v>354</v>
      </c>
      <c r="AH115" s="6" t="s">
        <v>28</v>
      </c>
      <c r="AJ115" s="6">
        <f>AJ114+1</f>
        <v>114</v>
      </c>
    </row>
    <row r="116" spans="1:36" ht="9.75">
      <c r="A116" t="str">
        <f>HYPERLINK("http://exon.niaid.nih.gov/transcriptome/An_gambiae_male_2006/ST1/links/AGM-contig_285.txt","AGM-contig_285")</f>
        <v>AGM-contig_285</v>
      </c>
      <c r="B116" s="1">
        <v>1</v>
      </c>
      <c r="C116" s="1">
        <v>156</v>
      </c>
      <c r="D116" s="1">
        <f>D115+B116</f>
        <v>202</v>
      </c>
      <c r="E116" s="1">
        <v>0.6</v>
      </c>
      <c r="F116" s="1">
        <v>71.8</v>
      </c>
      <c r="G116" s="1">
        <v>95</v>
      </c>
      <c r="H116" t="str">
        <f>HYPERLINK("http://exon.niaid.nih.gov/transcriptome/An_gambiae_male_2006/ST1/links/AGM-7-90-90-asb-285.txt","Contig-285")</f>
        <v>Contig-285</v>
      </c>
      <c r="I116" s="1">
        <v>285</v>
      </c>
      <c r="J116" t="str">
        <f>HYPERLINK("http://exon.niaid.nih.gov/transcriptome/An_gambiae_male_2006/ST1/links/AGM-7-90-90-285-CLU.txt","Contig285")</f>
        <v>Contig285</v>
      </c>
      <c r="K116" t="s">
        <v>152</v>
      </c>
      <c r="L116" s="2" t="str">
        <f>HYPERLINK("http://exon.niaid.nih.gov/transcriptome/An_gambiae_male_2006/ST1/links/AGM-contig_285-AGFRAG.txt","UNKN_Piece#1705")</f>
        <v>UNKN_Piece#1705</v>
      </c>
      <c r="M116" s="4">
        <v>1E-32</v>
      </c>
      <c r="N116" s="2" t="str">
        <f>HYPERLINK("http://exon.niaid.nih.gov/transcriptome/An_gambiae_male_2006/ST1/links/AGM-contig_285-AG3P.txt","ENSANGP00000014638")</f>
        <v>ENSANGP00000014638</v>
      </c>
      <c r="O116" s="1" t="str">
        <f>HYPERLINK("http://www.anobase.org/cgi-bin/uniexcel_new_var6.pl?proteinname=ENSANGP00000014638","3.E-33")</f>
        <v>3.E-33</v>
      </c>
      <c r="P116" s="2" t="str">
        <f>HYPERLINK("http://exon.niaid.nih.gov/transcriptome/An_gambiae_male_2006/ST1/links/AGM-contig_285-AG5P.txt","ENSANGP00000012032")</f>
        <v>ENSANGP00000012032</v>
      </c>
      <c r="Q116" s="4" t="str">
        <f>HYPERLINK("http://www.anobase.org/cgi-bin/uniexcel_new_var6.pl?proteinname=ENSANGP00000012032","3.E-33")</f>
        <v>3.E-33</v>
      </c>
      <c r="AG116" s="6" t="s">
        <v>1</v>
      </c>
      <c r="AH116" s="6" t="s">
        <v>28</v>
      </c>
      <c r="AJ116" s="6">
        <f>AJ115+1</f>
        <v>115</v>
      </c>
    </row>
    <row r="117" spans="1:36" ht="9.75">
      <c r="A117" t="str">
        <f>HYPERLINK("http://exon.niaid.nih.gov/transcriptome/An_gambiae_male_2006/ST1/links/AGM-contig_273.txt","AGM-contig_273")</f>
        <v>AGM-contig_273</v>
      </c>
      <c r="B117" s="1">
        <v>1</v>
      </c>
      <c r="C117" s="1">
        <v>401</v>
      </c>
      <c r="D117" s="1">
        <f>D116+B117</f>
        <v>203</v>
      </c>
      <c r="E117" s="1" t="s">
        <v>209</v>
      </c>
      <c r="F117" s="1">
        <v>51.9</v>
      </c>
      <c r="G117" s="1">
        <v>382</v>
      </c>
      <c r="H117" t="str">
        <f>HYPERLINK("http://exon.niaid.nih.gov/transcriptome/An_gambiae_male_2006/ST1/links/AGM-7-90-90-asb-273.txt","Contig-273")</f>
        <v>Contig-273</v>
      </c>
      <c r="I117" s="1">
        <v>273</v>
      </c>
      <c r="J117" t="str">
        <f>HYPERLINK("http://exon.niaid.nih.gov/transcriptome/An_gambiae_male_2006/ST1/links/AGM-7-90-90-273-CLU.txt","Contig273")</f>
        <v>Contig273</v>
      </c>
      <c r="K117" t="s">
        <v>726</v>
      </c>
      <c r="L117" s="2" t="str">
        <f>HYPERLINK("http://exon.niaid.nih.gov/transcriptome/An_gambiae_male_2006/ST1/links/AGM-contig_273-AGFRAG.txt","2R_Piece#1193")</f>
        <v>2R_Piece#1193</v>
      </c>
      <c r="M117" s="4">
        <v>1E-114</v>
      </c>
      <c r="N117" s="2" t="str">
        <f>HYPERLINK("http://exon.niaid.nih.gov/transcriptome/An_gambiae_male_2006/ST1/links/AGM-contig_273-AG3P.txt","ENSANGP00000011061")</f>
        <v>ENSANGP00000011061</v>
      </c>
      <c r="O117" s="1" t="str">
        <f>HYPERLINK("http://www.anobase.org/cgi-bin/uniexcel_new_var6.pl?proteinname=ENSANGP00000011061","1.E-114")</f>
        <v>1.E-114</v>
      </c>
      <c r="R117" s="2" t="str">
        <f>HYPERLINK("http://exon.niaid.nih.gov/transcriptome/An_gambiae_male_2006/ST1/links/AGM-contig_273-AGPROT.txt","ENSANGP00000011061")</f>
        <v>ENSANGP00000011061</v>
      </c>
      <c r="S117" s="1" t="str">
        <f>HYPERLINK("http://www.ensembl.org/Anopheles_gambiae/protview?peptide=ENSANGP00000011061","2E-044")</f>
        <v>2E-044</v>
      </c>
      <c r="T117" s="1" t="str">
        <f>HYPERLINK("http://www.anobase.org/cgi-bin/uniexcel_new_var6.pl?proteinname=ENSANGP00000011061","2E-044")</f>
        <v>2E-044</v>
      </c>
      <c r="U117" s="2" t="str">
        <f>HYPERLINK("http://exon.niaid.nih.gov/transcriptome/An_gambiae_male_2006/ST1/links/AGCDS/AGM-contig_273-AGCDS.txt","ENSANGT00000011061")</f>
        <v>ENSANGT00000011061</v>
      </c>
      <c r="V117" s="1">
        <v>0</v>
      </c>
      <c r="AC117" s="2" t="str">
        <f>HYPERLINK("http://exon.niaid.nih.gov/transcriptome/An_gambiae_male_2006/ST1/links/AGM-contig_273-NR.txt","ENSANGP00000011061 [Anopheles gambi")</f>
        <v>ENSANGP00000011061 [Anopheles gambi</v>
      </c>
      <c r="AD117" s="1" t="str">
        <f>HYPERLINK("http://www.ncbi.nlm.nih.gov/sutils/blink.cgi?pid=31206043","1E-042")</f>
        <v>1E-042</v>
      </c>
      <c r="AE117" s="1" t="s">
        <v>313</v>
      </c>
      <c r="AF117" s="9" t="s">
        <v>8</v>
      </c>
      <c r="AG117" s="6" t="s">
        <v>472</v>
      </c>
      <c r="AH117" s="6" t="s">
        <v>28</v>
      </c>
      <c r="AJ117" s="6">
        <f>AJ116+1</f>
        <v>116</v>
      </c>
    </row>
    <row r="118" spans="1:36" ht="9.75">
      <c r="A118" t="str">
        <f>HYPERLINK("http://exon.niaid.nih.gov/transcriptome/An_gambiae_male_2006/ST1/links/AGM-contig_201.txt","AGM-contig_201")</f>
        <v>AGM-contig_201</v>
      </c>
      <c r="B118" s="1">
        <v>1</v>
      </c>
      <c r="C118" s="1">
        <v>113</v>
      </c>
      <c r="D118" s="1">
        <f>D117+B118</f>
        <v>204</v>
      </c>
      <c r="E118" s="1" t="s">
        <v>209</v>
      </c>
      <c r="F118" s="1">
        <v>69</v>
      </c>
      <c r="G118" s="1">
        <v>94</v>
      </c>
      <c r="H118" t="str">
        <f>HYPERLINK("http://exon.niaid.nih.gov/transcriptome/An_gambiae_male_2006/ST1/links/AGM-7-90-90-asb-201.txt","Contig-201")</f>
        <v>Contig-201</v>
      </c>
      <c r="I118" s="1">
        <v>201</v>
      </c>
      <c r="J118" t="str">
        <f>HYPERLINK("http://exon.niaid.nih.gov/transcriptome/An_gambiae_male_2006/ST1/links/AGM-7-90-90-201-CLU.txt","Contig201")</f>
        <v>Contig201</v>
      </c>
      <c r="K118" t="s">
        <v>654</v>
      </c>
      <c r="L118" s="2" t="str">
        <f>HYPERLINK("http://exon.niaid.nih.gov/transcriptome/An_gambiae_male_2006/ST1/links/AGM-contig_201-AGFRAG.txt","3L_Piece#511")</f>
        <v>3L_Piece#511</v>
      </c>
      <c r="M118" s="4">
        <v>3E-45</v>
      </c>
      <c r="N118" s="2" t="str">
        <f>HYPERLINK("http://exon.niaid.nih.gov/transcriptome/An_gambiae_male_2006/ST1/links/AGM-contig_201-AG3P.txt","ENSANGP00000012610")</f>
        <v>ENSANGP00000012610</v>
      </c>
      <c r="O118" s="1" t="str">
        <f>HYPERLINK("http://www.anobase.org/cgi-bin/uniexcel_new_var6.pl?proteinname=ENSANGP00000012610","6.E-46")</f>
        <v>6.E-46</v>
      </c>
      <c r="R118" s="2" t="str">
        <f>HYPERLINK("http://exon.niaid.nih.gov/transcriptome/An_gambiae_male_2006/ST1/links/AGM-contig_201-AGPROT.txt","ENSANGP00000010799")</f>
        <v>ENSANGP00000010799</v>
      </c>
      <c r="S118" s="1" t="str">
        <f>HYPERLINK("http://www.ensembl.org/Anopheles_gambiae/protview?peptide=ENSANGP00000010799","1E-004")</f>
        <v>1E-004</v>
      </c>
      <c r="T118" s="1" t="str">
        <f>HYPERLINK("http://www.anobase.org/cgi-bin/uniexcel_new_var6.pl?proteinname=ENSANGP00000010799","1E-004")</f>
        <v>1E-004</v>
      </c>
      <c r="AA118" s="2" t="str">
        <f>HYPERLINK("http://exon.niaid.nih.gov/transcriptome/An_gambiae_male_2006/ST1/links/AGM-contig_201-AGNUC.txt","AG-contig_722")</f>
        <v>AG-contig_722</v>
      </c>
      <c r="AB118" s="1">
        <v>9E-44</v>
      </c>
      <c r="AC118" s="2" t="str">
        <f>HYPERLINK("http://exon.niaid.nih.gov/transcriptome/An_gambiae_male_2006/ST1/links/AGM-contig_201-NR.txt","hypothetical protein CaO19.6108 [Cand")</f>
        <v>hypothetical protein CaO19.6108 [Cand</v>
      </c>
      <c r="AD118" s="1" t="str">
        <f>HYPERLINK("http://www.ncbi.nlm.nih.gov/sutils/blink.cgi?pid=46440867","9E-009")</f>
        <v>9E-009</v>
      </c>
      <c r="AE118" s="1" t="s">
        <v>314</v>
      </c>
      <c r="AF118" s="9" t="s">
        <v>106</v>
      </c>
      <c r="AG118" s="6" t="s">
        <v>366</v>
      </c>
      <c r="AH118" s="6" t="s">
        <v>28</v>
      </c>
      <c r="AJ118" s="6">
        <f>AJ117+1</f>
        <v>117</v>
      </c>
    </row>
    <row r="119" spans="1:36" ht="9.75">
      <c r="A119" t="str">
        <f>HYPERLINK("http://exon.niaid.nih.gov/transcriptome/An_gambiae_male_2006/ST1/links/AGM-contig_70.txt","AGM-contig_70")</f>
        <v>AGM-contig_70</v>
      </c>
      <c r="B119" s="1">
        <v>2</v>
      </c>
      <c r="C119" s="1">
        <v>515</v>
      </c>
      <c r="D119" s="1">
        <f>D118+B119</f>
        <v>206</v>
      </c>
      <c r="E119" s="1" t="s">
        <v>209</v>
      </c>
      <c r="F119" s="1">
        <v>60.8</v>
      </c>
      <c r="G119" s="1">
        <v>496</v>
      </c>
      <c r="H119" t="str">
        <f>HYPERLINK("http://exon.niaid.nih.gov/transcriptome/An_gambiae_male_2006/ST1/links/AGM-7-90-90-asb-70.txt","Contig-70")</f>
        <v>Contig-70</v>
      </c>
      <c r="I119" s="1">
        <v>70</v>
      </c>
      <c r="J119" t="str">
        <f>HYPERLINK("http://exon.niaid.nih.gov/transcriptome/An_gambiae_male_2006/ST1/links/AGM-7-90-90-70-CLU.txt","Contig70")</f>
        <v>Contig70</v>
      </c>
      <c r="K119" t="s">
        <v>523</v>
      </c>
      <c r="L119" s="2" t="str">
        <f>HYPERLINK("http://exon.niaid.nih.gov/transcriptome/An_gambiae_male_2006/ST1/links/AGM-contig_70-AGFRAG.txt","3R_Piece#390")</f>
        <v>3R_Piece#390</v>
      </c>
      <c r="M119" s="4">
        <v>0</v>
      </c>
      <c r="N119" s="2" t="str">
        <f>HYPERLINK("http://exon.niaid.nih.gov/transcriptome/An_gambiae_male_2006/ST1/links/AGM-contig_70-AG3P.txt","ENSANGP00000019506")</f>
        <v>ENSANGP00000019506</v>
      </c>
      <c r="O119" s="1" t="str">
        <f>HYPERLINK("http://www.anobase.org/cgi-bin/uniexcel_new_var6.pl?proteinname=ENSANGP00000019506","0.E+00")</f>
        <v>0.E+00</v>
      </c>
      <c r="P119" s="2" t="str">
        <f>HYPERLINK("http://exon.niaid.nih.gov/transcriptome/An_gambiae_male_2006/ST1/links/AGM-contig_70-AG5P.txt","ENSANGP00000019691")</f>
        <v>ENSANGP00000019691</v>
      </c>
      <c r="Q119" s="4" t="str">
        <f>HYPERLINK("http://www.anobase.org/cgi-bin/uniexcel_new_var6.pl?proteinname=ENSANGP00000019691","0.E+00")</f>
        <v>0.E+00</v>
      </c>
      <c r="R119" s="2" t="str">
        <f>HYPERLINK("http://exon.niaid.nih.gov/transcriptome/An_gambiae_male_2006/ST1/links/AGM-contig_70-AGPROT.txt","ENSANGP00000010280")</f>
        <v>ENSANGP00000010280</v>
      </c>
      <c r="S119" s="1" t="str">
        <f>HYPERLINK("http://www.ensembl.org/Anopheles_gambiae/protview?peptide=ENSANGP00000010280","0.003")</f>
        <v>0.003</v>
      </c>
      <c r="T119" s="1" t="str">
        <f>HYPERLINK("http://www.anobase.org/cgi-bin/uniexcel_new_var6.pl?proteinname=ENSANGP00000010280","0.003")</f>
        <v>0.003</v>
      </c>
      <c r="AA119" s="2" t="str">
        <f>HYPERLINK("http://exon.niaid.nih.gov/transcriptome/An_gambiae_male_2006/ST1/links/AGM-contig_70-AGNUC.txt","AG-contig_584")</f>
        <v>AG-contig_584</v>
      </c>
      <c r="AB119" s="1">
        <v>1E-12</v>
      </c>
      <c r="AC119" s="2" t="str">
        <f>HYPERLINK("http://exon.niaid.nih.gov/transcriptome/An_gambiae_male_2006/ST1/links/AGM-contig_70-NR.txt","hypothetical protein PF14_0482 [Pla")</f>
        <v>hypothetical protein PF14_0482 [Pla</v>
      </c>
      <c r="AD119" s="1" t="str">
        <f>HYPERLINK("http://www.ncbi.nlm.nih.gov/sutils/blink.cgi?pid=23509704","5E-006")</f>
        <v>5E-006</v>
      </c>
      <c r="AE119" s="1" t="s">
        <v>313</v>
      </c>
      <c r="AF119" s="9" t="s">
        <v>732</v>
      </c>
      <c r="AG119" s="6" t="s">
        <v>0</v>
      </c>
      <c r="AH119" s="6" t="s">
        <v>28</v>
      </c>
      <c r="AJ119" s="6">
        <f>AJ118+1</f>
        <v>118</v>
      </c>
    </row>
    <row r="120" spans="1:36" ht="9.75">
      <c r="A120" t="str">
        <f>HYPERLINK("http://exon.niaid.nih.gov/transcriptome/An_gambiae_male_2006/ST1/links/AGM-contig_239.txt","AGM-contig_239")</f>
        <v>AGM-contig_239</v>
      </c>
      <c r="B120" s="1">
        <v>1</v>
      </c>
      <c r="C120" s="1">
        <v>616</v>
      </c>
      <c r="D120" s="1">
        <f>D119+B120</f>
        <v>207</v>
      </c>
      <c r="E120" s="1">
        <v>0.2</v>
      </c>
      <c r="F120" s="1">
        <v>59.6</v>
      </c>
      <c r="G120" s="1" t="s">
        <v>260</v>
      </c>
      <c r="H120" t="str">
        <f>HYPERLINK("http://exon.niaid.nih.gov/transcriptome/An_gambiae_male_2006/ST1/links/AGM-7-90-90-asb-239.txt","Contig-239")</f>
        <v>Contig-239</v>
      </c>
      <c r="I120" s="1">
        <v>239</v>
      </c>
      <c r="J120" t="str">
        <f>HYPERLINK("http://exon.niaid.nih.gov/transcriptome/An_gambiae_male_2006/ST1/links/AGM-7-90-90-239-CLU.txt","Contig239")</f>
        <v>Contig239</v>
      </c>
      <c r="K120" t="s">
        <v>692</v>
      </c>
      <c r="L120" s="2" t="str">
        <f>HYPERLINK("http://exon.niaid.nih.gov/transcriptome/An_gambiae_male_2006/ST1/links/AGM-contig_239-AGFRAG.txt","3L_Piece#288")</f>
        <v>3L_Piece#288</v>
      </c>
      <c r="M120" s="4">
        <v>0</v>
      </c>
      <c r="N120" s="2" t="str">
        <f>HYPERLINK("http://exon.niaid.nih.gov/transcriptome/An_gambiae_male_2006/ST1/links/AGM-contig_239-AG3P.txt","ENSANGP00000000555")</f>
        <v>ENSANGP00000000555</v>
      </c>
      <c r="O120" s="1" t="str">
        <f>HYPERLINK("http://www.anobase.org/cgi-bin/uniexcel_new_var6.pl?proteinname=ENSANGP00000000555","0.E+00")</f>
        <v>0.E+00</v>
      </c>
      <c r="P120" s="2" t="str">
        <f>HYPERLINK("http://exon.niaid.nih.gov/transcriptome/An_gambiae_male_2006/ST1/links/AGM-contig_239-AG5P.txt","ENSANGP00000016784")</f>
        <v>ENSANGP00000016784</v>
      </c>
      <c r="Q120" s="4" t="str">
        <f>HYPERLINK("http://www.anobase.org/cgi-bin/uniexcel_new_var6.pl?proteinname=ENSANGP00000016784","0.E+00")</f>
        <v>0.E+00</v>
      </c>
      <c r="R120" s="2" t="str">
        <f>HYPERLINK("http://exon.niaid.nih.gov/transcriptome/An_gambiae_male_2006/ST1/links/AGM-contig_239-AGPROT.txt","ENSANGP00000012810")</f>
        <v>ENSANGP00000012810</v>
      </c>
      <c r="S120" s="1" t="str">
        <f>HYPERLINK("http://www.ensembl.org/Anopheles_gambiae/protview?peptide=ENSANGP00000012810","0.15")</f>
        <v>0.15</v>
      </c>
      <c r="T120" s="1" t="str">
        <f>HYPERLINK("http://www.anobase.org/cgi-bin/uniexcel_new_var6.pl?proteinname=ENSANGP00000012810","0.15")</f>
        <v>0.15</v>
      </c>
      <c r="AA120" s="2" t="str">
        <f>HYPERLINK("http://exon.niaid.nih.gov/transcriptome/An_gambiae_male_2006/ST1/links/AGM-contig_239-AGNUC.txt","AG-contig_861")</f>
        <v>AG-contig_861</v>
      </c>
      <c r="AB120" s="1">
        <v>0</v>
      </c>
      <c r="AC120" s="2" t="str">
        <f>HYPERLINK("http://exon.niaid.nih.gov/transcriptome/An_gambiae_male_2006/ST1/links/AGM-contig_239-NR.txt","PREDICTED: similar to uroplakin III")</f>
        <v>PREDICTED: similar to uroplakin III</v>
      </c>
      <c r="AD120" s="1" t="str">
        <f>HYPERLINK("http://www.ncbi.nlm.nih.gov/sutils/blink.cgi?pid=51475851","0.15")</f>
        <v>0.15</v>
      </c>
      <c r="AE120" s="1" t="s">
        <v>314</v>
      </c>
      <c r="AF120" s="9" t="s">
        <v>481</v>
      </c>
      <c r="AG120" s="6" t="s">
        <v>360</v>
      </c>
      <c r="AH120" s="6" t="s">
        <v>28</v>
      </c>
      <c r="AJ120" s="6">
        <f>AJ119+1</f>
        <v>119</v>
      </c>
    </row>
    <row r="121" spans="1:36" ht="9.75">
      <c r="A121" t="str">
        <f>HYPERLINK("http://exon.niaid.nih.gov/transcriptome/An_gambiae_male_2006/ST1/links/AGM-contig_97.txt","AGM-contig_97")</f>
        <v>AGM-contig_97</v>
      </c>
      <c r="B121" s="1">
        <v>2</v>
      </c>
      <c r="C121" s="1">
        <v>313</v>
      </c>
      <c r="D121" s="1">
        <f>D120+B121</f>
        <v>209</v>
      </c>
      <c r="E121" s="1" t="s">
        <v>209</v>
      </c>
      <c r="F121" s="1">
        <v>56.2</v>
      </c>
      <c r="G121" s="1">
        <v>294</v>
      </c>
      <c r="H121" t="str">
        <f>HYPERLINK("http://exon.niaid.nih.gov/transcriptome/An_gambiae_male_2006/ST1/links/AGM-7-90-90-asb-97.txt","Contig-97")</f>
        <v>Contig-97</v>
      </c>
      <c r="I121" s="1">
        <v>97</v>
      </c>
      <c r="J121" t="str">
        <f>HYPERLINK("http://exon.niaid.nih.gov/transcriptome/An_gambiae_male_2006/ST1/links/AGM-7-90-90-97-CLU.txt","Contig97")</f>
        <v>Contig97</v>
      </c>
      <c r="K121" t="s">
        <v>550</v>
      </c>
      <c r="L121" s="2" t="str">
        <f>HYPERLINK("http://exon.niaid.nih.gov/transcriptome/An_gambiae_male_2006/ST1/links/AGM-contig_97-AGFRAG.txt","3L_Piece#288")</f>
        <v>3L_Piece#288</v>
      </c>
      <c r="M121" s="4">
        <v>1E-141</v>
      </c>
      <c r="N121" s="2" t="str">
        <f>HYPERLINK("http://exon.niaid.nih.gov/transcriptome/An_gambiae_male_2006/ST1/links/AGM-contig_97-AG3P.txt","ENSANGP00000000555")</f>
        <v>ENSANGP00000000555</v>
      </c>
      <c r="O121" s="1" t="str">
        <f>HYPERLINK("http://www.anobase.org/cgi-bin/uniexcel_new_var6.pl?proteinname=ENSANGP00000000555","1.E-142")</f>
        <v>1.E-142</v>
      </c>
      <c r="P121" s="2" t="str">
        <f>HYPERLINK("http://exon.niaid.nih.gov/transcriptome/An_gambiae_male_2006/ST1/links/AGM-contig_97-AG5P.txt","ENSANGP00000016784")</f>
        <v>ENSANGP00000016784</v>
      </c>
      <c r="Q121" s="4" t="str">
        <f>HYPERLINK("http://www.anobase.org/cgi-bin/uniexcel_new_var6.pl?proteinname=ENSANGP00000016784","1.E-142")</f>
        <v>1.E-142</v>
      </c>
      <c r="R121" s="2" t="str">
        <f>HYPERLINK("http://exon.niaid.nih.gov/transcriptome/An_gambiae_male_2006/ST1/links/AGM-contig_97-AGPROT.txt","ENSANGP00000015627")</f>
        <v>ENSANGP00000015627</v>
      </c>
      <c r="S121" s="1" t="str">
        <f>HYPERLINK("http://www.ensembl.org/Anopheles_gambiae/protview?peptide=ENSANGP00000015627","1.7")</f>
        <v>1.7</v>
      </c>
      <c r="T121" s="1" t="str">
        <f>HYPERLINK("http://www.anobase.org/cgi-bin/uniexcel_new_var6.pl?proteinname=ENSANGP00000015627","1.7")</f>
        <v>1.7</v>
      </c>
      <c r="AA121" s="2" t="str">
        <f>HYPERLINK("http://exon.niaid.nih.gov/transcriptome/An_gambiae_male_2006/ST1/links/AGM-contig_97-AGNUC.txt","AG-contig_861")</f>
        <v>AG-contig_861</v>
      </c>
      <c r="AB121" s="1">
        <v>1E-100</v>
      </c>
      <c r="AC121" s="2" t="str">
        <f>HYPERLINK("http://exon.niaid.nih.gov/transcriptome/An_gambiae_male_2006/ST1/links/AGM-contig_97-NR.txt","hypothetical protein CNBD5570 [Crypto")</f>
        <v>hypothetical protein CNBD5570 [Crypto</v>
      </c>
      <c r="AD121" s="1" t="str">
        <f>HYPERLINK("http://www.ncbi.nlm.nih.gov/sutils/blink.cgi?pid=50258265","2.9")</f>
        <v>2.9</v>
      </c>
      <c r="AE121" s="1" t="s">
        <v>314</v>
      </c>
      <c r="AF121" s="9" t="s">
        <v>141</v>
      </c>
      <c r="AG121" s="6" t="s">
        <v>360</v>
      </c>
      <c r="AH121" s="6" t="s">
        <v>28</v>
      </c>
      <c r="AJ121" s="6">
        <f>AJ120+1</f>
        <v>120</v>
      </c>
    </row>
    <row r="122" spans="1:36" ht="9.75">
      <c r="A122" t="str">
        <f>HYPERLINK("http://exon.niaid.nih.gov/transcriptome/An_gambiae_male_2006/ST1/links/AGM-contig_335.txt","AGM-contig_335")</f>
        <v>AGM-contig_335</v>
      </c>
      <c r="B122" s="1">
        <v>1</v>
      </c>
      <c r="C122" s="1">
        <v>255</v>
      </c>
      <c r="D122" s="1">
        <f>D121+B122</f>
        <v>210</v>
      </c>
      <c r="E122" s="1" t="s">
        <v>209</v>
      </c>
      <c r="F122" s="1">
        <v>63.9</v>
      </c>
      <c r="G122" s="1">
        <v>236</v>
      </c>
      <c r="H122" t="str">
        <f>HYPERLINK("http://exon.niaid.nih.gov/transcriptome/An_gambiae_male_2006/ST1/links/AGM-7-90-90-asb-335.txt","Contig-335")</f>
        <v>Contig-335</v>
      </c>
      <c r="I122" s="1">
        <v>335</v>
      </c>
      <c r="J122" t="str">
        <f>HYPERLINK("http://exon.niaid.nih.gov/transcriptome/An_gambiae_male_2006/ST1/links/AGM-7-90-90-335-CLU.txt","Contig335")</f>
        <v>Contig335</v>
      </c>
      <c r="K122" t="s">
        <v>275</v>
      </c>
      <c r="L122" s="2" t="str">
        <f>HYPERLINK("http://exon.niaid.nih.gov/transcriptome/An_gambiae_male_2006/ST1/links/AGM-contig_335-AGFRAG.txt","2L_Piece#230")</f>
        <v>2L_Piece#230</v>
      </c>
      <c r="M122" s="4">
        <v>1E-122</v>
      </c>
      <c r="N122" s="2" t="str">
        <f>HYPERLINK("http://exon.niaid.nih.gov/transcriptome/An_gambiae_male_2006/ST1/links/AGM-contig_335-AG3P.txt","ENSANGP00000022229")</f>
        <v>ENSANGP00000022229</v>
      </c>
      <c r="O122" s="1" t="str">
        <f>HYPERLINK("http://www.anobase.org/cgi-bin/uniexcel_new_var6.pl?proteinname=ENSANGP00000022229","1.E-122")</f>
        <v>1.E-122</v>
      </c>
      <c r="R122" s="2" t="str">
        <f>HYPERLINK("http://exon.niaid.nih.gov/transcriptome/An_gambiae_male_2006/ST1/links/AGM-contig_335-AGPROT.txt","ENSANGP00000010480")</f>
        <v>ENSANGP00000010480</v>
      </c>
      <c r="S122" s="1" t="str">
        <f>HYPERLINK("http://www.ensembl.org/Anopheles_gambiae/protview?peptide=ENSANGP00000010480","2.5")</f>
        <v>2.5</v>
      </c>
      <c r="T122" s="1" t="str">
        <f>HYPERLINK("http://www.anobase.org/cgi-bin/uniexcel_new_var6.pl?proteinname=ENSANGP00000010480","2.5")</f>
        <v>2.5</v>
      </c>
      <c r="U122" s="2" t="str">
        <f>HYPERLINK("http://exon.niaid.nih.gov/transcriptome/An_gambiae_male_2006/ST1/links/AGCDS/AGM-contig_335-AGCDS.txt","ENSANGT00000022232")</f>
        <v>ENSANGT00000022232</v>
      </c>
      <c r="V122" s="1">
        <v>3E-19</v>
      </c>
      <c r="AC122" s="2" t="str">
        <f>HYPERLINK("http://exon.niaid.nih.gov/transcriptome/An_gambiae_male_2006/ST1/links/AGM-contig_335-NR.txt","unknown protein [Oryza sativa (japo")</f>
        <v>unknown protein [Oryza sativa (japo</v>
      </c>
      <c r="AD122" s="1" t="str">
        <f>HYPERLINK("http://www.ncbi.nlm.nih.gov/sutils/blink.cgi?pid=50920017","3.0")</f>
        <v>3.0</v>
      </c>
      <c r="AE122" s="1" t="s">
        <v>313</v>
      </c>
      <c r="AF122" s="9" t="s">
        <v>135</v>
      </c>
      <c r="AG122" s="6" t="s">
        <v>495</v>
      </c>
      <c r="AH122" s="6" t="s">
        <v>28</v>
      </c>
      <c r="AJ122" s="6">
        <f>AJ121+1</f>
        <v>121</v>
      </c>
    </row>
    <row r="123" spans="1:36" ht="9.75">
      <c r="A123" t="str">
        <f>HYPERLINK("http://exon.niaid.nih.gov/transcriptome/An_gambiae_male_2006/ST1/links/AGM-contig_237.txt","AGM-contig_237")</f>
        <v>AGM-contig_237</v>
      </c>
      <c r="B123" s="1">
        <v>1</v>
      </c>
      <c r="C123" s="1">
        <v>308</v>
      </c>
      <c r="D123" s="1">
        <f>D122+B123</f>
        <v>211</v>
      </c>
      <c r="E123" s="1" t="s">
        <v>209</v>
      </c>
      <c r="F123" s="1">
        <v>66.2</v>
      </c>
      <c r="G123" s="1">
        <v>289</v>
      </c>
      <c r="H123" t="str">
        <f>HYPERLINK("http://exon.niaid.nih.gov/transcriptome/An_gambiae_male_2006/ST1/links/AGM-7-90-90-asb-237.txt","Contig-237")</f>
        <v>Contig-237</v>
      </c>
      <c r="I123" s="1">
        <v>237</v>
      </c>
      <c r="J123" t="str">
        <f>HYPERLINK("http://exon.niaid.nih.gov/transcriptome/An_gambiae_male_2006/ST1/links/AGM-7-90-90-237-CLU.txt","Contig237")</f>
        <v>Contig237</v>
      </c>
      <c r="K123" t="s">
        <v>690</v>
      </c>
      <c r="L123" s="2" t="str">
        <f>HYPERLINK("http://exon.niaid.nih.gov/transcriptome/An_gambiae_male_2006/ST1/links/AGM-contig_237-AGFRAG.txt","3R_Piece#344")</f>
        <v>3R_Piece#344</v>
      </c>
      <c r="M123" s="4">
        <v>1E-133</v>
      </c>
      <c r="N123" s="2" t="str">
        <f>HYPERLINK("http://exon.niaid.nih.gov/transcriptome/An_gambiae_male_2006/ST1/links/AGM-contig_237-AG3P.txt","ENSANGP00000025201")</f>
        <v>ENSANGP00000025201</v>
      </c>
      <c r="O123" s="1" t="str">
        <f>HYPERLINK("http://www.anobase.org/cgi-bin/uniexcel_new_var6.pl?proteinname=ENSANGP00000025201","1.E-134")</f>
        <v>1.E-134</v>
      </c>
      <c r="R123" s="2" t="str">
        <f>HYPERLINK("http://exon.niaid.nih.gov/transcriptome/An_gambiae_male_2006/ST1/links/AGM-contig_237-AGPROT.txt","ENSANGP00000008527")</f>
        <v>ENSANGP00000008527</v>
      </c>
      <c r="S123" s="1" t="str">
        <f>HYPERLINK("http://www.ensembl.org/Anopheles_gambiae/protview?peptide=ENSANGP00000008527","4.0")</f>
        <v>4.0</v>
      </c>
      <c r="T123" s="1" t="str">
        <f>HYPERLINK("http://www.anobase.org/cgi-bin/uniexcel_new_var6.pl?proteinname=ENSANGP00000008527","4.0")</f>
        <v>4.0</v>
      </c>
      <c r="AC123" s="2" t="str">
        <f>HYPERLINK("http://exon.niaid.nih.gov/transcriptome/An_gambiae_male_2006/ST1/links/AGM-contig_237-NR.txt","unnamed protein product [Mus musculus]     23   5e-006")</f>
        <v>unnamed protein product [Mus musculus]     23   5e-006</v>
      </c>
      <c r="AD123" s="1" t="str">
        <f>HYPERLINK("http://www.ncbi.nlm.nih.gov/sutils/blink.cgi?pid=26381286","5E-006")</f>
        <v>5E-006</v>
      </c>
      <c r="AE123" s="1" t="s">
        <v>313</v>
      </c>
      <c r="AF123" s="9" t="s">
        <v>805</v>
      </c>
      <c r="AG123" s="6" t="s">
        <v>501</v>
      </c>
      <c r="AH123" s="6" t="s">
        <v>28</v>
      </c>
      <c r="AJ123" s="6">
        <f>AJ122+1</f>
        <v>122</v>
      </c>
    </row>
    <row r="124" spans="1:36" ht="9.75">
      <c r="A124" t="str">
        <f>HYPERLINK("http://exon.niaid.nih.gov/transcriptome/An_gambiae_male_2006/ST1/links/AGM-contig_220.txt","AGM-contig_220")</f>
        <v>AGM-contig_220</v>
      </c>
      <c r="B124" s="1">
        <v>1</v>
      </c>
      <c r="C124" s="1">
        <v>630</v>
      </c>
      <c r="D124" s="1">
        <f>D123+B124</f>
        <v>212</v>
      </c>
      <c r="E124" s="1">
        <v>0.2</v>
      </c>
      <c r="F124" s="1">
        <v>48.6</v>
      </c>
      <c r="G124" s="1" t="s">
        <v>260</v>
      </c>
      <c r="H124" t="str">
        <f>HYPERLINK("http://exon.niaid.nih.gov/transcriptome/An_gambiae_male_2006/ST1/links/AGM-7-90-90-asb-220.txt","Contig-220")</f>
        <v>Contig-220</v>
      </c>
      <c r="I124" s="1">
        <v>220</v>
      </c>
      <c r="J124" t="str">
        <f>HYPERLINK("http://exon.niaid.nih.gov/transcriptome/An_gambiae_male_2006/ST1/links/AGM-7-90-90-220-CLU.txt","Contig220")</f>
        <v>Contig220</v>
      </c>
      <c r="K124" t="s">
        <v>673</v>
      </c>
      <c r="L124" s="2" t="str">
        <f>HYPERLINK("http://exon.niaid.nih.gov/transcriptome/An_gambiae_male_2006/ST1/links/AGM-contig_220-AGFRAG.txt","2R_Piece#1297")</f>
        <v>2R_Piece#1297</v>
      </c>
      <c r="M124" s="4">
        <v>0</v>
      </c>
      <c r="N124" s="2" t="str">
        <f>HYPERLINK("http://exon.niaid.nih.gov/transcriptome/An_gambiae_male_2006/ST1/links/AGM-contig_220-AG3P.txt","ENSANGP00000020370")</f>
        <v>ENSANGP00000020370</v>
      </c>
      <c r="O124" s="1" t="str">
        <f>HYPERLINK("http://www.anobase.org/cgi-bin/uniexcel_new_var6.pl?proteinname=ENSANGP00000020370","0.E+00")</f>
        <v>0.E+00</v>
      </c>
      <c r="P124" s="2" t="str">
        <f>HYPERLINK("http://exon.niaid.nih.gov/transcriptome/An_gambiae_male_2006/ST1/links/AGM-contig_220-AG5P.txt","ENSANGP00000028710")</f>
        <v>ENSANGP00000028710</v>
      </c>
      <c r="Q124" s="4" t="str">
        <f>HYPERLINK("http://www.anobase.org/cgi-bin/uniexcel_new_var6.pl?proteinname=ENSANGP00000028710","0.E+00")</f>
        <v>0.E+00</v>
      </c>
      <c r="R124" s="2" t="str">
        <f>HYPERLINK("http://exon.niaid.nih.gov/transcriptome/An_gambiae_male_2006/ST1/links/AGM-contig_220-AGPROT.txt","ENSANGP00000020370")</f>
        <v>ENSANGP00000020370</v>
      </c>
      <c r="S124" s="1" t="str">
        <f>HYPERLINK("http://www.ensembl.org/Anopheles_gambiae/protview?peptide=ENSANGP00000020370","2E-013")</f>
        <v>2E-013</v>
      </c>
      <c r="T124" s="1" t="str">
        <f>HYPERLINK("http://www.anobase.org/cgi-bin/uniexcel_new_var6.pl?proteinname=ENSANGP00000020370","2E-013")</f>
        <v>2E-013</v>
      </c>
      <c r="U124" s="2" t="str">
        <f>HYPERLINK("http://exon.niaid.nih.gov/transcriptome/An_gambiae_male_2006/ST1/links/AGCDS/AGM-contig_220-AGCDS.txt","ENSANGT00000020370")</f>
        <v>ENSANGT00000020370</v>
      </c>
      <c r="V124" s="1">
        <v>1E-178</v>
      </c>
      <c r="AC124" s="2" t="str">
        <f>HYPERLINK("http://exon.niaid.nih.gov/transcriptome/An_gambiae_male_2006/ST1/links/AGM-contig_220-NR.txt","ENSANGP00000020370 [Anopheles gambiae]   194   2e-048")</f>
        <v>ENSANGP00000020370 [Anopheles gambiae]   194   2e-048</v>
      </c>
      <c r="AD124" s="1" t="str">
        <f>HYPERLINK("http://www.ncbi.nlm.nih.gov/sutils/blink.cgi?pid=31207633","2E-048")</f>
        <v>2E-048</v>
      </c>
      <c r="AE124" s="1" t="s">
        <v>313</v>
      </c>
      <c r="AF124" s="9" t="s">
        <v>4</v>
      </c>
      <c r="AG124" s="6" t="s">
        <v>407</v>
      </c>
      <c r="AH124" s="6" t="s">
        <v>408</v>
      </c>
      <c r="AJ124" s="6">
        <f>AJ123+1</f>
        <v>123</v>
      </c>
    </row>
    <row r="125" spans="1:36" ht="9.75">
      <c r="A125" t="str">
        <f>HYPERLINK("http://exon.niaid.nih.gov/transcriptome/An_gambiae_male_2006/ST1/links/AGM-contig_76.txt","AGM-contig_76")</f>
        <v>AGM-contig_76</v>
      </c>
      <c r="B125" s="1">
        <v>2</v>
      </c>
      <c r="C125" s="1">
        <v>430</v>
      </c>
      <c r="D125" s="1">
        <f>D124+B125</f>
        <v>214</v>
      </c>
      <c r="E125" s="1" t="s">
        <v>209</v>
      </c>
      <c r="F125" s="1">
        <v>62.3</v>
      </c>
      <c r="G125" s="1">
        <v>411</v>
      </c>
      <c r="H125" t="str">
        <f>HYPERLINK("http://exon.niaid.nih.gov/transcriptome/An_gambiae_male_2006/ST1/links/AGM-7-90-90-asb-76.txt","Contig-76")</f>
        <v>Contig-76</v>
      </c>
      <c r="I125" s="1">
        <v>76</v>
      </c>
      <c r="J125" t="str">
        <f>HYPERLINK("http://exon.niaid.nih.gov/transcriptome/An_gambiae_male_2006/ST1/links/AGM-7-90-90-76-CLU.txt","Contig76")</f>
        <v>Contig76</v>
      </c>
      <c r="K125" t="s">
        <v>529</v>
      </c>
      <c r="L125" s="2" t="str">
        <f>HYPERLINK("http://exon.niaid.nih.gov/transcriptome/An_gambiae_male_2006/ST1/links/AGM-contig_76-AGFRAG.txt","2R_Piece#666")</f>
        <v>2R_Piece#666</v>
      </c>
      <c r="M125" s="4">
        <v>1E-116</v>
      </c>
      <c r="N125" s="2" t="str">
        <f>HYPERLINK("http://exon.niaid.nih.gov/transcriptome/An_gambiae_male_2006/ST1/links/AGM-contig_76-AG3P.txt","ENSANGP00000025607")</f>
        <v>ENSANGP00000025607</v>
      </c>
      <c r="O125" s="1" t="str">
        <f>HYPERLINK("http://www.anobase.org/cgi-bin/uniexcel_new_var6.pl?proteinname=ENSANGP00000025607","1.E-117")</f>
        <v>1.E-117</v>
      </c>
      <c r="P125" s="2" t="str">
        <f>HYPERLINK("http://exon.niaid.nih.gov/transcriptome/An_gambiae_male_2006/ST1/links/AGM-contig_76-AG5P.txt","ENSANGP00000026382")</f>
        <v>ENSANGP00000026382</v>
      </c>
      <c r="Q125" s="4" t="str">
        <f>HYPERLINK("http://www.anobase.org/cgi-bin/uniexcel_new_var6.pl?proteinname=ENSANGP00000026382","1.E-117")</f>
        <v>1.E-117</v>
      </c>
      <c r="R125" s="2" t="str">
        <f>HYPERLINK("http://exon.niaid.nih.gov/transcriptome/An_gambiae_male_2006/ST1/links/AGM-contig_76-AGPROT.txt","ENSANGP00000013680")</f>
        <v>ENSANGP00000013680</v>
      </c>
      <c r="S125" s="1" t="str">
        <f>HYPERLINK("http://www.ensembl.org/Anopheles_gambiae/protview?peptide=ENSANGP00000013680","0.22")</f>
        <v>0.22</v>
      </c>
      <c r="T125" s="1" t="str">
        <f>HYPERLINK("http://www.anobase.org/cgi-bin/uniexcel_new_var6.pl?proteinname=ENSANGP00000013680","0.22")</f>
        <v>0.22</v>
      </c>
      <c r="AA125" s="2" t="str">
        <f>HYPERLINK("http://exon.niaid.nih.gov/transcriptome/An_gambiae_male_2006/ST1/links/AGM-contig_76-AGNUC.txt","AG-contig_559")</f>
        <v>AG-contig_559</v>
      </c>
      <c r="AB125" s="1">
        <v>6E-08</v>
      </c>
      <c r="AC125" s="2" t="str">
        <f>HYPERLINK("http://exon.niaid.nih.gov/transcriptome/An_gambiae_male_2006/ST1/links/AGM-contig_76-NR.txt","hypothetical protein MG06804.4 [Magna")</f>
        <v>hypothetical protein MG06804.4 [Magna</v>
      </c>
      <c r="AD125" s="1" t="str">
        <f>HYPERLINK("http://www.ncbi.nlm.nih.gov/sutils/blink.cgi?pid=38109248","6E-025")</f>
        <v>6E-025</v>
      </c>
      <c r="AE125" s="1" t="s">
        <v>313</v>
      </c>
      <c r="AF125" s="9" t="s">
        <v>508</v>
      </c>
      <c r="AG125" s="6" t="s">
        <v>503</v>
      </c>
      <c r="AH125" s="6" t="s">
        <v>29</v>
      </c>
      <c r="AJ125" s="6">
        <f>AJ124+1</f>
        <v>124</v>
      </c>
    </row>
    <row r="126" spans="1:36" ht="9.75">
      <c r="A126" t="str">
        <f>HYPERLINK("http://exon.niaid.nih.gov/transcriptome/An_gambiae_male_2006/ST1/links/AGM-contig_264.txt","AGM-contig_264")</f>
        <v>AGM-contig_264</v>
      </c>
      <c r="B126" s="1">
        <v>1</v>
      </c>
      <c r="C126" s="1">
        <v>274</v>
      </c>
      <c r="D126" s="1">
        <f>D125+B126</f>
        <v>215</v>
      </c>
      <c r="E126" s="1" t="s">
        <v>209</v>
      </c>
      <c r="F126" s="1">
        <v>55.5</v>
      </c>
      <c r="G126" s="1">
        <v>255</v>
      </c>
      <c r="H126" t="str">
        <f>HYPERLINK("http://exon.niaid.nih.gov/transcriptome/An_gambiae_male_2006/ST1/links/AGM-7-90-90-asb-264.txt","Contig-264")</f>
        <v>Contig-264</v>
      </c>
      <c r="I126" s="1">
        <v>264</v>
      </c>
      <c r="J126" t="str">
        <f>HYPERLINK("http://exon.niaid.nih.gov/transcriptome/An_gambiae_male_2006/ST1/links/AGM-7-90-90-264-CLU.txt","Contig264")</f>
        <v>Contig264</v>
      </c>
      <c r="K126" t="s">
        <v>717</v>
      </c>
      <c r="L126" s="2" t="str">
        <f>HYPERLINK("http://exon.niaid.nih.gov/transcriptome/An_gambiae_male_2006/ST1/links/AGM-contig_264-AGFRAG.txt","2R_Piece#1521")</f>
        <v>2R_Piece#1521</v>
      </c>
      <c r="M126" s="4">
        <v>1E-131</v>
      </c>
      <c r="R126" s="2" t="str">
        <f>HYPERLINK("http://exon.niaid.nih.gov/transcriptome/An_gambiae_male_2006/ST1/links/AGM-contig_264-AGPROT.txt","ENSANGP00000026969")</f>
        <v>ENSANGP00000026969</v>
      </c>
      <c r="S126" s="1" t="str">
        <f>HYPERLINK("http://www.ensembl.org/Anopheles_gambiae/protview?peptide=ENSANGP00000026969","0.46")</f>
        <v>0.46</v>
      </c>
      <c r="T126" s="1" t="str">
        <f>HYPERLINK("http://www.anobase.org/cgi-bin/uniexcel_new_var6.pl?proteinname=ENSANGP00000026969","0.46")</f>
        <v>0.46</v>
      </c>
      <c r="AC126" s="2" t="str">
        <f>HYPERLINK("http://exon.niaid.nih.gov/transcriptome/An_gambiae_male_2006/ST1/links/AGM-contig_264-NR.txt","HNH endonuclease domain protein [Meth")</f>
        <v>HNH endonuclease domain protein [Meth</v>
      </c>
      <c r="AD126" s="1" t="str">
        <f>HYPERLINK("http://www.ncbi.nlm.nih.gov/sutils/blink.cgi?pid=53757010","5.1")</f>
        <v>5.1</v>
      </c>
      <c r="AE126" s="1" t="s">
        <v>314</v>
      </c>
      <c r="AF126" s="9" t="s">
        <v>337</v>
      </c>
      <c r="AG126" s="6" t="s">
        <v>474</v>
      </c>
      <c r="AH126" s="6" t="s">
        <v>29</v>
      </c>
      <c r="AJ126" s="6">
        <f>AJ125+1</f>
        <v>125</v>
      </c>
    </row>
    <row r="127" spans="1:36" ht="9.75">
      <c r="A127" t="str">
        <f>HYPERLINK("http://exon.niaid.nih.gov/transcriptome/An_gambiae_male_2006/ST1/links/AGM-contig_197.txt","AGM-contig_197")</f>
        <v>AGM-contig_197</v>
      </c>
      <c r="B127" s="1">
        <v>1</v>
      </c>
      <c r="C127" s="1">
        <v>173</v>
      </c>
      <c r="D127" s="1">
        <f>D126+B127</f>
        <v>216</v>
      </c>
      <c r="E127" s="1" t="s">
        <v>209</v>
      </c>
      <c r="F127" s="1">
        <v>87.3</v>
      </c>
      <c r="G127" s="1">
        <v>95</v>
      </c>
      <c r="H127" t="str">
        <f>HYPERLINK("http://exon.niaid.nih.gov/transcriptome/An_gambiae_male_2006/ST1/links/AGM-7-90-90-asb-197.txt","Contig-197")</f>
        <v>Contig-197</v>
      </c>
      <c r="I127" s="1">
        <v>197</v>
      </c>
      <c r="J127" t="str">
        <f>HYPERLINK("http://exon.niaid.nih.gov/transcriptome/An_gambiae_male_2006/ST1/links/AGM-7-90-90-197-CLU.txt","Contig197")</f>
        <v>Contig197</v>
      </c>
      <c r="K127" t="s">
        <v>650</v>
      </c>
      <c r="L127" s="2" t="str">
        <f>HYPERLINK("http://exon.niaid.nih.gov/transcriptome/An_gambiae_male_2006/ST1/links/AGM-contig_197-AGFRAG.txt","3R_Piece#204")</f>
        <v>3R_Piece#204</v>
      </c>
      <c r="M127" s="4">
        <v>3E-40</v>
      </c>
      <c r="N127" s="2" t="str">
        <f>HYPERLINK("http://exon.niaid.nih.gov/transcriptome/An_gambiae_male_2006/ST1/links/AGM-contig_197-AG3P.txt","ENSANGP00000011651")</f>
        <v>ENSANGP00000011651</v>
      </c>
      <c r="O127" s="1" t="str">
        <f>HYPERLINK("http://www.anobase.org/cgi-bin/uniexcel_new_var6.pl?proteinname=ENSANGP00000011651","6.E-41")</f>
        <v>6.E-41</v>
      </c>
      <c r="R127" s="2" t="str">
        <f>HYPERLINK("http://exon.niaid.nih.gov/transcriptome/An_gambiae_male_2006/ST1/links/AGM-contig_197-AGPROT.txt","ENSANGP00000010209")</f>
        <v>ENSANGP00000010209</v>
      </c>
      <c r="S127" s="1" t="str">
        <f>HYPERLINK("http://www.ensembl.org/Anopheles_gambiae/protview?peptide=ENSANGP00000010209","1.8")</f>
        <v>1.8</v>
      </c>
      <c r="T127" s="1" t="str">
        <f>HYPERLINK("http://www.anobase.org/cgi-bin/uniexcel_new_var6.pl?proteinname=ENSANGP00000010209","1.8")</f>
        <v>1.8</v>
      </c>
      <c r="AA127" s="2" t="str">
        <f>HYPERLINK("http://exon.niaid.nih.gov/transcriptome/An_gambiae_male_2006/ST1/links/AGM-contig_197-AGNUC.txt","AG-contig_665")</f>
        <v>AG-contig_665</v>
      </c>
      <c r="AB127" s="1">
        <v>1E-22</v>
      </c>
      <c r="AC127" s="2" t="str">
        <f>HYPERLINK("http://exon.niaid.nih.gov/transcriptome/An_gambiae_male_2006/ST1/links/AGM-contig_197-NR.txt","hypothetical protein PC404994.00.0 [")</f>
        <v>hypothetical protein PC404994.00.0 [</v>
      </c>
      <c r="AD127" s="1" t="str">
        <f>HYPERLINK("http://www.ncbi.nlm.nih.gov/sutils/blink.cgi?pid=56515306","5.0")</f>
        <v>5.0</v>
      </c>
      <c r="AE127" s="1" t="s">
        <v>314</v>
      </c>
      <c r="AF127" s="9" t="s">
        <v>803</v>
      </c>
      <c r="AG127" s="6" t="s">
        <v>56</v>
      </c>
      <c r="AH127" s="6" t="s">
        <v>29</v>
      </c>
      <c r="AJ127" s="6">
        <f>AJ126+1</f>
        <v>126</v>
      </c>
    </row>
    <row r="128" spans="1:36" ht="9.75">
      <c r="A128" t="str">
        <f>HYPERLINK("http://exon.niaid.nih.gov/transcriptome/An_gambiae_male_2006/ST1/links/AGM-contig_103.txt","AGM-contig_103")</f>
        <v>AGM-contig_103</v>
      </c>
      <c r="B128" s="1">
        <v>2</v>
      </c>
      <c r="C128" s="1">
        <v>208</v>
      </c>
      <c r="D128" s="1">
        <f>D127+B128</f>
        <v>218</v>
      </c>
      <c r="E128" s="1" t="s">
        <v>209</v>
      </c>
      <c r="F128" s="1">
        <v>72.1</v>
      </c>
      <c r="G128" s="1">
        <v>189</v>
      </c>
      <c r="H128" t="str">
        <f>HYPERLINK("http://exon.niaid.nih.gov/transcriptome/An_gambiae_male_2006/ST1/links/AGM-7-90-90-asb-103.txt","Contig-103")</f>
        <v>Contig-103</v>
      </c>
      <c r="I128" s="1">
        <v>103</v>
      </c>
      <c r="J128" t="str">
        <f>HYPERLINK("http://exon.niaid.nih.gov/transcriptome/An_gambiae_male_2006/ST1/links/AGM-7-90-90-103-CLU.txt","Contig103")</f>
        <v>Contig103</v>
      </c>
      <c r="K128" t="s">
        <v>556</v>
      </c>
      <c r="L128" s="2" t="str">
        <f>HYPERLINK("http://exon.niaid.nih.gov/transcriptome/An_gambiae_male_2006/ST1/links/AGM-contig_103-AGFRAG.txt","UNKN_Piece#342")</f>
        <v>UNKN_Piece#342</v>
      </c>
      <c r="M128" s="4">
        <v>2E-88</v>
      </c>
      <c r="N128" s="2" t="str">
        <f>HYPERLINK("http://exon.niaid.nih.gov/transcriptome/An_gambiae_male_2006/ST1/links/AGM-contig_103-AG3P.txt","ENSANGP00000016160")</f>
        <v>ENSANGP00000016160</v>
      </c>
      <c r="O128" s="1" t="str">
        <f>HYPERLINK("http://www.anobase.org/cgi-bin/uniexcel_new_var6.pl?proteinname=ENSANGP00000016160","7.E-75")</f>
        <v>7.E-75</v>
      </c>
      <c r="R128" s="2" t="str">
        <f>HYPERLINK("http://exon.niaid.nih.gov/transcriptome/An_gambiae_male_2006/ST1/links/AGM-contig_103-AGPROT.txt","ENSANGP00000014710")</f>
        <v>ENSANGP00000014710</v>
      </c>
      <c r="S128" s="1" t="str">
        <f>HYPERLINK("http://www.ensembl.org/Anopheles_gambiae/protview?peptide=ENSANGP00000014710","8.8")</f>
        <v>8.8</v>
      </c>
      <c r="T128" s="1" t="str">
        <f>HYPERLINK("http://www.anobase.org/cgi-bin/uniexcel_new_var6.pl?proteinname=ENSANGP00000014710","8.8")</f>
        <v>8.8</v>
      </c>
      <c r="AA128" s="2" t="str">
        <f>HYPERLINK("http://exon.niaid.nih.gov/transcriptome/An_gambiae_male_2006/ST1/links/AGM-contig_103-AGNUC.txt","AG-contig_616")</f>
        <v>AG-contig_616</v>
      </c>
      <c r="AB128" s="1">
        <v>1E-87</v>
      </c>
      <c r="AC128" s="2" t="str">
        <f>HYPERLINK("http://exon.niaid.nih.gov/transcriptome/An_gambiae_male_2006/ST1/links/AGM-contig_103-NR.txt","caspase 12 [Rattus norvegicus] &gt;gnl")</f>
        <v>caspase 12 [Rattus norvegicus] &gt;gnl</v>
      </c>
      <c r="AD128" s="1" t="str">
        <f>HYPERLINK("http://www.ncbi.nlm.nih.gov/sutils/blink.cgi?pid=18426852","2.9")</f>
        <v>2.9</v>
      </c>
      <c r="AE128" s="1" t="s">
        <v>314</v>
      </c>
      <c r="AF128" s="9" t="s">
        <v>138</v>
      </c>
      <c r="AG128" s="6" t="s">
        <v>50</v>
      </c>
      <c r="AH128" s="6" t="s">
        <v>29</v>
      </c>
      <c r="AJ128" s="6">
        <f>AJ127+1</f>
        <v>127</v>
      </c>
    </row>
    <row r="129" spans="1:36" ht="9.75">
      <c r="A129" t="str">
        <f>HYPERLINK("http://exon.niaid.nih.gov/transcriptome/An_gambiae_male_2006/ST1/links/AGM-contig_226.txt","AGM-contig_226")</f>
        <v>AGM-contig_226</v>
      </c>
      <c r="B129" s="1">
        <v>1</v>
      </c>
      <c r="C129" s="1">
        <v>407</v>
      </c>
      <c r="D129" s="1">
        <f>D128+B129</f>
        <v>219</v>
      </c>
      <c r="E129" s="1" t="s">
        <v>209</v>
      </c>
      <c r="F129" s="1">
        <v>55</v>
      </c>
      <c r="G129" s="1">
        <v>388</v>
      </c>
      <c r="H129" t="str">
        <f>HYPERLINK("http://exon.niaid.nih.gov/transcriptome/An_gambiae_male_2006/ST1/links/AGM-7-90-90-asb-226.txt","Contig-226")</f>
        <v>Contig-226</v>
      </c>
      <c r="I129" s="1">
        <v>226</v>
      </c>
      <c r="J129" t="str">
        <f>HYPERLINK("http://exon.niaid.nih.gov/transcriptome/An_gambiae_male_2006/ST1/links/AGM-7-90-90-226-CLU.txt","Contig226")</f>
        <v>Contig226</v>
      </c>
      <c r="K129" t="s">
        <v>679</v>
      </c>
      <c r="L129" s="2" t="str">
        <f>HYPERLINK("http://exon.niaid.nih.gov/transcriptome/An_gambiae_male_2006/ST1/links/AGM-contig_226-AGFRAG.txt","2R_Piece#1167")</f>
        <v>2R_Piece#1167</v>
      </c>
      <c r="M129" s="4">
        <v>0</v>
      </c>
      <c r="R129" s="2" t="str">
        <f>HYPERLINK("http://exon.niaid.nih.gov/transcriptome/An_gambiae_male_2006/ST1/links/AGM-contig_226-AGPROT.txt","ENSANGP00000029293")</f>
        <v>ENSANGP00000029293</v>
      </c>
      <c r="S129" s="1" t="str">
        <f>HYPERLINK("http://www.ensembl.org/Anopheles_gambiae/protview?peptide=ENSANGP00000029293","0.56")</f>
        <v>0.56</v>
      </c>
      <c r="T129" s="1" t="str">
        <f>HYPERLINK("http://www.anobase.org/cgi-bin/uniexcel_new_var6.pl?proteinname=ENSANGP00000029293","0.56")</f>
        <v>0.56</v>
      </c>
      <c r="AC129" s="2" t="str">
        <f>HYPERLINK("http://exon.niaid.nih.gov/transcriptome/An_gambiae_male_2006/ST1/links/AGM-contig_226-NR.txt","unnamed protein product [Tetraodon n")</f>
        <v>unnamed protein product [Tetraodon n</v>
      </c>
      <c r="AD129" s="1" t="str">
        <f>HYPERLINK("http://www.ncbi.nlm.nih.gov/sutils/blink.cgi?pid=47217474","0.23")</f>
        <v>0.23</v>
      </c>
      <c r="AE129" s="1" t="s">
        <v>314</v>
      </c>
      <c r="AF129" s="9" t="s">
        <v>487</v>
      </c>
      <c r="AG129" s="6" t="s">
        <v>419</v>
      </c>
      <c r="AH129" s="6" t="s">
        <v>467</v>
      </c>
      <c r="AJ129" s="6">
        <f>AJ128+1</f>
        <v>128</v>
      </c>
    </row>
    <row r="130" spans="1:36" ht="9.75">
      <c r="A130" t="str">
        <f>HYPERLINK("http://exon.niaid.nih.gov/transcriptome/An_gambiae_male_2006/ST1/links/AGM-contig_341.txt","AGM-contig_341")</f>
        <v>AGM-contig_341</v>
      </c>
      <c r="B130" s="1">
        <v>1</v>
      </c>
      <c r="C130" s="1">
        <v>206</v>
      </c>
      <c r="D130" s="1">
        <f>D129+B130</f>
        <v>220</v>
      </c>
      <c r="E130" s="1" t="s">
        <v>209</v>
      </c>
      <c r="F130" s="1">
        <v>62.6</v>
      </c>
      <c r="G130" s="1">
        <v>187</v>
      </c>
      <c r="H130" t="str">
        <f>HYPERLINK("http://exon.niaid.nih.gov/transcriptome/An_gambiae_male_2006/ST1/links/AGM-7-90-90-asb-341.txt","Contig-341")</f>
        <v>Contig-341</v>
      </c>
      <c r="I130" s="1">
        <v>341</v>
      </c>
      <c r="J130" t="str">
        <f>HYPERLINK("http://exon.niaid.nih.gov/transcriptome/An_gambiae_male_2006/ST1/links/AGM-7-90-90-341-CLU.txt","Contig341")</f>
        <v>Contig341</v>
      </c>
      <c r="K130" t="s">
        <v>281</v>
      </c>
      <c r="L130" s="2" t="str">
        <f>HYPERLINK("http://exon.niaid.nih.gov/transcriptome/An_gambiae_male_2006/ST1/links/AGM-contig_341-AGFRAG.txt","2R_Piece#347")</f>
        <v>2R_Piece#347</v>
      </c>
      <c r="M130" s="4">
        <v>4E-98</v>
      </c>
      <c r="N130" s="2" t="str">
        <f>HYPERLINK("http://exon.niaid.nih.gov/transcriptome/An_gambiae_male_2006/ST1/links/AGM-contig_341-AG3P.txt","ENSANGP00000008529")</f>
        <v>ENSANGP00000008529</v>
      </c>
      <c r="O130" s="1" t="str">
        <f>HYPERLINK("http://www.anobase.org/cgi-bin/uniexcel_new_var6.pl?proteinname=ENSANGP00000008529","1.E-98")</f>
        <v>1.E-98</v>
      </c>
      <c r="R130" s="2" t="str">
        <f>HYPERLINK("http://exon.niaid.nih.gov/transcriptome/An_gambiae_male_2006/ST1/links/AGM-contig_341-AGPROT.txt","ENSANGP00000010734")</f>
        <v>ENSANGP00000010734</v>
      </c>
      <c r="S130" s="1" t="str">
        <f>HYPERLINK("http://www.ensembl.org/Anopheles_gambiae/protview?peptide=ENSANGP00000010734","4.0")</f>
        <v>4.0</v>
      </c>
      <c r="T130" s="1" t="str">
        <f>HYPERLINK("http://www.anobase.org/cgi-bin/uniexcel_new_var6.pl?proteinname=ENSANGP00000010734","4.0")</f>
        <v>4.0</v>
      </c>
      <c r="AG130" s="6" t="s">
        <v>466</v>
      </c>
      <c r="AH130" s="6" t="s">
        <v>467</v>
      </c>
      <c r="AJ130" s="6">
        <f>AJ129+1</f>
        <v>129</v>
      </c>
    </row>
    <row r="131" spans="1:36" ht="9.75">
      <c r="A131" t="str">
        <f>HYPERLINK("http://exon.niaid.nih.gov/transcriptome/An_gambiae_male_2006/ST1/links/AGM-contig_227.txt","AGM-contig_227")</f>
        <v>AGM-contig_227</v>
      </c>
      <c r="B131" s="1">
        <v>1</v>
      </c>
      <c r="C131" s="1">
        <v>146</v>
      </c>
      <c r="D131" s="1">
        <f>D130+B131</f>
        <v>221</v>
      </c>
      <c r="E131" s="1" t="s">
        <v>209</v>
      </c>
      <c r="F131" s="1">
        <v>78.1</v>
      </c>
      <c r="G131" s="1">
        <v>104</v>
      </c>
      <c r="H131" t="str">
        <f>HYPERLINK("http://exon.niaid.nih.gov/transcriptome/An_gambiae_male_2006/ST1/links/AGM-7-90-90-asb-227.txt","Contig-227")</f>
        <v>Contig-227</v>
      </c>
      <c r="I131" s="1">
        <v>227</v>
      </c>
      <c r="J131" t="str">
        <f>HYPERLINK("http://exon.niaid.nih.gov/transcriptome/An_gambiae_male_2006/ST1/links/AGM-7-90-90-227-CLU.txt","Contig227")</f>
        <v>Contig227</v>
      </c>
      <c r="K131" t="s">
        <v>680</v>
      </c>
      <c r="L131" s="2" t="str">
        <f>HYPERLINK("http://exon.niaid.nih.gov/transcriptome/An_gambiae_male_2006/ST1/links/AGM-contig_227-AGFRAG.txt","2R_Piece#87")</f>
        <v>2R_Piece#87</v>
      </c>
      <c r="M131" s="4">
        <v>4E-39</v>
      </c>
      <c r="N131" s="2" t="str">
        <f>HYPERLINK("http://exon.niaid.nih.gov/transcriptome/An_gambiae_male_2006/ST1/links/AGM-contig_227-AG3P.txt","ENSANGP00000009824")</f>
        <v>ENSANGP00000009824</v>
      </c>
      <c r="O131" s="1" t="str">
        <f>HYPERLINK("http://www.anobase.org/cgi-bin/uniexcel_new_var6.pl?proteinname=ENSANGP00000009824","8.E-40")</f>
        <v>8.E-40</v>
      </c>
      <c r="AG131" s="6" t="s">
        <v>468</v>
      </c>
      <c r="AH131" s="6" t="s">
        <v>467</v>
      </c>
      <c r="AJ131" s="6">
        <f>AJ130+1</f>
        <v>130</v>
      </c>
    </row>
    <row r="132" spans="1:36" ht="9.75">
      <c r="A132" t="str">
        <f>HYPERLINK("http://exon.niaid.nih.gov/transcriptome/An_gambiae_male_2006/ST1/links/AGM-contig_361.txt","AGM-contig_361")</f>
        <v>AGM-contig_361</v>
      </c>
      <c r="B132" s="1">
        <v>1</v>
      </c>
      <c r="C132" s="1">
        <v>279</v>
      </c>
      <c r="D132" s="1">
        <f>D131+B132</f>
        <v>222</v>
      </c>
      <c r="E132" s="1" t="s">
        <v>209</v>
      </c>
      <c r="F132" s="1">
        <v>59.9</v>
      </c>
      <c r="G132" s="1">
        <v>260</v>
      </c>
      <c r="H132" t="str">
        <f>HYPERLINK("http://exon.niaid.nih.gov/transcriptome/An_gambiae_male_2006/ST1/links/AGM-7-90-90-asb-361.txt","Contig-361")</f>
        <v>Contig-361</v>
      </c>
      <c r="I132" s="1">
        <v>361</v>
      </c>
      <c r="J132" t="str">
        <f>HYPERLINK("http://exon.niaid.nih.gov/transcriptome/An_gambiae_male_2006/ST1/links/AGM-7-90-90-361-CLU.txt","Contig361")</f>
        <v>Contig361</v>
      </c>
      <c r="K132" t="s">
        <v>301</v>
      </c>
      <c r="L132" s="2" t="str">
        <f>HYPERLINK("http://exon.niaid.nih.gov/transcriptome/An_gambiae_male_2006/ST1/links/AGM-contig_361-AGFRAG.txt","3R_Piece#204")</f>
        <v>3R_Piece#204</v>
      </c>
      <c r="M132" s="4">
        <v>1E-121</v>
      </c>
      <c r="N132" s="2" t="str">
        <f>HYPERLINK("http://exon.niaid.nih.gov/transcriptome/An_gambiae_male_2006/ST1/links/AGM-contig_361-AG3P.txt","ENSANGP00000011651")</f>
        <v>ENSANGP00000011651</v>
      </c>
      <c r="O132" s="1" t="str">
        <f>HYPERLINK("http://www.anobase.org/cgi-bin/uniexcel_new_var6.pl?proteinname=ENSANGP00000011651","1.E-122")</f>
        <v>1.E-122</v>
      </c>
      <c r="R132" s="2" t="str">
        <f>HYPERLINK("http://exon.niaid.nih.gov/transcriptome/An_gambiae_male_2006/ST1/links/AGM-contig_361-AGPROT.txt","ENSANGP00000008929")</f>
        <v>ENSANGP00000008929</v>
      </c>
      <c r="S132" s="1" t="str">
        <f>HYPERLINK("http://www.ensembl.org/Anopheles_gambiae/protview?peptide=ENSANGP00000008929","0.35")</f>
        <v>0.35</v>
      </c>
      <c r="T132" s="1" t="str">
        <f>HYPERLINK("http://www.anobase.org/cgi-bin/uniexcel_new_var6.pl?proteinname=ENSANGP00000008929","0.35")</f>
        <v>0.35</v>
      </c>
      <c r="AC132" s="2" t="str">
        <f>HYPERLINK("http://exon.niaid.nih.gov/transcriptome/An_gambiae_male_2006/ST1/links/AGM-contig_361-NR.txt","GA10758-PA [Drosophila pseudoobscura]       34   1.0")</f>
        <v>GA10758-PA [Drosophila pseudoobscura]       34   1.0</v>
      </c>
      <c r="AD132" s="1" t="str">
        <f>HYPERLINK("http://www.ncbi.nlm.nih.gov/sutils/blink.cgi?pid=54637111","1.0")</f>
        <v>1.0</v>
      </c>
      <c r="AE132" s="1" t="s">
        <v>314</v>
      </c>
      <c r="AF132" s="9" t="s">
        <v>788</v>
      </c>
      <c r="AG132" s="6" t="s">
        <v>474</v>
      </c>
      <c r="AH132" s="6" t="s">
        <v>475</v>
      </c>
      <c r="AJ132" s="6">
        <f>AJ131+1</f>
        <v>131</v>
      </c>
    </row>
    <row r="133" spans="1:36" ht="9.75">
      <c r="A133" t="str">
        <f>HYPERLINK("http://exon.niaid.nih.gov/transcriptome/An_gambiae_male_2006/ST1/links/AGM-contig_283.txt","AGM-contig_283")</f>
        <v>AGM-contig_283</v>
      </c>
      <c r="B133" s="1">
        <v>1</v>
      </c>
      <c r="C133" s="1">
        <v>172</v>
      </c>
      <c r="D133" s="1">
        <f>D132+B133</f>
        <v>223</v>
      </c>
      <c r="E133" s="1" t="s">
        <v>209</v>
      </c>
      <c r="F133" s="1">
        <v>61.6</v>
      </c>
      <c r="G133" s="1">
        <v>153</v>
      </c>
      <c r="H133" t="str">
        <f>HYPERLINK("http://exon.niaid.nih.gov/transcriptome/An_gambiae_male_2006/ST1/links/AGM-7-90-90-asb-283.txt","Contig-283")</f>
        <v>Contig-283</v>
      </c>
      <c r="I133" s="1">
        <v>283</v>
      </c>
      <c r="J133" t="str">
        <f>HYPERLINK("http://exon.niaid.nih.gov/transcriptome/An_gambiae_male_2006/ST1/links/AGM-7-90-90-283-CLU.txt","Contig283")</f>
        <v>Contig283</v>
      </c>
      <c r="K133" t="s">
        <v>150</v>
      </c>
      <c r="L133" s="2" t="str">
        <f>HYPERLINK("http://exon.niaid.nih.gov/transcriptome/An_gambiae_male_2006/ST1/links/AGM-contig_283-AGFRAG.txt","3R_Piece#839")</f>
        <v>3R_Piece#839</v>
      </c>
      <c r="M133" s="4">
        <v>7E-78</v>
      </c>
      <c r="N133" s="2" t="str">
        <f>HYPERLINK("http://exon.niaid.nih.gov/transcriptome/An_gambiae_male_2006/ST1/links/AGM-contig_283-AG3P.txt","ENSANGP00000013993")</f>
        <v>ENSANGP00000013993</v>
      </c>
      <c r="O133" s="1" t="str">
        <f>HYPERLINK("http://www.anobase.org/cgi-bin/uniexcel_new_var6.pl?proteinname=ENSANGP00000013993","2.E-78")</f>
        <v>2.E-78</v>
      </c>
      <c r="P133" s="2" t="str">
        <f>HYPERLINK("http://exon.niaid.nih.gov/transcriptome/An_gambiae_male_2006/ST1/links/AGM-contig_283-AG5P.txt","ENSANGP00000013916")</f>
        <v>ENSANGP00000013916</v>
      </c>
      <c r="Q133" s="4" t="str">
        <f>HYPERLINK("http://www.anobase.org/cgi-bin/uniexcel_new_var6.pl?proteinname=ENSANGP00000013916","2.E-78")</f>
        <v>2.E-78</v>
      </c>
      <c r="R133" s="2" t="str">
        <f>HYPERLINK("http://exon.niaid.nih.gov/transcriptome/An_gambiae_male_2006/ST1/links/AGM-contig_283-AGPROT.txt","ENSANGP00000016868")</f>
        <v>ENSANGP00000016868</v>
      </c>
      <c r="S133" s="1" t="str">
        <f>HYPERLINK("http://www.ensembl.org/Anopheles_gambiae/protview?peptide=ENSANGP00000016868","1.2")</f>
        <v>1.2</v>
      </c>
      <c r="T133" s="1" t="str">
        <f>HYPERLINK("http://www.anobase.org/cgi-bin/uniexcel_new_var6.pl?proteinname=ENSANGP00000016868","1.2")</f>
        <v>1.2</v>
      </c>
      <c r="AC133" s="2" t="str">
        <f>HYPERLINK("http://exon.niaid.nih.gov/transcriptome/An_gambiae_male_2006/ST1/links/AGM-contig_283-NR.txt","ATP synthase beta subunit [Orchidantha")</f>
        <v>ATP synthase beta subunit [Orchidantha</v>
      </c>
      <c r="AD133" s="1" t="str">
        <f>HYPERLINK("http://www.ncbi.nlm.nih.gov/sutils/blink.cgi?pid=5758902","8.5")</f>
        <v>8.5</v>
      </c>
      <c r="AE133" s="1" t="s">
        <v>313</v>
      </c>
      <c r="AF133" s="9" t="s">
        <v>340</v>
      </c>
      <c r="AG133" s="6" t="s">
        <v>388</v>
      </c>
      <c r="AH133" s="6" t="s">
        <v>25</v>
      </c>
      <c r="AJ133" s="6">
        <f>AJ132+1</f>
        <v>132</v>
      </c>
    </row>
    <row r="134" spans="1:36" ht="9.75">
      <c r="A134" t="str">
        <f>HYPERLINK("http://exon.niaid.nih.gov/transcriptome/An_gambiae_male_2006/ST1/links/AGM-contig_68.txt","AGM-contig_68")</f>
        <v>AGM-contig_68</v>
      </c>
      <c r="B134" s="1">
        <v>2</v>
      </c>
      <c r="C134" s="1">
        <v>928</v>
      </c>
      <c r="D134" s="1">
        <f>D133+B134</f>
        <v>225</v>
      </c>
      <c r="E134" s="1">
        <v>0.5</v>
      </c>
      <c r="F134" s="1">
        <v>52</v>
      </c>
      <c r="G134" s="1" t="s">
        <v>260</v>
      </c>
      <c r="H134" t="str">
        <f>HYPERLINK("http://exon.niaid.nih.gov/transcriptome/An_gambiae_male_2006/ST1/links/AGM-7-90-90-asb-68.txt","Contig-68")</f>
        <v>Contig-68</v>
      </c>
      <c r="I134" s="1">
        <v>68</v>
      </c>
      <c r="J134" t="str">
        <f>HYPERLINK("http://exon.niaid.nih.gov/transcriptome/An_gambiae_male_2006/ST1/links/AGM-7-90-90-68-CLU.txt","Contig68")</f>
        <v>Contig68</v>
      </c>
      <c r="K134" t="s">
        <v>521</v>
      </c>
      <c r="L134" s="2" t="str">
        <f>HYPERLINK("http://exon.niaid.nih.gov/transcriptome/An_gambiae_male_2006/ST1/links/AGM-contig_68-AGFRAG.txt","2R_Piece#1692")</f>
        <v>2R_Piece#1692</v>
      </c>
      <c r="M134" s="4">
        <v>1E-111</v>
      </c>
      <c r="N134" s="2" t="str">
        <f>HYPERLINK("http://exon.niaid.nih.gov/transcriptome/An_gambiae_male_2006/ST1/links/AGM-contig_68-AG3P.txt","ENSANGP00000011861")</f>
        <v>ENSANGP00000011861</v>
      </c>
      <c r="O134" s="1" t="str">
        <f>HYPERLINK("http://www.anobase.org/cgi-bin/uniexcel_new_var6.pl?proteinname=ENSANGP00000011861","1.E-112")</f>
        <v>1.E-112</v>
      </c>
      <c r="P134" s="2" t="str">
        <f>HYPERLINK("http://exon.niaid.nih.gov/transcriptome/An_gambiae_male_2006/ST1/links/AGM-contig_68-AG5P.txt","ENSANGP00000011343")</f>
        <v>ENSANGP00000011343</v>
      </c>
      <c r="Q134" s="4" t="str">
        <f>HYPERLINK("http://www.anobase.org/cgi-bin/uniexcel_new_var6.pl?proteinname=ENSANGP00000011343","1.E-112")</f>
        <v>1.E-112</v>
      </c>
      <c r="R134" s="2" t="str">
        <f>HYPERLINK("http://exon.niaid.nih.gov/transcriptome/An_gambiae_male_2006/ST1/links/AGM-contig_68-AGPROT.txt","ENSANGP00000011861")</f>
        <v>ENSANGP00000011861</v>
      </c>
      <c r="S134" s="1" t="str">
        <f>HYPERLINK("http://www.ensembl.org/Anopheles_gambiae/protview?peptide=ENSANGP00000011861","1E-012")</f>
        <v>1E-012</v>
      </c>
      <c r="T134" s="1" t="str">
        <f>HYPERLINK("http://www.anobase.org/cgi-bin/uniexcel_new_var6.pl?proteinname=ENSANGP00000011861","1E-012")</f>
        <v>1E-012</v>
      </c>
      <c r="U134" s="2" t="str">
        <f>HYPERLINK("http://exon.niaid.nih.gov/transcriptome/An_gambiae_male_2006/ST1/links/AGCDS/AGM-contig_68-AGCDS.txt","ENSANGT00000011861")</f>
        <v>ENSANGT00000011861</v>
      </c>
      <c r="V134" s="1">
        <v>1E-141</v>
      </c>
      <c r="AA134" s="2" t="str">
        <f>HYPERLINK("http://exon.niaid.nih.gov/transcriptome/An_gambiae_male_2006/ST1/links/AGM-contig_68-AGNUC.txt","AG-contig_301")</f>
        <v>AG-contig_301</v>
      </c>
      <c r="AB134" s="1">
        <v>1E-160</v>
      </c>
      <c r="AC134" s="2" t="str">
        <f>HYPERLINK("http://exon.niaid.nih.gov/transcriptome/An_gambiae_male_2006/ST1/links/AGM-contig_68-NR.txt","vacuolar ATPase M9 [Aedes albopictus]       64   9e-017")</f>
        <v>vacuolar ATPase M9 [Aedes albopictus]       64   9e-017</v>
      </c>
      <c r="AD134" s="1" t="str">
        <f>HYPERLINK("http://www.ncbi.nlm.nih.gov/sutils/blink.cgi?pid=56417526","9E-017")</f>
        <v>9E-017</v>
      </c>
      <c r="AE134" s="1" t="s">
        <v>313</v>
      </c>
      <c r="AF134" s="9" t="s">
        <v>755</v>
      </c>
      <c r="AG134" s="6" t="s">
        <v>842</v>
      </c>
      <c r="AH134" s="6" t="s">
        <v>25</v>
      </c>
      <c r="AJ134" s="6">
        <f>AJ133+1</f>
        <v>133</v>
      </c>
    </row>
    <row r="135" spans="1:36" ht="9.75">
      <c r="A135" t="str">
        <f>HYPERLINK("http://exon.niaid.nih.gov/transcriptome/An_gambiae_male_2006/ST1/links/AGM-contig_159.txt","AGM-contig_159")</f>
        <v>AGM-contig_159</v>
      </c>
      <c r="B135" s="1">
        <v>1</v>
      </c>
      <c r="C135" s="1">
        <v>116</v>
      </c>
      <c r="D135" s="1">
        <f>D134+B135</f>
        <v>226</v>
      </c>
      <c r="E135" s="1" t="s">
        <v>209</v>
      </c>
      <c r="F135" s="1">
        <v>57.8</v>
      </c>
      <c r="G135" s="1">
        <v>97</v>
      </c>
      <c r="H135" t="str">
        <f>HYPERLINK("http://exon.niaid.nih.gov/transcriptome/An_gambiae_male_2006/ST1/links/AGM-7-90-90-asb-159.txt","Contig-159")</f>
        <v>Contig-159</v>
      </c>
      <c r="I135" s="1">
        <v>159</v>
      </c>
      <c r="J135" t="str">
        <f>HYPERLINK("http://exon.niaid.nih.gov/transcriptome/An_gambiae_male_2006/ST1/links/AGM-7-90-90-159-CLU.txt","Contig159")</f>
        <v>Contig159</v>
      </c>
      <c r="K135" t="s">
        <v>612</v>
      </c>
      <c r="L135" s="2" t="str">
        <f>HYPERLINK("http://exon.niaid.nih.gov/transcriptome/An_gambiae_male_2006/ST1/links/AGM-contig_159-AGFRAG.txt","2L_Piece#486")</f>
        <v>2L_Piece#486</v>
      </c>
      <c r="M135" s="4">
        <v>2E-37</v>
      </c>
      <c r="N135" s="2" t="str">
        <f>HYPERLINK("http://exon.niaid.nih.gov/transcriptome/An_gambiae_male_2006/ST1/links/AGM-contig_159-AG3P.txt","ENSANGP00000003806")</f>
        <v>ENSANGP00000003806</v>
      </c>
      <c r="O135" s="1" t="str">
        <f>HYPERLINK("http://www.anobase.org/cgi-bin/uniexcel_new_var6.pl?proteinname=ENSANGP00000003806","4.E-38")</f>
        <v>4.E-38</v>
      </c>
      <c r="P135" s="2" t="str">
        <f>HYPERLINK("http://exon.niaid.nih.gov/transcriptome/An_gambiae_male_2006/ST1/links/AGM-contig_159-AG5P.txt","ENSANGP00000024788")</f>
        <v>ENSANGP00000024788</v>
      </c>
      <c r="Q135" s="4" t="str">
        <f>HYPERLINK("http://www.anobase.org/cgi-bin/uniexcel_new_var6.pl?proteinname=ENSANGP00000024788","4.E-38")</f>
        <v>4.E-38</v>
      </c>
      <c r="R135" s="2" t="str">
        <f>HYPERLINK("http://exon.niaid.nih.gov/transcriptome/An_gambiae_male_2006/ST1/links/AGM-contig_159-AGPROT.txt","ENSANGP00000003806")</f>
        <v>ENSANGP00000003806</v>
      </c>
      <c r="S135" s="1" t="str">
        <f>HYPERLINK("http://www.ensembl.org/Anopheles_gambiae/protview?peptide=ENSANGP00000003806","0.005")</f>
        <v>0.005</v>
      </c>
      <c r="T135" s="1" t="str">
        <f>HYPERLINK("http://www.anobase.org/cgi-bin/uniexcel_new_var6.pl?proteinname=ENSANGP00000003806","0.005")</f>
        <v>0.005</v>
      </c>
      <c r="U135" s="2" t="str">
        <f>HYPERLINK("http://exon.niaid.nih.gov/transcriptome/An_gambiae_male_2006/ST1/links/AGCDS/AGM-contig_159-AGCDS.txt","ENSANGT00000003806")</f>
        <v>ENSANGT00000003806</v>
      </c>
      <c r="V135" s="1">
        <v>1E-38</v>
      </c>
      <c r="AC135" s="2" t="str">
        <f>HYPERLINK("http://exon.niaid.nih.gov/transcriptome/An_gambiae_male_2006/ST1/links/AGM-contig_159-NR.txt","ENSANGP00000003806 [Anopheles gambiae")</f>
        <v>ENSANGP00000003806 [Anopheles gambiae</v>
      </c>
      <c r="AD135" s="1" t="str">
        <f>HYPERLINK("http://www.ncbi.nlm.nih.gov/sutils/blink.cgi?pid=55240624","0.55")</f>
        <v>0.55</v>
      </c>
      <c r="AE135" s="1" t="s">
        <v>313</v>
      </c>
      <c r="AF135" s="9" t="s">
        <v>97</v>
      </c>
      <c r="AG135" s="6" t="s">
        <v>460</v>
      </c>
      <c r="AH135" s="6" t="s">
        <v>25</v>
      </c>
      <c r="AJ135" s="6">
        <f>AJ134+1</f>
        <v>134</v>
      </c>
    </row>
    <row r="136" spans="1:36" ht="9.75">
      <c r="A136" t="str">
        <f>HYPERLINK("http://exon.niaid.nih.gov/transcriptome/An_gambiae_male_2006/ST1/links/AGM-contig_60.txt","AGM-contig_60")</f>
        <v>AGM-contig_60</v>
      </c>
      <c r="B136" s="1">
        <v>3</v>
      </c>
      <c r="C136" s="1">
        <v>344</v>
      </c>
      <c r="D136" s="1">
        <f>D135+B136</f>
        <v>229</v>
      </c>
      <c r="E136" s="1">
        <v>2</v>
      </c>
      <c r="F136" s="1">
        <v>54.4</v>
      </c>
      <c r="G136" s="1">
        <v>325</v>
      </c>
      <c r="H136" t="str">
        <f>HYPERLINK("http://exon.niaid.nih.gov/transcriptome/An_gambiae_male_2006/ST1/links/AGM-7-90-90-asb-60.txt","Contig-60")</f>
        <v>Contig-60</v>
      </c>
      <c r="I136" s="1">
        <v>60</v>
      </c>
      <c r="J136" t="str">
        <f>HYPERLINK("http://exon.niaid.nih.gov/transcriptome/An_gambiae_male_2006/ST1/links/AGM-7-90-90-60-CLU.txt","Contig60")</f>
        <v>Contig60</v>
      </c>
      <c r="K136" t="s">
        <v>270</v>
      </c>
      <c r="L136" s="2" t="str">
        <f>HYPERLINK("http://exon.niaid.nih.gov/transcriptome/An_gambiae_male_2006/ST1/links/AGM-contig_60-AGFRAG.txt","2R_Piece#873")</f>
        <v>2R_Piece#873</v>
      </c>
      <c r="M136" s="4">
        <v>3E-69</v>
      </c>
      <c r="N136" s="2" t="str">
        <f>HYPERLINK("http://exon.niaid.nih.gov/transcriptome/An_gambiae_male_2006/ST1/links/AGM-contig_60-AG3P.txt","ENSANGP00000003062")</f>
        <v>ENSANGP00000003062</v>
      </c>
      <c r="O136" s="1" t="str">
        <f>HYPERLINK("http://www.anobase.org/cgi-bin/uniexcel_new_var6.pl?proteinname=ENSANGP00000003062","7.E-70")</f>
        <v>7.E-70</v>
      </c>
      <c r="R136" s="2" t="str">
        <f>HYPERLINK("http://exon.niaid.nih.gov/transcriptome/An_gambiae_male_2006/ST1/links/AGM-contig_60-AGPROT.txt","ENSANGP00000009824")</f>
        <v>ENSANGP00000009824</v>
      </c>
      <c r="S136" s="1" t="str">
        <f>HYPERLINK("http://www.ensembl.org/Anopheles_gambiae/protview?peptide=ENSANGP00000009824","0.37")</f>
        <v>0.37</v>
      </c>
      <c r="T136" s="1" t="str">
        <f>HYPERLINK("http://www.anobase.org/cgi-bin/uniexcel_new_var6.pl?proteinname=ENSANGP00000009824","0.37")</f>
        <v>0.37</v>
      </c>
      <c r="AA136" s="2" t="str">
        <f>HYPERLINK("http://exon.niaid.nih.gov/transcriptome/An_gambiae_male_2006/ST1/links/AGM-contig_60-AGNUC.txt","AG-contig_610")</f>
        <v>AG-contig_610</v>
      </c>
      <c r="AB136" s="1">
        <v>1E-109</v>
      </c>
      <c r="AG136" s="6" t="s">
        <v>364</v>
      </c>
      <c r="AH136" s="6" t="s">
        <v>25</v>
      </c>
      <c r="AJ136" s="6">
        <f>AJ135+1</f>
        <v>135</v>
      </c>
    </row>
    <row r="137" spans="1:36" ht="9.75">
      <c r="A137" t="str">
        <f>HYPERLINK("http://exon.niaid.nih.gov/transcriptome/An_gambiae_male_2006/ST1/links/AGM-contig_360.txt","AGM-contig_360")</f>
        <v>AGM-contig_360</v>
      </c>
      <c r="B137" s="1">
        <v>1</v>
      </c>
      <c r="C137" s="1">
        <v>310</v>
      </c>
      <c r="D137" s="1">
        <f>D136+B137</f>
        <v>230</v>
      </c>
      <c r="E137" s="1" t="s">
        <v>209</v>
      </c>
      <c r="F137" s="1">
        <v>62.9</v>
      </c>
      <c r="G137" s="1">
        <v>291</v>
      </c>
      <c r="H137" t="str">
        <f>HYPERLINK("http://exon.niaid.nih.gov/transcriptome/An_gambiae_male_2006/ST1/links/AGM-7-90-90-asb-360.txt","Contig-360")</f>
        <v>Contig-360</v>
      </c>
      <c r="I137" s="1">
        <v>360</v>
      </c>
      <c r="J137" t="str">
        <f>HYPERLINK("http://exon.niaid.nih.gov/transcriptome/An_gambiae_male_2006/ST1/links/AGM-7-90-90-360-CLU.txt","Contig360")</f>
        <v>Contig360</v>
      </c>
      <c r="K137" t="s">
        <v>300</v>
      </c>
      <c r="L137" s="2" t="str">
        <f>HYPERLINK("http://exon.niaid.nih.gov/transcriptome/An_gambiae_male_2006/ST1/links/AGM-contig_360-AGFRAG.txt","2L_Piece#513")</f>
        <v>2L_Piece#513</v>
      </c>
      <c r="M137" s="4">
        <v>1E-152</v>
      </c>
      <c r="N137" s="2" t="str">
        <f>HYPERLINK("http://exon.niaid.nih.gov/transcriptome/An_gambiae_male_2006/ST1/links/AGM-contig_360-AG3P.txt","ENSANGP00000015704")</f>
        <v>ENSANGP00000015704</v>
      </c>
      <c r="O137" s="1" t="str">
        <f>HYPERLINK("http://www.anobase.org/cgi-bin/uniexcel_new_var6.pl?proteinname=ENSANGP00000015704","1.E-153")</f>
        <v>1.E-153</v>
      </c>
      <c r="R137" s="2" t="str">
        <f>HYPERLINK("http://exon.niaid.nih.gov/transcriptome/An_gambiae_male_2006/ST1/links/AGM-contig_360-AGPROT.txt","ENSANGP00000024055")</f>
        <v>ENSANGP00000024055</v>
      </c>
      <c r="S137" s="1" t="str">
        <f>HYPERLINK("http://www.ensembl.org/Anopheles_gambiae/protview?peptide=ENSANGP00000024055","0.46")</f>
        <v>0.46</v>
      </c>
      <c r="T137" s="1" t="str">
        <f>HYPERLINK("http://www.anobase.org/cgi-bin/uniexcel_new_var6.pl?proteinname=ENSANGP00000024055","0.46")</f>
        <v>0.46</v>
      </c>
      <c r="AA137" s="2" t="str">
        <f>HYPERLINK("http://exon.niaid.nih.gov/transcriptome/An_gambiae_male_2006/ST1/links/AGM-contig_360-AGNUC.txt","AG-contig_860")</f>
        <v>AG-contig_860</v>
      </c>
      <c r="AB137" s="1">
        <v>1E-155</v>
      </c>
      <c r="AC137" s="2" t="str">
        <f>HYPERLINK("http://exon.niaid.nih.gov/transcriptome/An_gambiae_male_2006/ST1/links/AGM-contig_360-NR.txt","conserved hypothetical protein [Plas")</f>
        <v>conserved hypothetical protein [Plas</v>
      </c>
      <c r="AD137" s="1" t="str">
        <f>HYPERLINK("http://www.ncbi.nlm.nih.gov/sutils/blink.cgi?pid=56499791","6.5")</f>
        <v>6.5</v>
      </c>
      <c r="AE137" s="1" t="s">
        <v>314</v>
      </c>
      <c r="AF137" s="9" t="s">
        <v>806</v>
      </c>
      <c r="AG137" s="6" t="s">
        <v>359</v>
      </c>
      <c r="AH137" s="6" t="s">
        <v>25</v>
      </c>
      <c r="AJ137" s="6">
        <f>AJ136+1</f>
        <v>136</v>
      </c>
    </row>
    <row r="138" spans="1:36" ht="9.75">
      <c r="A138" t="str">
        <f>HYPERLINK("http://exon.niaid.nih.gov/transcriptome/An_gambiae_male_2006/ST1/links/AGM-contig_93.txt","AGM-contig_93")</f>
        <v>AGM-contig_93</v>
      </c>
      <c r="B138" s="1">
        <v>2</v>
      </c>
      <c r="C138" s="1">
        <v>258</v>
      </c>
      <c r="D138" s="1">
        <f>D137+B138</f>
        <v>232</v>
      </c>
      <c r="E138" s="1" t="s">
        <v>209</v>
      </c>
      <c r="F138" s="1">
        <v>55</v>
      </c>
      <c r="G138" s="1">
        <v>239</v>
      </c>
      <c r="H138" t="str">
        <f>HYPERLINK("http://exon.niaid.nih.gov/transcriptome/An_gambiae_male_2006/ST1/links/AGM-7-90-90-asb-93.txt","Contig-93")</f>
        <v>Contig-93</v>
      </c>
      <c r="I138" s="1">
        <v>93</v>
      </c>
      <c r="J138" t="str">
        <f>HYPERLINK("http://exon.niaid.nih.gov/transcriptome/An_gambiae_male_2006/ST1/links/AGM-7-90-90-93-CLU.txt","Contig93")</f>
        <v>Contig93</v>
      </c>
      <c r="K138" t="s">
        <v>546</v>
      </c>
      <c r="L138" s="2" t="str">
        <f>HYPERLINK("http://exon.niaid.nih.gov/transcriptome/An_gambiae_male_2006/ST1/links/AGM-contig_93-AGFRAG.txt","3L_Piece#288")</f>
        <v>3L_Piece#288</v>
      </c>
      <c r="M138" s="4">
        <v>1E-122</v>
      </c>
      <c r="N138" s="2" t="str">
        <f>HYPERLINK("http://exon.niaid.nih.gov/transcriptome/An_gambiae_male_2006/ST1/links/AGM-contig_93-AG3P.txt","ENSANGP00000025336")</f>
        <v>ENSANGP00000025336</v>
      </c>
      <c r="O138" s="1" t="str">
        <f>HYPERLINK("http://www.anobase.org/cgi-bin/uniexcel_new_var6.pl?proteinname=ENSANGP00000025336","1.E-123")</f>
        <v>1.E-123</v>
      </c>
      <c r="P138" s="2" t="str">
        <f>HYPERLINK("http://exon.niaid.nih.gov/transcriptome/An_gambiae_male_2006/ST1/links/AGM-contig_93-AG5P.txt","ENSANGP00000016784")</f>
        <v>ENSANGP00000016784</v>
      </c>
      <c r="Q138" s="4" t="str">
        <f>HYPERLINK("http://www.anobase.org/cgi-bin/uniexcel_new_var6.pl?proteinname=ENSANGP00000016784","1.E-123")</f>
        <v>1.E-123</v>
      </c>
      <c r="R138" s="2" t="str">
        <f>HYPERLINK("http://exon.niaid.nih.gov/transcriptome/An_gambiae_male_2006/ST1/links/AGM-contig_93-AGPROT.txt","ENSANGP00000021501")</f>
        <v>ENSANGP00000021501</v>
      </c>
      <c r="S138" s="1" t="str">
        <f>HYPERLINK("http://www.ensembl.org/Anopheles_gambiae/protview?peptide=ENSANGP00000021501","0.60")</f>
        <v>0.60</v>
      </c>
      <c r="T138" s="1" t="str">
        <f>HYPERLINK("http://www.anobase.org/cgi-bin/uniexcel_new_var6.pl?proteinname=ENSANGP00000021501","0.60")</f>
        <v>0.60</v>
      </c>
      <c r="U138" s="2" t="str">
        <f>HYPERLINK("http://exon.niaid.nih.gov/transcriptome/An_gambiae_male_2006/ST1/links/AGCDS/AGM-contig_93-AGCDS.txt","ENSANGT00000029377")</f>
        <v>ENSANGT00000029377</v>
      </c>
      <c r="V138" s="1">
        <v>1E-49</v>
      </c>
      <c r="AC138" s="2" t="str">
        <f>HYPERLINK("http://exon.niaid.nih.gov/transcriptome/An_gambiae_male_2006/ST1/links/AGM-contig_93-NR.txt","PREDICTED: hypothetical protein XP_")</f>
        <v>PREDICTED: hypothetical protein XP_</v>
      </c>
      <c r="AD138" s="1" t="str">
        <f>HYPERLINK("http://www.ncbi.nlm.nih.gov/sutils/blink.cgi?pid=55588572","5.1")</f>
        <v>5.1</v>
      </c>
      <c r="AE138" s="1" t="s">
        <v>313</v>
      </c>
      <c r="AF138" s="9" t="s">
        <v>800</v>
      </c>
      <c r="AG138" s="6" t="s">
        <v>502</v>
      </c>
      <c r="AH138" s="6" t="s">
        <v>25</v>
      </c>
      <c r="AJ138" s="6">
        <f>AJ137+1</f>
        <v>137</v>
      </c>
    </row>
    <row r="139" spans="1:36" ht="9.75">
      <c r="A139" t="str">
        <f>HYPERLINK("http://exon.niaid.nih.gov/transcriptome/An_gambiae_male_2006/ST1/links/AGM-contig_216.txt","AGM-contig_216")</f>
        <v>AGM-contig_216</v>
      </c>
      <c r="B139" s="1">
        <v>1</v>
      </c>
      <c r="C139" s="1">
        <v>221</v>
      </c>
      <c r="D139" s="1">
        <f>D138+B139</f>
        <v>233</v>
      </c>
      <c r="E139" s="1" t="s">
        <v>209</v>
      </c>
      <c r="F139" s="1">
        <v>76.5</v>
      </c>
      <c r="G139" s="1">
        <v>152</v>
      </c>
      <c r="H139" t="str">
        <f>HYPERLINK("http://exon.niaid.nih.gov/transcriptome/An_gambiae_male_2006/ST1/links/AGM-7-90-90-asb-216.txt","Contig-216")</f>
        <v>Contig-216</v>
      </c>
      <c r="I139" s="1">
        <v>216</v>
      </c>
      <c r="J139" t="str">
        <f>HYPERLINK("http://exon.niaid.nih.gov/transcriptome/An_gambiae_male_2006/ST1/links/AGM-7-90-90-216-CLU.txt","Contig216")</f>
        <v>Contig216</v>
      </c>
      <c r="K139" t="s">
        <v>669</v>
      </c>
      <c r="L139" s="2" t="str">
        <f>HYPERLINK("http://exon.niaid.nih.gov/transcriptome/An_gambiae_male_2006/ST1/links/AGM-contig_216-AGFRAG.txt","2R_Piece#1881")</f>
        <v>2R_Piece#1881</v>
      </c>
      <c r="M139" s="4">
        <v>9E-72</v>
      </c>
      <c r="N139" s="2" t="str">
        <f>HYPERLINK("http://exon.niaid.nih.gov/transcriptome/An_gambiae_male_2006/ST1/links/AGM-contig_216-AG3P.txt","ENSANGP00000017920")</f>
        <v>ENSANGP00000017920</v>
      </c>
      <c r="O139" s="1" t="str">
        <f>HYPERLINK("http://www.anobase.org/cgi-bin/uniexcel_new_var6.pl?proteinname=ENSANGP00000017920","2.E-72")</f>
        <v>2.E-72</v>
      </c>
      <c r="R139" s="2" t="str">
        <f>HYPERLINK("http://exon.niaid.nih.gov/transcriptome/An_gambiae_male_2006/ST1/links/AGM-contig_216-AGPROT.txt","ENSANGP00000011478")</f>
        <v>ENSANGP00000011478</v>
      </c>
      <c r="S139" s="1" t="str">
        <f>HYPERLINK("http://www.ensembl.org/Anopheles_gambiae/protview?peptide=ENSANGP00000011478","1.0")</f>
        <v>1.0</v>
      </c>
      <c r="T139" s="1" t="str">
        <f>HYPERLINK("http://www.anobase.org/cgi-bin/uniexcel_new_var6.pl?proteinname=ENSANGP00000011478","1.0")</f>
        <v>1.0</v>
      </c>
      <c r="AC139" s="2" t="str">
        <f>HYPERLINK("http://exon.niaid.nih.gov/transcriptome/An_gambiae_male_2006/ST1/links/AGM-contig_216-NR.txt","ORF MSV010 leucine rich repeat gene fa")</f>
        <v>ORF MSV010 leucine rich repeat gene fa</v>
      </c>
      <c r="AD139" s="1" t="str">
        <f>HYPERLINK("http://www.ncbi.nlm.nih.gov/sutils/blink.cgi?pid=4049897","4.2")</f>
        <v>4.2</v>
      </c>
      <c r="AE139" s="1" t="s">
        <v>313</v>
      </c>
      <c r="AF139" s="9" t="s">
        <v>332</v>
      </c>
      <c r="AG139" s="6" t="s">
        <v>393</v>
      </c>
      <c r="AH139" s="6" t="s">
        <v>25</v>
      </c>
      <c r="AJ139" s="6">
        <f>AJ138+1</f>
        <v>138</v>
      </c>
    </row>
    <row r="140" spans="1:36" ht="9.75">
      <c r="A140" t="str">
        <f>HYPERLINK("http://exon.niaid.nih.gov/transcriptome/An_gambiae_male_2006/ST1/links/AGM-contig_365.txt","AGM-contig_365")</f>
        <v>AGM-contig_365</v>
      </c>
      <c r="B140" s="1">
        <v>1</v>
      </c>
      <c r="C140" s="1">
        <v>298</v>
      </c>
      <c r="D140" s="1">
        <f>D139+B140</f>
        <v>234</v>
      </c>
      <c r="E140" s="1" t="s">
        <v>209</v>
      </c>
      <c r="F140" s="1">
        <v>63.4</v>
      </c>
      <c r="G140" s="1">
        <v>279</v>
      </c>
      <c r="H140" t="str">
        <f>HYPERLINK("http://exon.niaid.nih.gov/transcriptome/An_gambiae_male_2006/ST1/links/AGM-7-90-90-asb-365.txt","Contig-365")</f>
        <v>Contig-365</v>
      </c>
      <c r="I140" s="1">
        <v>365</v>
      </c>
      <c r="J140" t="str">
        <f>HYPERLINK("http://exon.niaid.nih.gov/transcriptome/An_gambiae_male_2006/ST1/links/AGM-7-90-90-365-CLU.txt","Contig365")</f>
        <v>Contig365</v>
      </c>
      <c r="K140" t="s">
        <v>305</v>
      </c>
      <c r="L140" s="2" t="str">
        <f>HYPERLINK("http://exon.niaid.nih.gov/transcriptome/An_gambiae_male_2006/ST1/links/AGM-contig_365-AGFRAG.txt","2L_Piece#688")</f>
        <v>2L_Piece#688</v>
      </c>
      <c r="M140" s="4">
        <v>1E-150</v>
      </c>
      <c r="N140" s="2" t="str">
        <f>HYPERLINK("http://exon.niaid.nih.gov/transcriptome/An_gambiae_male_2006/ST1/links/AGM-contig_365-AG3P.txt","ENSANGP00000007253")</f>
        <v>ENSANGP00000007253</v>
      </c>
      <c r="O140" s="1" t="str">
        <f>HYPERLINK("http://www.anobase.org/cgi-bin/uniexcel_new_var6.pl?proteinname=ENSANGP00000007253","1.E-151")</f>
        <v>1.E-151</v>
      </c>
      <c r="R140" s="2" t="str">
        <f>HYPERLINK("http://exon.niaid.nih.gov/transcriptome/An_gambiae_male_2006/ST1/links/AGM-contig_365-AGPROT.txt","ENSANGP00000021151")</f>
        <v>ENSANGP00000021151</v>
      </c>
      <c r="S140" s="1" t="str">
        <f>HYPERLINK("http://www.ensembl.org/Anopheles_gambiae/protview?peptide=ENSANGP00000021151","1.3")</f>
        <v>1.3</v>
      </c>
      <c r="T140" s="1" t="str">
        <f>HYPERLINK("http://www.anobase.org/cgi-bin/uniexcel_new_var6.pl?proteinname=ENSANGP00000021151","1.3")</f>
        <v>1.3</v>
      </c>
      <c r="AC140" s="2" t="str">
        <f>HYPERLINK("http://exon.niaid.nih.gov/transcriptome/An_gambiae_male_2006/ST1/links/AGM-contig_365-NR.txt","hypothetical protein [Plasmodium yoel")</f>
        <v>hypothetical protein [Plasmodium yoel</v>
      </c>
      <c r="AD140" s="1" t="str">
        <f>HYPERLINK("http://www.ncbi.nlm.nih.gov/sutils/blink.cgi?pid=23484901","0.15")</f>
        <v>0.15</v>
      </c>
      <c r="AE140" s="1" t="s">
        <v>314</v>
      </c>
      <c r="AF140" s="9" t="s">
        <v>485</v>
      </c>
      <c r="AG140" s="6" t="s">
        <v>464</v>
      </c>
      <c r="AH140" s="6" t="s">
        <v>25</v>
      </c>
      <c r="AJ140" s="6">
        <f>AJ139+1</f>
        <v>139</v>
      </c>
    </row>
    <row r="141" spans="1:36" ht="9.75">
      <c r="A141" t="str">
        <f>HYPERLINK("http://exon.niaid.nih.gov/transcriptome/An_gambiae_male_2006/ST1/links/AGM-contig_58.txt","AGM-contig_58")</f>
        <v>AGM-contig_58</v>
      </c>
      <c r="B141" s="1">
        <v>3</v>
      </c>
      <c r="C141" s="1">
        <v>220</v>
      </c>
      <c r="D141" s="1">
        <f>D140+B141</f>
        <v>237</v>
      </c>
      <c r="E141" s="1" t="s">
        <v>209</v>
      </c>
      <c r="F141" s="1">
        <v>64.5</v>
      </c>
      <c r="G141" s="1">
        <v>201</v>
      </c>
      <c r="H141" t="str">
        <f>HYPERLINK("http://exon.niaid.nih.gov/transcriptome/An_gambiae_male_2006/ST1/links/AGM-7-90-90-asb-58.txt","Contig-58")</f>
        <v>Contig-58</v>
      </c>
      <c r="I141" s="1">
        <v>58</v>
      </c>
      <c r="J141" t="str">
        <f>HYPERLINK("http://exon.niaid.nih.gov/transcriptome/An_gambiae_male_2006/ST1/links/AGM-7-90-90-58-CLU.txt","Contig58")</f>
        <v>Contig58</v>
      </c>
      <c r="K141" t="s">
        <v>268</v>
      </c>
      <c r="L141" s="2" t="str">
        <f>HYPERLINK("http://exon.niaid.nih.gov/transcriptome/An_gambiae_male_2006/ST1/links/AGM-contig_58-AGFRAG.txt","2R_Piece#1692")</f>
        <v>2R_Piece#1692</v>
      </c>
      <c r="M141" s="4">
        <v>1E-100</v>
      </c>
      <c r="N141" s="2" t="str">
        <f>HYPERLINK("http://exon.niaid.nih.gov/transcriptome/An_gambiae_male_2006/ST1/links/AGM-contig_58-AG3P.txt","ENSANGP00000011861")</f>
        <v>ENSANGP00000011861</v>
      </c>
      <c r="O141" s="1" t="str">
        <f>HYPERLINK("http://www.anobase.org/cgi-bin/uniexcel_new_var6.pl?proteinname=ENSANGP00000011861","1.E-101")</f>
        <v>1.E-101</v>
      </c>
      <c r="P141" s="2" t="str">
        <f>HYPERLINK("http://exon.niaid.nih.gov/transcriptome/An_gambiae_male_2006/ST1/links/AGM-contig_58-AG5P.txt","ENSANGP00000011343")</f>
        <v>ENSANGP00000011343</v>
      </c>
      <c r="Q141" s="4" t="str">
        <f>HYPERLINK("http://www.anobase.org/cgi-bin/uniexcel_new_var6.pl?proteinname=ENSANGP00000011343","1.E-101")</f>
        <v>1.E-101</v>
      </c>
      <c r="R141" s="2" t="str">
        <f>HYPERLINK("http://exon.niaid.nih.gov/transcriptome/An_gambiae_male_2006/ST1/links/AGM-contig_58-AGPROT.txt","ENSANGP00000006474")</f>
        <v>ENSANGP00000006474</v>
      </c>
      <c r="S141" s="1" t="str">
        <f>HYPERLINK("http://www.ensembl.org/Anopheles_gambiae/protview?peptide=ENSANGP00000006474","1.5")</f>
        <v>1.5</v>
      </c>
      <c r="T141" s="1" t="str">
        <f>HYPERLINK("http://www.anobase.org/cgi-bin/uniexcel_new_var6.pl?proteinname=ENSANGP00000006474","1.5")</f>
        <v>1.5</v>
      </c>
      <c r="U141" s="2" t="str">
        <f>HYPERLINK("http://exon.niaid.nih.gov/transcriptome/An_gambiae_male_2006/ST1/links/AGCDS/AGM-contig_58-AGCDS.txt","ENSANGT00000011861")</f>
        <v>ENSANGT00000011861</v>
      </c>
      <c r="V141" s="1">
        <v>1E-33</v>
      </c>
      <c r="AA141" s="2" t="str">
        <f>HYPERLINK("http://exon.niaid.nih.gov/transcriptome/An_gambiae_male_2006/ST1/links/AGM-contig_58-AGNUC.txt","AG-contig_301")</f>
        <v>AG-contig_301</v>
      </c>
      <c r="AB141" s="1">
        <v>1E-103</v>
      </c>
      <c r="AC141" s="2" t="str">
        <f>HYPERLINK("http://exon.niaid.nih.gov/transcriptome/An_gambiae_male_2006/ST1/links/AGM-contig_58-NR.txt","related to nucleoporin-interacting p")</f>
        <v>related to nucleoporin-interacting p</v>
      </c>
      <c r="AD141" s="1" t="str">
        <f>HYPERLINK("http://www.ncbi.nlm.nih.gov/sutils/blink.cgi?pid=12718244","2.4")</f>
        <v>2.4</v>
      </c>
      <c r="AE141" s="1" t="s">
        <v>314</v>
      </c>
      <c r="AF141" s="9" t="s">
        <v>143</v>
      </c>
      <c r="AG141" s="6" t="s">
        <v>842</v>
      </c>
      <c r="AH141" s="6" t="s">
        <v>25</v>
      </c>
      <c r="AJ141" s="6">
        <f>AJ140+1</f>
        <v>140</v>
      </c>
    </row>
    <row r="142" spans="1:36" ht="9.75">
      <c r="A142" t="str">
        <f>HYPERLINK("http://exon.niaid.nih.gov/transcriptome/An_gambiae_male_2006/ST1/links/AGM-contig_43.txt","AGM-contig_43")</f>
        <v>AGM-contig_43</v>
      </c>
      <c r="B142" s="1">
        <v>1</v>
      </c>
      <c r="C142" s="1">
        <v>213</v>
      </c>
      <c r="D142" s="1">
        <f>D141+B142</f>
        <v>238</v>
      </c>
      <c r="E142" s="1">
        <v>0.5</v>
      </c>
      <c r="F142" s="1">
        <v>68.1</v>
      </c>
      <c r="G142" s="1">
        <v>194</v>
      </c>
      <c r="H142" t="str">
        <f>HYPERLINK("http://exon.niaid.nih.gov/transcriptome/An_gambiae_male_2006/ST1/links/AGM-7-90-90-asb-43.txt","Contig-43")</f>
        <v>Contig-43</v>
      </c>
      <c r="I142" s="1">
        <v>43</v>
      </c>
      <c r="J142" t="str">
        <f>HYPERLINK("http://exon.niaid.nih.gov/transcriptome/An_gambiae_male_2006/ST1/links/AGM-7-90-90-43-CLU.txt","Contig43")</f>
        <v>Contig43</v>
      </c>
      <c r="K142" t="s">
        <v>252</v>
      </c>
      <c r="L142" s="2" t="str">
        <f>HYPERLINK("http://exon.niaid.nih.gov/transcriptome/An_gambiae_male_2006/ST1/links/AGM-contig_43-AGFRAG.txt","UNKN_Piece#1386")</f>
        <v>UNKN_Piece#1386</v>
      </c>
      <c r="M142" s="4">
        <v>7E-94</v>
      </c>
      <c r="N142" s="2" t="str">
        <f>HYPERLINK("http://exon.niaid.nih.gov/transcriptome/An_gambiae_male_2006/ST1/links/AGM-contig_43-AG3P.txt","ENSANGP00000029518")</f>
        <v>ENSANGP00000029518</v>
      </c>
      <c r="O142" s="1" t="str">
        <f>HYPERLINK("http://www.anobase.org/cgi-bin/uniexcel_new_var6.pl?proteinname=ENSANGP00000029518","2.E-94")</f>
        <v>2.E-94</v>
      </c>
      <c r="R142" s="2" t="str">
        <f>HYPERLINK("http://exon.niaid.nih.gov/transcriptome/An_gambiae_male_2006/ST1/links/AGM-contig_43-AGPROT.txt","ENSANGP00000007242")</f>
        <v>ENSANGP00000007242</v>
      </c>
      <c r="S142" s="1" t="str">
        <f>HYPERLINK("http://www.ensembl.org/Anopheles_gambiae/protview?peptide=ENSANGP00000007242","1.8")</f>
        <v>1.8</v>
      </c>
      <c r="T142" s="1" t="str">
        <f>HYPERLINK("http://www.anobase.org/cgi-bin/uniexcel_new_var6.pl?proteinname=ENSANGP00000007242","1.8")</f>
        <v>1.8</v>
      </c>
      <c r="AG142" s="6" t="s">
        <v>737</v>
      </c>
      <c r="AH142" s="6" t="s">
        <v>25</v>
      </c>
      <c r="AJ142" s="6">
        <f>AJ141+1</f>
        <v>141</v>
      </c>
    </row>
    <row r="143" spans="1:36" ht="9.75">
      <c r="A143" t="str">
        <f>HYPERLINK("http://exon.niaid.nih.gov/transcriptome/An_gambiae_male_2006/ST1/links/AGM-contig_196.txt","AGM-contig_196")</f>
        <v>AGM-contig_196</v>
      </c>
      <c r="B143" s="1">
        <v>1</v>
      </c>
      <c r="C143" s="1">
        <v>203</v>
      </c>
      <c r="D143" s="1">
        <f>D142+B143</f>
        <v>239</v>
      </c>
      <c r="E143" s="1" t="s">
        <v>209</v>
      </c>
      <c r="F143" s="1">
        <v>70.4</v>
      </c>
      <c r="G143" s="1">
        <v>184</v>
      </c>
      <c r="H143" t="str">
        <f>HYPERLINK("http://exon.niaid.nih.gov/transcriptome/An_gambiae_male_2006/ST1/links/AGM-7-90-90-asb-196.txt","Contig-196")</f>
        <v>Contig-196</v>
      </c>
      <c r="I143" s="1">
        <v>196</v>
      </c>
      <c r="J143" t="str">
        <f>HYPERLINK("http://exon.niaid.nih.gov/transcriptome/An_gambiae_male_2006/ST1/links/AGM-7-90-90-196-CLU.txt","Contig196")</f>
        <v>Contig196</v>
      </c>
      <c r="K143" t="s">
        <v>649</v>
      </c>
      <c r="L143" s="2" t="str">
        <f>HYPERLINK("http://exon.niaid.nih.gov/transcriptome/An_gambiae_male_2006/ST1/links/AGM-contig_196-AGFRAG.txt","3R_Piece#244")</f>
        <v>3R_Piece#244</v>
      </c>
      <c r="M143" s="4">
        <v>7E-94</v>
      </c>
      <c r="N143" s="2" t="str">
        <f>HYPERLINK("http://exon.niaid.nih.gov/transcriptome/An_gambiae_male_2006/ST1/links/AGM-contig_196-AG3P.txt","ENSANGP00000025743")</f>
        <v>ENSANGP00000025743</v>
      </c>
      <c r="O143" s="1" t="str">
        <f>HYPERLINK("http://www.anobase.org/cgi-bin/uniexcel_new_var6.pl?proteinname=ENSANGP00000025743","1.E-94")</f>
        <v>1.E-94</v>
      </c>
      <c r="R143" s="2" t="str">
        <f>HYPERLINK("http://exon.niaid.nih.gov/transcriptome/An_gambiae_male_2006/ST1/links/AGM-contig_196-AGPROT.txt","ENSANGP00000023759")</f>
        <v>ENSANGP00000023759</v>
      </c>
      <c r="S143" s="1" t="str">
        <f>HYPERLINK("http://www.ensembl.org/Anopheles_gambiae/protview?peptide=ENSANGP00000023759","2.3")</f>
        <v>2.3</v>
      </c>
      <c r="T143" s="1" t="str">
        <f>HYPERLINK("http://www.anobase.org/cgi-bin/uniexcel_new_var6.pl?proteinname=ENSANGP00000023759","2.3")</f>
        <v>2.3</v>
      </c>
      <c r="AC143" s="2" t="str">
        <f>HYPERLINK("http://exon.niaid.nih.gov/transcriptome/An_gambiae_male_2006/ST1/links/AGM-contig_196-NR.txt","hypothetical protein - mouse &gt;gnl|BL_ORD_I")</f>
        <v>hypothetical protein - mouse &gt;gnl|BL_ORD_I</v>
      </c>
      <c r="AD143" s="1" t="str">
        <f>HYPERLINK("http://www.ncbi.nlm.nih.gov/sutils/blink.cgi?pid=110062","0.018")</f>
        <v>0.018</v>
      </c>
      <c r="AE143" s="1" t="s">
        <v>314</v>
      </c>
      <c r="AF143" s="9" t="s">
        <v>839</v>
      </c>
      <c r="AG143" s="6" t="s">
        <v>427</v>
      </c>
      <c r="AH143" s="6" t="s">
        <v>25</v>
      </c>
      <c r="AJ143" s="6">
        <f>AJ142+1</f>
        <v>142</v>
      </c>
    </row>
    <row r="144" spans="1:36" ht="9.75">
      <c r="A144" t="str">
        <f>HYPERLINK("http://exon.niaid.nih.gov/transcriptome/An_gambiae_male_2006/ST1/links/AGM-contig_229.txt","AGM-contig_229")</f>
        <v>AGM-contig_229</v>
      </c>
      <c r="B144" s="1">
        <v>1</v>
      </c>
      <c r="C144" s="1">
        <v>626</v>
      </c>
      <c r="D144" s="1">
        <f>D143+B144</f>
        <v>240</v>
      </c>
      <c r="E144" s="1">
        <v>0.2</v>
      </c>
      <c r="F144" s="1">
        <v>57.2</v>
      </c>
      <c r="G144" s="1">
        <v>607</v>
      </c>
      <c r="H144" t="str">
        <f>HYPERLINK("http://exon.niaid.nih.gov/transcriptome/An_gambiae_male_2006/ST1/links/AGM-7-90-90-asb-229.txt","Contig-229")</f>
        <v>Contig-229</v>
      </c>
      <c r="I144" s="1">
        <v>229</v>
      </c>
      <c r="J144" t="str">
        <f>HYPERLINK("http://exon.niaid.nih.gov/transcriptome/An_gambiae_male_2006/ST1/links/AGM-7-90-90-229-CLU.txt","Contig229")</f>
        <v>Contig229</v>
      </c>
      <c r="K144" t="s">
        <v>682</v>
      </c>
      <c r="L144" s="2" t="str">
        <f>HYPERLINK("http://exon.niaid.nih.gov/transcriptome/An_gambiae_male_2006/ST1/links/AGM-contig_229-AGFRAG.txt","3R_Piece#244")</f>
        <v>3R_Piece#244</v>
      </c>
      <c r="M144" s="4">
        <v>0</v>
      </c>
      <c r="N144" s="2" t="str">
        <f>HYPERLINK("http://exon.niaid.nih.gov/transcriptome/An_gambiae_male_2006/ST1/links/AGM-contig_229-AG3P.txt","ENSANGP00000025743")</f>
        <v>ENSANGP00000025743</v>
      </c>
      <c r="O144" s="1" t="str">
        <f>HYPERLINK("http://www.anobase.org/cgi-bin/uniexcel_new_var6.pl?proteinname=ENSANGP00000025743","0.E+00")</f>
        <v>0.E+00</v>
      </c>
      <c r="R144" s="2" t="str">
        <f>HYPERLINK("http://exon.niaid.nih.gov/transcriptome/An_gambiae_male_2006/ST1/links/AGM-contig_229-AGPROT.txt","ENSANGP00000025158")</f>
        <v>ENSANGP00000025158</v>
      </c>
      <c r="S144" s="1" t="str">
        <f>HYPERLINK("http://www.ensembl.org/Anopheles_gambiae/protview?peptide=ENSANGP00000025158","2.9")</f>
        <v>2.9</v>
      </c>
      <c r="T144" s="1" t="str">
        <f>HYPERLINK("http://www.anobase.org/cgi-bin/uniexcel_new_var6.pl?proteinname=ENSANGP00000025158","2.9")</f>
        <v>2.9</v>
      </c>
      <c r="AC144" s="2" t="str">
        <f>HYPERLINK("http://exon.niaid.nih.gov/transcriptome/An_gambiae_male_2006/ST1/links/AGM-contig_229-NR.txt","ATPase subunit 6 [Mesocestoides corti]      33   6.6")</f>
        <v>ATPase subunit 6 [Mesocestoides corti]      33   6.6</v>
      </c>
      <c r="AD144" s="1" t="str">
        <f>HYPERLINK("http://www.ncbi.nlm.nih.gov/sutils/blink.cgi?pid=5790238","6.6")</f>
        <v>6.6</v>
      </c>
      <c r="AE144" s="1" t="s">
        <v>314</v>
      </c>
      <c r="AF144" s="9" t="s">
        <v>338</v>
      </c>
      <c r="AG144" s="6" t="s">
        <v>427</v>
      </c>
      <c r="AH144" s="6" t="s">
        <v>25</v>
      </c>
      <c r="AJ144" s="6">
        <f>AJ143+1</f>
        <v>143</v>
      </c>
    </row>
    <row r="145" spans="1:36" ht="9.75">
      <c r="A145" t="str">
        <f>HYPERLINK("http://exon.niaid.nih.gov/transcriptome/An_gambiae_male_2006/ST1/links/AGM-contig_178.txt","AGM-contig_178")</f>
        <v>AGM-contig_178</v>
      </c>
      <c r="B145" s="1">
        <v>1</v>
      </c>
      <c r="C145" s="1">
        <v>153</v>
      </c>
      <c r="D145" s="1">
        <f>D144+B145</f>
        <v>241</v>
      </c>
      <c r="E145" s="1">
        <v>0.7</v>
      </c>
      <c r="F145" s="1">
        <v>60.1</v>
      </c>
      <c r="G145" s="1">
        <v>134</v>
      </c>
      <c r="H145" t="str">
        <f>HYPERLINK("http://exon.niaid.nih.gov/transcriptome/An_gambiae_male_2006/ST1/links/AGM-7-90-90-asb-178.txt","Contig-178")</f>
        <v>Contig-178</v>
      </c>
      <c r="I145" s="1">
        <v>178</v>
      </c>
      <c r="J145" t="str">
        <f>HYPERLINK("http://exon.niaid.nih.gov/transcriptome/An_gambiae_male_2006/ST1/links/AGM-7-90-90-178-CLU.txt","Contig178")</f>
        <v>Contig178</v>
      </c>
      <c r="K145" t="s">
        <v>631</v>
      </c>
      <c r="L145" s="2" t="str">
        <f>HYPERLINK("http://exon.niaid.nih.gov/transcriptome/An_gambiae_male_2006/ST1/links/AGM-contig_178-AGFRAG.txt","2R_Piece#1148")</f>
        <v>2R_Piece#1148</v>
      </c>
      <c r="M145" s="4">
        <v>7E-50</v>
      </c>
      <c r="N145" s="2" t="str">
        <f>HYPERLINK("http://exon.niaid.nih.gov/transcriptome/An_gambiae_male_2006/ST1/links/AGM-contig_178-AG3P.txt","ENSANGP00000018716")</f>
        <v>ENSANGP00000018716</v>
      </c>
      <c r="O145" s="1" t="str">
        <f>HYPERLINK("http://www.anobase.org/cgi-bin/uniexcel_new_var6.pl?proteinname=ENSANGP00000018716","2.E-50")</f>
        <v>2.E-50</v>
      </c>
      <c r="R145" s="2" t="str">
        <f>HYPERLINK("http://exon.niaid.nih.gov/transcriptome/An_gambiae_male_2006/ST1/links/AGM-contig_178-AGPROT.txt","ENSANGP00000017590")</f>
        <v>ENSANGP00000017590</v>
      </c>
      <c r="S145" s="1" t="str">
        <f>HYPERLINK("http://www.ensembl.org/Anopheles_gambiae/protview?peptide=ENSANGP00000017590","7.9")</f>
        <v>7.9</v>
      </c>
      <c r="T145" s="1" t="str">
        <f>HYPERLINK("http://www.anobase.org/cgi-bin/uniexcel_new_var6.pl?proteinname=ENSANGP00000017590","7.9")</f>
        <v>7.9</v>
      </c>
      <c r="AA145" s="2" t="str">
        <f>HYPERLINK("http://exon.niaid.nih.gov/transcriptome/An_gambiae_male_2006/ST1/links/AGM-contig_178-AGNUC.txt","AG-contig_853")</f>
        <v>AG-contig_853</v>
      </c>
      <c r="AB145" s="1">
        <v>3E-63</v>
      </c>
      <c r="AG145" s="6" t="s">
        <v>365</v>
      </c>
      <c r="AH145" s="6" t="s">
        <v>25</v>
      </c>
      <c r="AJ145" s="6">
        <f>AJ144+1</f>
        <v>144</v>
      </c>
    </row>
    <row r="146" spans="1:36" ht="9.75">
      <c r="A146" t="str">
        <f>HYPERLINK("http://exon.niaid.nih.gov/transcriptome/An_gambiae_male_2006/ST1/links/AGM-contig_212.txt","AGM-contig_212")</f>
        <v>AGM-contig_212</v>
      </c>
      <c r="B146" s="1">
        <v>1</v>
      </c>
      <c r="C146" s="1">
        <v>181</v>
      </c>
      <c r="D146" s="1">
        <f>D145+B146</f>
        <v>242</v>
      </c>
      <c r="E146" s="1">
        <v>0.6</v>
      </c>
      <c r="F146" s="1">
        <v>75.7</v>
      </c>
      <c r="G146" s="1">
        <v>126</v>
      </c>
      <c r="H146" t="str">
        <f>HYPERLINK("http://exon.niaid.nih.gov/transcriptome/An_gambiae_male_2006/ST1/links/AGM-7-90-90-asb-212.txt","Contig-212")</f>
        <v>Contig-212</v>
      </c>
      <c r="I146" s="1">
        <v>212</v>
      </c>
      <c r="J146" t="str">
        <f>HYPERLINK("http://exon.niaid.nih.gov/transcriptome/An_gambiae_male_2006/ST1/links/AGM-7-90-90-212-CLU.txt","Contig212")</f>
        <v>Contig212</v>
      </c>
      <c r="K146" t="s">
        <v>665</v>
      </c>
      <c r="L146" s="2" t="str">
        <f>HYPERLINK("http://exon.niaid.nih.gov/transcriptome/An_gambiae_male_2006/ST1/links/AGM-contig_212-AGFRAG.txt","2R_Piece#1336")</f>
        <v>2R_Piece#1336</v>
      </c>
      <c r="M146" s="4">
        <v>2E-56</v>
      </c>
      <c r="N146" s="2" t="str">
        <f>HYPERLINK("http://exon.niaid.nih.gov/transcriptome/An_gambiae_male_2006/ST1/links/AGM-contig_212-AG3P.txt","ENSANGP00000024697")</f>
        <v>ENSANGP00000024697</v>
      </c>
      <c r="O146" s="1" t="str">
        <f>HYPERLINK("http://www.anobase.org/cgi-bin/uniexcel_new_var6.pl?proteinname=ENSANGP00000024697","5.E-57")</f>
        <v>5.E-57</v>
      </c>
      <c r="R146" s="2" t="str">
        <f>HYPERLINK("http://exon.niaid.nih.gov/transcriptome/An_gambiae_male_2006/ST1/links/AGM-contig_212-AGPROT.txt","ENSANGP00000016345")</f>
        <v>ENSANGP00000016345</v>
      </c>
      <c r="S146" s="1" t="str">
        <f>HYPERLINK("http://www.ensembl.org/Anopheles_gambiae/protview?peptide=ENSANGP00000016345","8.7")</f>
        <v>8.7</v>
      </c>
      <c r="T146" s="1" t="str">
        <f>HYPERLINK("http://www.anobase.org/cgi-bin/uniexcel_new_var6.pl?proteinname=ENSANGP00000016345","8.7")</f>
        <v>8.7</v>
      </c>
      <c r="AA146" s="2" t="str">
        <f>HYPERLINK("http://exon.niaid.nih.gov/transcriptome/An_gambiae_male_2006/ST1/links/AGM-contig_212-AGNUC.txt","AG-contig_804")</f>
        <v>AG-contig_804</v>
      </c>
      <c r="AB146" s="1">
        <v>6E-09</v>
      </c>
      <c r="AC146" s="2" t="str">
        <f>HYPERLINK("http://exon.niaid.nih.gov/transcriptome/An_gambiae_male_2006/ST1/links/AGM-contig_212-NR.txt","hypothetical protein [Plasmodium fa")</f>
        <v>hypothetical protein [Plasmodium fa</v>
      </c>
      <c r="AD146" s="1" t="str">
        <f>HYPERLINK("http://www.ncbi.nlm.nih.gov/sutils/blink.cgi?pid=23613197","0.26")</f>
        <v>0.26</v>
      </c>
      <c r="AE146" s="1" t="s">
        <v>314</v>
      </c>
      <c r="AF146" s="9" t="s">
        <v>486</v>
      </c>
      <c r="AG146" s="6" t="s">
        <v>420</v>
      </c>
      <c r="AH146" s="6" t="s">
        <v>25</v>
      </c>
      <c r="AJ146" s="6">
        <f>AJ145+1</f>
        <v>145</v>
      </c>
    </row>
    <row r="147" spans="1:36" ht="9.75">
      <c r="A147" t="str">
        <f>HYPERLINK("http://exon.niaid.nih.gov/transcriptome/An_gambiae_male_2006/ST1/links/AGM-contig_172.txt","AGM-contig_172")</f>
        <v>AGM-contig_172</v>
      </c>
      <c r="B147" s="1">
        <v>1</v>
      </c>
      <c r="C147" s="1">
        <v>126</v>
      </c>
      <c r="D147" s="1">
        <f>D146+B147</f>
        <v>243</v>
      </c>
      <c r="E147" s="1">
        <v>4.8</v>
      </c>
      <c r="F147" s="1">
        <v>61.1</v>
      </c>
      <c r="G147" s="1">
        <v>77</v>
      </c>
      <c r="H147" t="str">
        <f>HYPERLINK("http://exon.niaid.nih.gov/transcriptome/An_gambiae_male_2006/ST1/links/AGM-7-90-90-asb-172.txt","Contig-172")</f>
        <v>Contig-172</v>
      </c>
      <c r="I147" s="1">
        <v>172</v>
      </c>
      <c r="J147" t="str">
        <f>HYPERLINK("http://exon.niaid.nih.gov/transcriptome/An_gambiae_male_2006/ST1/links/AGM-7-90-90-172-CLU.txt","Contig172")</f>
        <v>Contig172</v>
      </c>
      <c r="K147" t="s">
        <v>625</v>
      </c>
      <c r="L147" s="2" t="str">
        <f>HYPERLINK("http://exon.niaid.nih.gov/transcriptome/An_gambiae_male_2006/ST1/links/AGM-contig_172-AGFRAG.txt","X_Piece#526")</f>
        <v>X_Piece#526</v>
      </c>
      <c r="M147" s="4">
        <v>1E-35</v>
      </c>
      <c r="N147" s="2" t="str">
        <f>HYPERLINK("http://exon.niaid.nih.gov/transcriptome/An_gambiae_male_2006/ST1/links/AGM-contig_172-AG3P.txt","ENSANGP00000011974")</f>
        <v>ENSANGP00000011974</v>
      </c>
      <c r="O147" s="1" t="str">
        <f>HYPERLINK("http://www.anobase.org/cgi-bin/uniexcel_new_var6.pl?proteinname=ENSANGP00000011974","3.E-36")</f>
        <v>3.E-36</v>
      </c>
      <c r="P147" s="2" t="str">
        <f>HYPERLINK("http://exon.niaid.nih.gov/transcriptome/An_gambiae_male_2006/ST1/links/AGM-contig_172-AG5P.txt","ENSANGP00000001598")</f>
        <v>ENSANGP00000001598</v>
      </c>
      <c r="Q147" s="4" t="str">
        <f>HYPERLINK("http://www.anobase.org/cgi-bin/uniexcel_new_var6.pl?proteinname=ENSANGP00000001598","3.E-36")</f>
        <v>3.E-36</v>
      </c>
      <c r="AG147" s="6" t="s">
        <v>380</v>
      </c>
      <c r="AH147" s="6" t="s">
        <v>25</v>
      </c>
      <c r="AJ147" s="6">
        <f>AJ146+1</f>
        <v>146</v>
      </c>
    </row>
    <row r="148" spans="1:36" ht="9.75">
      <c r="A148" t="str">
        <f>HYPERLINK("http://exon.niaid.nih.gov/transcriptome/An_gambiae_male_2006/ST1/links/AGM-contig_319.txt","AGM-contig_319")</f>
        <v>AGM-contig_319</v>
      </c>
      <c r="B148" s="1">
        <v>1</v>
      </c>
      <c r="C148" s="1">
        <v>217</v>
      </c>
      <c r="D148" s="1">
        <f>D147+B148</f>
        <v>244</v>
      </c>
      <c r="E148" s="1">
        <v>1.4</v>
      </c>
      <c r="F148" s="1">
        <v>42.9</v>
      </c>
      <c r="G148" s="1">
        <v>198</v>
      </c>
      <c r="H148" t="str">
        <f>HYPERLINK("http://exon.niaid.nih.gov/transcriptome/An_gambiae_male_2006/ST1/links/AGM-7-90-90-asb-319.txt","Contig-319")</f>
        <v>Contig-319</v>
      </c>
      <c r="I148" s="1">
        <v>319</v>
      </c>
      <c r="J148" t="str">
        <f>HYPERLINK("http://exon.niaid.nih.gov/transcriptome/An_gambiae_male_2006/ST1/links/AGM-7-90-90-319-CLU.txt","Contig319")</f>
        <v>Contig319</v>
      </c>
      <c r="K148" t="s">
        <v>186</v>
      </c>
      <c r="L148" s="2" t="str">
        <f>HYPERLINK("http://exon.niaid.nih.gov/transcriptome/An_gambiae_male_2006/ST1/links/AGM-contig_319-AGFRAG.txt","3R_Piece#910")</f>
        <v>3R_Piece#910</v>
      </c>
      <c r="M148" s="4">
        <v>2E-91</v>
      </c>
      <c r="N148" s="2" t="str">
        <f>HYPERLINK("http://exon.niaid.nih.gov/transcriptome/An_gambiae_male_2006/ST1/links/AGM-contig_319-AG3P.txt","ENSANGP00000006498")</f>
        <v>ENSANGP00000006498</v>
      </c>
      <c r="O148" s="1" t="str">
        <f>HYPERLINK("http://www.anobase.org/cgi-bin/uniexcel_new_var6.pl?proteinname=ENSANGP00000006498","4.E-92")</f>
        <v>4.E-92</v>
      </c>
      <c r="R148" s="2" t="str">
        <f>HYPERLINK("http://exon.niaid.nih.gov/transcriptome/An_gambiae_male_2006/ST1/links/AGM-contig_319-AGPROT.txt","ENSANGP00000021087")</f>
        <v>ENSANGP00000021087</v>
      </c>
      <c r="S148" s="1" t="str">
        <f>HYPERLINK("http://www.ensembl.org/Anopheles_gambiae/protview?peptide=ENSANGP00000021087","0.79")</f>
        <v>0.79</v>
      </c>
      <c r="T148" s="1" t="str">
        <f>HYPERLINK("http://www.anobase.org/cgi-bin/uniexcel_new_var6.pl?proteinname=ENSANGP00000021087","0.79")</f>
        <v>0.79</v>
      </c>
      <c r="AG148" s="6" t="s">
        <v>462</v>
      </c>
      <c r="AH148" s="6" t="s">
        <v>463</v>
      </c>
      <c r="AJ148" s="6">
        <f>AJ147+1</f>
        <v>147</v>
      </c>
    </row>
    <row r="149" spans="1:36" ht="9.75">
      <c r="A149" t="str">
        <f>HYPERLINK("http://exon.niaid.nih.gov/transcriptome/An_gambiae_male_2006/ST1/links/AGM-contig_175.txt","AGM-contig_175")</f>
        <v>AGM-contig_175</v>
      </c>
      <c r="B149" s="1">
        <v>1</v>
      </c>
      <c r="C149" s="1">
        <v>195</v>
      </c>
      <c r="D149" s="1">
        <f>D148+B149</f>
        <v>245</v>
      </c>
      <c r="E149" s="1">
        <v>0.5</v>
      </c>
      <c r="F149" s="1">
        <v>46.2</v>
      </c>
      <c r="G149" s="1">
        <v>176</v>
      </c>
      <c r="H149" t="str">
        <f>HYPERLINK("http://exon.niaid.nih.gov/transcriptome/An_gambiae_male_2006/ST1/links/AGM-7-90-90-asb-175.txt","Contig-175")</f>
        <v>Contig-175</v>
      </c>
      <c r="I149" s="1">
        <v>175</v>
      </c>
      <c r="J149" t="str">
        <f>HYPERLINK("http://exon.niaid.nih.gov/transcriptome/An_gambiae_male_2006/ST1/links/AGM-7-90-90-175-CLU.txt","Contig175")</f>
        <v>Contig175</v>
      </c>
      <c r="K149" t="s">
        <v>628</v>
      </c>
      <c r="R149" s="2" t="str">
        <f>HYPERLINK("http://exon.niaid.nih.gov/transcriptome/An_gambiae_male_2006/ST1/links/AGM-contig_175-AGPROT.txt","ENSANGP00000012929")</f>
        <v>ENSANGP00000012929</v>
      </c>
      <c r="S149" s="1" t="str">
        <f>HYPERLINK("http://www.ensembl.org/Anopheles_gambiae/protview?peptide=ENSANGP00000012929","0.45")</f>
        <v>0.45</v>
      </c>
      <c r="T149" s="1" t="str">
        <f>HYPERLINK("http://www.anobase.org/cgi-bin/uniexcel_new_var6.pl?proteinname=ENSANGP00000012929","0.45")</f>
        <v>0.45</v>
      </c>
      <c r="AC149" s="2" t="str">
        <f>HYPERLINK("http://exon.niaid.nih.gov/transcriptome/An_gambiae_male_2006/ST1/links/AGM-contig_175-NR.txt","COG4644: Transposase and inactiva")</f>
        <v>COG4644: Transposase and inactiva</v>
      </c>
      <c r="AD149" s="1" t="str">
        <f>HYPERLINK("http://www.ncbi.nlm.nih.gov/sutils/blink.cgi?pid=46324467","2E-017")</f>
        <v>2E-017</v>
      </c>
      <c r="AE149" s="1" t="s">
        <v>314</v>
      </c>
      <c r="AF149" s="9" t="s">
        <v>754</v>
      </c>
      <c r="AG149" s="6" t="s">
        <v>744</v>
      </c>
      <c r="AH149" s="6" t="s">
        <v>745</v>
      </c>
      <c r="AJ149" s="6">
        <f>AJ148+1</f>
        <v>148</v>
      </c>
    </row>
    <row r="150" spans="1:36" ht="9.75">
      <c r="A150" t="str">
        <f>HYPERLINK("http://exon.niaid.nih.gov/transcriptome/An_gambiae_male_2006/ST1/links/AGM-contig_78.txt","AGM-contig_78")</f>
        <v>AGM-contig_78</v>
      </c>
      <c r="B150" s="1">
        <v>2</v>
      </c>
      <c r="C150" s="1">
        <v>316</v>
      </c>
      <c r="D150" s="1">
        <v>2</v>
      </c>
      <c r="E150" s="1" t="s">
        <v>209</v>
      </c>
      <c r="F150" s="1">
        <v>59.2</v>
      </c>
      <c r="G150" s="1">
        <v>297</v>
      </c>
      <c r="H150" t="str">
        <f>HYPERLINK("http://exon.niaid.nih.gov/transcriptome/An_gambiae_male_2006/ST1/links/AGM-7-90-90-asb-78.txt","Contig-78")</f>
        <v>Contig-78</v>
      </c>
      <c r="I150" s="1">
        <v>78</v>
      </c>
      <c r="J150" t="str">
        <f>HYPERLINK("http://exon.niaid.nih.gov/transcriptome/An_gambiae_male_2006/ST1/links/AGM-7-90-90-78-CLU.txt","Contig78")</f>
        <v>Contig78</v>
      </c>
      <c r="K150" t="s">
        <v>531</v>
      </c>
      <c r="L150" s="2" t="str">
        <f>HYPERLINK("http://exon.niaid.nih.gov/transcriptome/An_gambiae_male_2006/ST1/links/AGM-contig_78-AGFRAG.txt","UNKN_Piece#1522")</f>
        <v>UNKN_Piece#1522</v>
      </c>
      <c r="M150" s="4">
        <v>1E-149</v>
      </c>
      <c r="N150" s="2" t="str">
        <f>HYPERLINK("http://exon.niaid.nih.gov/transcriptome/An_gambiae_male_2006/ST1/links/AGM-contig_78-AG3P.txt","ENSANGP00000000887")</f>
        <v>ENSANGP00000000887</v>
      </c>
      <c r="O150" s="1" t="str">
        <f>HYPERLINK("http://www.anobase.org/cgi-bin/uniexcel_new_var6.pl?proteinname=ENSANGP00000000887","1.E-150")</f>
        <v>1.E-150</v>
      </c>
      <c r="P150" s="2" t="str">
        <f>HYPERLINK("http://exon.niaid.nih.gov/transcriptome/An_gambiae_male_2006/ST1/links/AGM-contig_78-AG5P.txt","ENSANGP00000020897")</f>
        <v>ENSANGP00000020897</v>
      </c>
      <c r="Q150" s="4" t="str">
        <f>HYPERLINK("http://www.anobase.org/cgi-bin/uniexcel_new_var6.pl?proteinname=ENSANGP00000020897","1.E-150")</f>
        <v>1.E-150</v>
      </c>
      <c r="R150" s="2" t="str">
        <f>HYPERLINK("http://exon.niaid.nih.gov/transcriptome/An_gambiae_male_2006/ST1/links/AGM-contig_78-AGPROT.txt","ENSANGP00000006544")</f>
        <v>ENSANGP00000006544</v>
      </c>
      <c r="S150" s="1" t="str">
        <f>HYPERLINK("http://www.ensembl.org/Anopheles_gambiae/protview?peptide=ENSANGP00000006544","0.79")</f>
        <v>0.79</v>
      </c>
      <c r="T150" s="1" t="str">
        <f>HYPERLINK("http://www.anobase.org/cgi-bin/uniexcel_new_var6.pl?proteinname=ENSANGP00000006544","0.79")</f>
        <v>0.79</v>
      </c>
      <c r="AC150" s="2" t="str">
        <f>HYPERLINK("http://exon.niaid.nih.gov/transcriptome/An_gambiae_male_2006/ST1/links/AGM-contig_78-NR.txt","ENSANGP00000024562 [Anopheles gambiae]   131   3e-030")</f>
        <v>ENSANGP00000024562 [Anopheles gambiae]   131   3e-030</v>
      </c>
      <c r="AD150" s="1" t="str">
        <f>HYPERLINK("http://www.ncbi.nlm.nih.gov/sutils/blink.cgi?pid=31218730","3E-030")</f>
        <v>3E-030</v>
      </c>
      <c r="AE150" s="1" t="s">
        <v>314</v>
      </c>
      <c r="AF150" s="9" t="s">
        <v>450</v>
      </c>
      <c r="AG150" s="6" t="s">
        <v>454</v>
      </c>
      <c r="AH150" s="6" t="s">
        <v>511</v>
      </c>
      <c r="AJ150" s="6">
        <v>1</v>
      </c>
    </row>
    <row r="151" spans="1:36" ht="9.75">
      <c r="A151" t="str">
        <f>HYPERLINK("http://exon.niaid.nih.gov/transcriptome/An_gambiae_male_2006/ST1/links/AGM-contig_254.txt","AGM-contig_254")</f>
        <v>AGM-contig_254</v>
      </c>
      <c r="B151" s="1">
        <v>1</v>
      </c>
      <c r="C151" s="1">
        <v>332</v>
      </c>
      <c r="D151" s="1">
        <f>D150+B151</f>
        <v>3</v>
      </c>
      <c r="E151" s="1">
        <v>4.2</v>
      </c>
      <c r="F151" s="1">
        <v>47.9</v>
      </c>
      <c r="G151" s="1" t="s">
        <v>260</v>
      </c>
      <c r="H151" t="str">
        <f>HYPERLINK("http://exon.niaid.nih.gov/transcriptome/An_gambiae_male_2006/ST1/links/AGM-7-90-90-asb-254.txt","Contig-254")</f>
        <v>Contig-254</v>
      </c>
      <c r="I151" s="1">
        <v>254</v>
      </c>
      <c r="J151" t="str">
        <f>HYPERLINK("http://exon.niaid.nih.gov/transcriptome/An_gambiae_male_2006/ST1/links/AGM-7-90-90-254-CLU.txt","Contig254")</f>
        <v>Contig254</v>
      </c>
      <c r="K151" t="s">
        <v>707</v>
      </c>
      <c r="L151" s="2" t="str">
        <f>HYPERLINK("http://exon.niaid.nih.gov/transcriptome/An_gambiae_male_2006/ST1/links/AGM-contig_254-AGFRAG.txt","2R_Piece#864")</f>
        <v>2R_Piece#864</v>
      </c>
      <c r="M151" s="4">
        <v>1E-127</v>
      </c>
      <c r="P151" s="2" t="str">
        <f>HYPERLINK("http://exon.niaid.nih.gov/transcriptome/An_gambiae_male_2006/ST1/links/AGM-contig_254-AG5P.txt","ENSANGP00000025044")</f>
        <v>ENSANGP00000025044</v>
      </c>
      <c r="Q151" s="4" t="str">
        <f>HYPERLINK("http://www.anobase.org/cgi-bin/uniexcel_new_var6.pl?proteinname=ENSANGP00000025044","1.E-128")</f>
        <v>1.E-128</v>
      </c>
      <c r="R151" s="2" t="str">
        <f>HYPERLINK("http://exon.niaid.nih.gov/transcriptome/An_gambiae_male_2006/ST1/links/AGM-contig_254-AGPROT.txt","ENSANGP00000029222")</f>
        <v>ENSANGP00000029222</v>
      </c>
      <c r="S151" s="1" t="str">
        <f>HYPERLINK("http://www.ensembl.org/Anopheles_gambiae/protview?peptide=ENSANGP00000029222","5E-014")</f>
        <v>5E-014</v>
      </c>
      <c r="T151" s="1" t="str">
        <f>HYPERLINK("http://www.anobase.org/cgi-bin/uniexcel_new_var6.pl?proteinname=ENSANGP00000029222","5E-014")</f>
        <v>5E-014</v>
      </c>
      <c r="AC151" s="2" t="str">
        <f>HYPERLINK("http://exon.niaid.nih.gov/transcriptome/An_gambiae_male_2006/ST1/links/AGM-contig_254-NR.txt","similar to Plasmodium lophurae. Histi")</f>
        <v>similar to Plasmodium lophurae. Histi</v>
      </c>
      <c r="AD151" s="1" t="str">
        <f>HYPERLINK("http://www.ncbi.nlm.nih.gov/sutils/blink.cgi?pid=28828387","1E-178")</f>
        <v>1E-178</v>
      </c>
      <c r="AE151" s="1" t="s">
        <v>314</v>
      </c>
      <c r="AF151" s="9" t="s">
        <v>20</v>
      </c>
      <c r="AG151" s="6" t="s">
        <v>511</v>
      </c>
      <c r="AH151" s="6" t="s">
        <v>511</v>
      </c>
      <c r="AI151" s="6" t="s">
        <v>260</v>
      </c>
      <c r="AJ151" s="6">
        <f>AJ150+1</f>
        <v>2</v>
      </c>
    </row>
    <row r="152" spans="1:36" ht="9.75">
      <c r="A152" t="str">
        <f>HYPERLINK("http://exon.niaid.nih.gov/transcriptome/An_gambiae_male_2006/ST1/links/AGM-contig_158.txt","AGM-contig_158")</f>
        <v>AGM-contig_158</v>
      </c>
      <c r="B152" s="1">
        <v>1</v>
      </c>
      <c r="C152" s="1">
        <v>163</v>
      </c>
      <c r="D152" s="1">
        <f>D151+B152</f>
        <v>4</v>
      </c>
      <c r="E152" s="1" t="s">
        <v>209</v>
      </c>
      <c r="F152" s="1" t="s">
        <v>209</v>
      </c>
      <c r="G152" s="1" t="s">
        <v>260</v>
      </c>
      <c r="H152" t="str">
        <f>HYPERLINK("http://exon.niaid.nih.gov/transcriptome/An_gambiae_male_2006/ST1/links/AGM-7-90-90-asb-158.txt","Contig-158")</f>
        <v>Contig-158</v>
      </c>
      <c r="I152" s="1">
        <v>158</v>
      </c>
      <c r="J152" t="str">
        <f>HYPERLINK("http://exon.niaid.nih.gov/transcriptome/An_gambiae_male_2006/ST1/links/AGM-7-90-90-158-CLU.txt","Contig158")</f>
        <v>Contig158</v>
      </c>
      <c r="K152" t="s">
        <v>611</v>
      </c>
      <c r="L152" s="2" t="str">
        <f>HYPERLINK("http://exon.niaid.nih.gov/transcriptome/An_gambiae_male_2006/ST1/links/AGM-contig_158-AGFRAG.txt","X_Piece#819")</f>
        <v>X_Piece#819</v>
      </c>
      <c r="M152" s="4">
        <v>2E-10</v>
      </c>
      <c r="N152" s="2" t="str">
        <f>HYPERLINK("http://exon.niaid.nih.gov/transcriptome/An_gambiae_male_2006/ST1/links/AGM-contig_158-AG3P.txt","ENSANGP00000028341")</f>
        <v>ENSANGP00000028341</v>
      </c>
      <c r="O152" s="1" t="str">
        <f>HYPERLINK("http://www.anobase.org/cgi-bin/uniexcel_new_var6.pl?proteinname=ENSANGP00000028341","4.E-48")</f>
        <v>4.E-48</v>
      </c>
      <c r="P152" s="2" t="str">
        <f>HYPERLINK("http://exon.niaid.nih.gov/transcriptome/An_gambiae_male_2006/ST1/links/AGM-contig_158-AG5P.txt","ENSANGP00000019255")</f>
        <v>ENSANGP00000019255</v>
      </c>
      <c r="Q152" s="4" t="str">
        <f>HYPERLINK("http://www.anobase.org/cgi-bin/uniexcel_new_var6.pl?proteinname=ENSANGP00000019255","4.E-48")</f>
        <v>4.E-48</v>
      </c>
      <c r="R152" s="2" t="str">
        <f>HYPERLINK("http://exon.niaid.nih.gov/transcriptome/An_gambiae_male_2006/ST1/links/AGM-contig_158-AGPROT.txt","ENSANGP00000011753")</f>
        <v>ENSANGP00000011753</v>
      </c>
      <c r="S152" s="1" t="str">
        <f>HYPERLINK("http://www.ensembl.org/Anopheles_gambiae/protview?peptide=ENSANGP00000011753","5E-005")</f>
        <v>5E-005</v>
      </c>
      <c r="T152" s="1" t="str">
        <f>HYPERLINK("http://www.anobase.org/cgi-bin/uniexcel_new_var6.pl?proteinname=ENSANGP00000011753","5E-005")</f>
        <v>5E-005</v>
      </c>
      <c r="AC152" s="2" t="str">
        <f>HYPERLINK("http://exon.niaid.nih.gov/transcriptome/An_gambiae_male_2006/ST1/links/AGM-contig_158-NR.txt","putative &gt;gnl|BL_ORD_ID|107331 gi|9628")</f>
        <v>putative &gt;gnl|BL_ORD_ID|107331 gi|9628</v>
      </c>
      <c r="AD152" s="1" t="str">
        <f>HYPERLINK("http://www.ncbi.nlm.nih.gov/sutils/blink.cgi?pid=1020223","9E-007")</f>
        <v>9E-007</v>
      </c>
      <c r="AE152" s="1" t="s">
        <v>313</v>
      </c>
      <c r="AF152" s="9" t="s">
        <v>373</v>
      </c>
      <c r="AG152" s="6" t="s">
        <v>511</v>
      </c>
      <c r="AH152" s="6" t="s">
        <v>511</v>
      </c>
      <c r="AJ152" s="6">
        <f>AJ151+1</f>
        <v>3</v>
      </c>
    </row>
    <row r="153" spans="1:36" ht="9.75">
      <c r="A153" t="str">
        <f>HYPERLINK("http://exon.niaid.nih.gov/transcriptome/An_gambiae_male_2006/ST1/links/AGM-contig_321.txt","AGM-contig_321")</f>
        <v>AGM-contig_321</v>
      </c>
      <c r="B153" s="1">
        <v>1</v>
      </c>
      <c r="C153" s="1">
        <v>335</v>
      </c>
      <c r="D153" s="1">
        <f>D152+B153</f>
        <v>5</v>
      </c>
      <c r="E153" s="1" t="s">
        <v>209</v>
      </c>
      <c r="F153" s="1">
        <v>47.8</v>
      </c>
      <c r="G153" s="1">
        <v>316</v>
      </c>
      <c r="H153" t="str">
        <f>HYPERLINK("http://exon.niaid.nih.gov/transcriptome/An_gambiae_male_2006/ST1/links/AGM-7-90-90-asb-321.txt","Contig-321")</f>
        <v>Contig-321</v>
      </c>
      <c r="I153" s="1">
        <v>321</v>
      </c>
      <c r="J153" t="str">
        <f>HYPERLINK("http://exon.niaid.nih.gov/transcriptome/An_gambiae_male_2006/ST1/links/AGM-7-90-90-321-CLU.txt","Contig321")</f>
        <v>Contig321</v>
      </c>
      <c r="K153" t="s">
        <v>188</v>
      </c>
      <c r="L153" s="2" t="str">
        <f>HYPERLINK("http://exon.niaid.nih.gov/transcriptome/An_gambiae_male_2006/ST1/links/AGM-contig_321-AGFRAG.txt","X_Piece#63")</f>
        <v>X_Piece#63</v>
      </c>
      <c r="M153" s="4">
        <v>1E-127</v>
      </c>
      <c r="N153" s="2" t="str">
        <f>HYPERLINK("http://exon.niaid.nih.gov/transcriptome/An_gambiae_male_2006/ST1/links/AGM-contig_321-AG3P.txt","ENSANGP00000019931")</f>
        <v>ENSANGP00000019931</v>
      </c>
      <c r="O153" s="1" t="str">
        <f>HYPERLINK("http://www.anobase.org/cgi-bin/uniexcel_new_var6.pl?proteinname=ENSANGP00000019931","2.E-79")</f>
        <v>2.E-79</v>
      </c>
      <c r="P153" s="2" t="str">
        <f>HYPERLINK("http://exon.niaid.nih.gov/transcriptome/An_gambiae_male_2006/ST1/links/AGM-contig_321-AG5P.txt","ENSANGP00000019931")</f>
        <v>ENSANGP00000019931</v>
      </c>
      <c r="Q153" s="4" t="str">
        <f>HYPERLINK("http://www.anobase.org/cgi-bin/uniexcel_new_var6.pl?proteinname=ENSANGP00000019931","2.E-17")</f>
        <v>2.E-17</v>
      </c>
      <c r="R153" s="2" t="str">
        <f>HYPERLINK("http://exon.niaid.nih.gov/transcriptome/An_gambiae_male_2006/ST1/links/AGM-contig_321-AGPROT.txt","ENSANGP00000019931")</f>
        <v>ENSANGP00000019931</v>
      </c>
      <c r="S153" s="1" t="str">
        <f>HYPERLINK("http://www.ensembl.org/Anopheles_gambiae/protview?peptide=ENSANGP00000019931","5E-041")</f>
        <v>5E-041</v>
      </c>
      <c r="T153" s="1" t="str">
        <f>HYPERLINK("http://www.anobase.org/cgi-bin/uniexcel_new_var6.pl?proteinname=ENSANGP00000019931","5E-041")</f>
        <v>5E-041</v>
      </c>
      <c r="U153" s="2" t="str">
        <f>HYPERLINK("http://exon.niaid.nih.gov/transcriptome/An_gambiae_male_2006/ST1/links/AGCDS/AGM-contig_321-AGCDS.txt","ENSANGT00000019931")</f>
        <v>ENSANGT00000019931</v>
      </c>
      <c r="V153" s="1">
        <v>1E-154</v>
      </c>
      <c r="AC153" s="2" t="str">
        <f>HYPERLINK("http://exon.niaid.nih.gov/transcriptome/An_gambiae_male_2006/ST1/links/AGM-contig_321-NR.txt","ENSANGP00000019931 [Anopheles gambi")</f>
        <v>ENSANGP00000019931 [Anopheles gambi</v>
      </c>
      <c r="AD153" s="1" t="str">
        <f>HYPERLINK("http://www.ncbi.nlm.nih.gov/sutils/blink.cgi?pid=31204215","6E-039")</f>
        <v>6E-039</v>
      </c>
      <c r="AE153" s="1" t="s">
        <v>313</v>
      </c>
      <c r="AF153" s="9" t="s">
        <v>10</v>
      </c>
      <c r="AG153" s="6" t="s">
        <v>511</v>
      </c>
      <c r="AH153" s="6" t="s">
        <v>511</v>
      </c>
      <c r="AI153" s="6" t="s">
        <v>260</v>
      </c>
      <c r="AJ153" s="6">
        <f>AJ152+1</f>
        <v>4</v>
      </c>
    </row>
    <row r="154" spans="1:36" ht="9.75">
      <c r="A154" t="str">
        <f>HYPERLINK("http://exon.niaid.nih.gov/transcriptome/An_gambiae_male_2006/ST1/links/AGM-contig_137.txt","AGM-contig_137")</f>
        <v>AGM-contig_137</v>
      </c>
      <c r="B154" s="1">
        <v>1</v>
      </c>
      <c r="C154" s="1">
        <v>898</v>
      </c>
      <c r="D154" s="1">
        <f>D153+B154</f>
        <v>6</v>
      </c>
      <c r="E154" s="1">
        <v>1.8</v>
      </c>
      <c r="F154" s="1">
        <v>59.9</v>
      </c>
      <c r="G154" s="1" t="s">
        <v>260</v>
      </c>
      <c r="H154" t="str">
        <f>HYPERLINK("http://exon.niaid.nih.gov/transcriptome/An_gambiae_male_2006/ST1/links/AGM-7-90-90-asb-137.txt","Contig-137")</f>
        <v>Contig-137</v>
      </c>
      <c r="I154" s="1">
        <v>137</v>
      </c>
      <c r="J154" t="str">
        <f>HYPERLINK("http://exon.niaid.nih.gov/transcriptome/An_gambiae_male_2006/ST1/links/AGM-7-90-90-137-CLU.txt","Contig137")</f>
        <v>Contig137</v>
      </c>
      <c r="K154" t="s">
        <v>590</v>
      </c>
      <c r="L154" s="2" t="str">
        <f>HYPERLINK("http://exon.niaid.nih.gov/transcriptome/An_gambiae_male_2006/ST1/links/AGM-contig_137-AGFRAG.txt","2R_Piece#1467")</f>
        <v>2R_Piece#1467</v>
      </c>
      <c r="M154" s="4">
        <v>3E-16</v>
      </c>
      <c r="N154" s="2" t="str">
        <f>HYPERLINK("http://exon.niaid.nih.gov/transcriptome/An_gambiae_male_2006/ST1/links/AGM-contig_137-AG3P.txt","ENSANGP00000029156")</f>
        <v>ENSANGP00000029156</v>
      </c>
      <c r="O154" s="1" t="str">
        <f>HYPERLINK("http://www.anobase.org/cgi-bin/uniexcel_new_var6.pl?proteinname=ENSANGP00000029156","1.E-15")</f>
        <v>1.E-15</v>
      </c>
      <c r="P154" s="2" t="str">
        <f>HYPERLINK("http://exon.niaid.nih.gov/transcriptome/An_gambiae_male_2006/ST1/links/AGM-contig_137-AG5P.txt","ENSANGP00000028100")</f>
        <v>ENSANGP00000028100</v>
      </c>
      <c r="Q154" s="4" t="str">
        <f>HYPERLINK("http://www.anobase.org/cgi-bin/uniexcel_new_var6.pl?proteinname=ENSANGP00000028100","1.E-15")</f>
        <v>1.E-15</v>
      </c>
      <c r="R154" s="2" t="str">
        <f>HYPERLINK("http://exon.niaid.nih.gov/transcriptome/An_gambiae_male_2006/ST1/links/AGM-contig_137-AGPROT.txt","ENSANGP00000025094")</f>
        <v>ENSANGP00000025094</v>
      </c>
      <c r="S154" s="1" t="str">
        <f>HYPERLINK("http://www.ensembl.org/Anopheles_gambiae/protview?peptide=ENSANGP00000025094","9E-007")</f>
        <v>9E-007</v>
      </c>
      <c r="T154" s="1" t="str">
        <f>HYPERLINK("http://www.anobase.org/cgi-bin/uniexcel_new_var6.pl?proteinname=ENSANGP00000025094","9E-007")</f>
        <v>9E-007</v>
      </c>
      <c r="AA154" s="2" t="str">
        <f>HYPERLINK("http://exon.niaid.nih.gov/transcriptome/An_gambiae_male_2006/ST1/links/AGM-contig_137-AGNUC.txt","AG-contig_812")</f>
        <v>AG-contig_812</v>
      </c>
      <c r="AB154" s="1">
        <v>8E-09</v>
      </c>
      <c r="AC154" s="2" t="str">
        <f>HYPERLINK("http://exon.niaid.nih.gov/transcriptome/An_gambiae_male_2006/ST1/links/AGM-contig_137-NR.txt","Hypothetical protein HHV6gp101 [Huma")</f>
        <v>Hypothetical protein HHV6gp101 [Huma</v>
      </c>
      <c r="AD154" s="1" t="str">
        <f>HYPERLINK("http://www.ncbi.nlm.nih.gov/sutils/blink.cgi?pid=9628390","2E-015")</f>
        <v>2E-015</v>
      </c>
      <c r="AE154" s="1" t="s">
        <v>314</v>
      </c>
      <c r="AF154" s="9" t="s">
        <v>757</v>
      </c>
      <c r="AG154" s="6" t="s">
        <v>511</v>
      </c>
      <c r="AH154" s="6" t="s">
        <v>511</v>
      </c>
      <c r="AJ154" s="6">
        <f>AJ153+1</f>
        <v>5</v>
      </c>
    </row>
    <row r="155" spans="1:36" ht="9.75">
      <c r="A155" t="str">
        <f>HYPERLINK("http://exon.niaid.nih.gov/transcriptome/An_gambiae_male_2006/ST1/links/AGM-contig_115.txt","AGM-contig_115")</f>
        <v>AGM-contig_115</v>
      </c>
      <c r="B155" s="1">
        <v>1</v>
      </c>
      <c r="C155" s="1">
        <v>864</v>
      </c>
      <c r="D155" s="1">
        <f>D154+B155</f>
        <v>7</v>
      </c>
      <c r="E155" s="1">
        <v>1.3</v>
      </c>
      <c r="F155" s="1">
        <v>54.7</v>
      </c>
      <c r="G155" s="1" t="s">
        <v>260</v>
      </c>
      <c r="H155" t="str">
        <f>HYPERLINK("http://exon.niaid.nih.gov/transcriptome/An_gambiae_male_2006/ST1/links/AGM-7-90-90-asb-115.txt","Contig-115")</f>
        <v>Contig-115</v>
      </c>
      <c r="I155" s="1">
        <v>115</v>
      </c>
      <c r="J155" t="str">
        <f>HYPERLINK("http://exon.niaid.nih.gov/transcriptome/An_gambiae_male_2006/ST1/links/AGM-7-90-90-115-CLU.txt","Contig115")</f>
        <v>Contig115</v>
      </c>
      <c r="K155" t="s">
        <v>568</v>
      </c>
      <c r="L155" s="2" t="str">
        <f>HYPERLINK("http://exon.niaid.nih.gov/transcriptome/An_gambiae_male_2006/ST1/links/AGM-contig_115-AGFRAG.txt","2R_Piece#1143")</f>
        <v>2R_Piece#1143</v>
      </c>
      <c r="M155" s="4">
        <v>2E-11</v>
      </c>
      <c r="N155" s="2" t="str">
        <f>HYPERLINK("http://exon.niaid.nih.gov/transcriptome/An_gambiae_male_2006/ST1/links/AGM-contig_115-AG3P.txt","ENSANGP00000004731")</f>
        <v>ENSANGP00000004731</v>
      </c>
      <c r="O155" s="1" t="str">
        <f>HYPERLINK("http://www.anobase.org/cgi-bin/uniexcel_new_var6.pl?proteinname=ENSANGP00000004731","6.E-11")</f>
        <v>6.E-11</v>
      </c>
      <c r="P155" s="2" t="str">
        <f>HYPERLINK("http://exon.niaid.nih.gov/transcriptome/An_gambiae_male_2006/ST1/links/AGM-contig_115-AG5P.txt","ENSANGP00000026236")</f>
        <v>ENSANGP00000026236</v>
      </c>
      <c r="Q155" s="4" t="str">
        <f>HYPERLINK("http://www.anobase.org/cgi-bin/uniexcel_new_var6.pl?proteinname=ENSANGP00000026236","6.E-11")</f>
        <v>6.E-11</v>
      </c>
      <c r="R155" s="2" t="str">
        <f>HYPERLINK("http://exon.niaid.nih.gov/transcriptome/An_gambiae_male_2006/ST1/links/AGM-contig_115-AGPROT.txt","ENSANGP00000024412")</f>
        <v>ENSANGP00000024412</v>
      </c>
      <c r="S155" s="1" t="str">
        <f>HYPERLINK("http://www.ensembl.org/Anopheles_gambiae/protview?peptide=ENSANGP00000024412","2E-006")</f>
        <v>2E-006</v>
      </c>
      <c r="T155" s="1" t="str">
        <f>HYPERLINK("http://www.anobase.org/cgi-bin/uniexcel_new_var6.pl?proteinname=ENSANGP00000024412","2E-006")</f>
        <v>2E-006</v>
      </c>
      <c r="AA155" s="2" t="str">
        <f>HYPERLINK("http://exon.niaid.nih.gov/transcriptome/An_gambiae_male_2006/ST1/links/AGM-contig_115-AGNUC.txt","AG-contig_382")</f>
        <v>AG-contig_382</v>
      </c>
      <c r="AB155" s="1">
        <v>5E-13</v>
      </c>
      <c r="AC155" s="2" t="str">
        <f>HYPERLINK("http://exon.niaid.nih.gov/transcriptome/An_gambiae_male_2006/ST1/links/AGM-contig_115-NR.txt","unnamed protein product [Homo sapiens]     53   9e-006")</f>
        <v>unnamed protein product [Homo sapiens]     53   9e-006</v>
      </c>
      <c r="AD155" s="1" t="str">
        <f>HYPERLINK("http://www.ncbi.nlm.nih.gov/sutils/blink.cgi?pid=34535151","9E-006")</f>
        <v>9E-006</v>
      </c>
      <c r="AE155" s="1" t="s">
        <v>314</v>
      </c>
      <c r="AF155" s="9" t="s">
        <v>122</v>
      </c>
      <c r="AG155" s="6" t="s">
        <v>459</v>
      </c>
      <c r="AH155" s="6" t="s">
        <v>511</v>
      </c>
      <c r="AJ155" s="6">
        <f>AJ154+1</f>
        <v>6</v>
      </c>
    </row>
    <row r="156" spans="1:36" ht="9.75">
      <c r="A156" t="str">
        <f>HYPERLINK("http://exon.niaid.nih.gov/transcriptome/An_gambiae_male_2006/ST1/links/AGM-contig_152.txt","AGM-contig_152")</f>
        <v>AGM-contig_152</v>
      </c>
      <c r="B156" s="1">
        <v>1</v>
      </c>
      <c r="C156" s="1">
        <v>661</v>
      </c>
      <c r="D156" s="1">
        <f>D155+B156</f>
        <v>8</v>
      </c>
      <c r="E156" s="1">
        <v>3.8</v>
      </c>
      <c r="F156" s="1">
        <v>57.9</v>
      </c>
      <c r="G156" s="1" t="s">
        <v>260</v>
      </c>
      <c r="H156" t="str">
        <f>HYPERLINK("http://exon.niaid.nih.gov/transcriptome/An_gambiae_male_2006/ST1/links/AGM-7-90-90-asb-152.txt","Contig-152")</f>
        <v>Contig-152</v>
      </c>
      <c r="I156" s="1">
        <v>152</v>
      </c>
      <c r="J156" t="str">
        <f>HYPERLINK("http://exon.niaid.nih.gov/transcriptome/An_gambiae_male_2006/ST1/links/AGM-7-90-90-152-CLU.txt","Contig152")</f>
        <v>Contig152</v>
      </c>
      <c r="K156" t="s">
        <v>605</v>
      </c>
      <c r="L156" s="2" t="str">
        <f>HYPERLINK("http://exon.niaid.nih.gov/transcriptome/An_gambiae_male_2006/ST1/links/AGM-contig_152-AGFRAG.txt","X_Piece#801")</f>
        <v>X_Piece#801</v>
      </c>
      <c r="M156" s="4">
        <v>3E-09</v>
      </c>
      <c r="P156" s="2" t="str">
        <f>HYPERLINK("http://exon.niaid.nih.gov/transcriptome/An_gambiae_male_2006/ST1/links/AGM-contig_152-AG5P.txt","ENSANGP00000005415")</f>
        <v>ENSANGP00000005415</v>
      </c>
      <c r="Q156" s="4" t="str">
        <f>HYPERLINK("http://www.anobase.org/cgi-bin/uniexcel_new_var6.pl?proteinname=ENSANGP00000005415","7.E-10")</f>
        <v>7.E-10</v>
      </c>
      <c r="R156" s="2" t="str">
        <f>HYPERLINK("http://exon.niaid.nih.gov/transcriptome/An_gambiae_male_2006/ST1/links/AGM-contig_152-AGPROT.txt","ENSANGP00000028742")</f>
        <v>ENSANGP00000028742</v>
      </c>
      <c r="S156" s="1" t="str">
        <f>HYPERLINK("http://www.ensembl.org/Anopheles_gambiae/protview?peptide=ENSANGP00000028742","0.82")</f>
        <v>0.82</v>
      </c>
      <c r="T156" s="1" t="str">
        <f>HYPERLINK("http://www.anobase.org/cgi-bin/uniexcel_new_var6.pl?proteinname=ENSANGP00000028742","0.82")</f>
        <v>0.82</v>
      </c>
      <c r="AC156" s="2" t="str">
        <f>HYPERLINK("http://exon.niaid.nih.gov/transcriptome/An_gambiae_male_2006/ST1/links/AGM-contig_152-NR.txt","vitellogenin 2 [Anguilla japonica]          43   0.007")</f>
        <v>vitellogenin 2 [Anguilla japonica]          43   0.007</v>
      </c>
      <c r="AD156" s="1" t="str">
        <f>HYPERLINK("http://www.ncbi.nlm.nih.gov/sutils/blink.cgi?pid=40217951","0.007")</f>
        <v>0.007</v>
      </c>
      <c r="AE156" s="1" t="s">
        <v>313</v>
      </c>
      <c r="AF156" s="9" t="s">
        <v>834</v>
      </c>
      <c r="AG156" s="6" t="s">
        <v>511</v>
      </c>
      <c r="AH156" s="6" t="s">
        <v>511</v>
      </c>
      <c r="AJ156" s="6">
        <f>AJ155+1</f>
        <v>7</v>
      </c>
    </row>
    <row r="157" spans="1:36" ht="9.75">
      <c r="A157" t="str">
        <f>HYPERLINK("http://exon.niaid.nih.gov/transcriptome/An_gambiae_male_2006/ST1/links/AGM-contig_109.txt","AGM-contig_109")</f>
        <v>AGM-contig_109</v>
      </c>
      <c r="B157" s="1">
        <v>1</v>
      </c>
      <c r="C157" s="1">
        <v>832</v>
      </c>
      <c r="D157" s="1">
        <f>D156+B157</f>
        <v>9</v>
      </c>
      <c r="E157" s="1">
        <v>1.3</v>
      </c>
      <c r="F157" s="1">
        <v>43.3</v>
      </c>
      <c r="G157" s="1">
        <v>545</v>
      </c>
      <c r="H157" t="str">
        <f>HYPERLINK("http://exon.niaid.nih.gov/transcriptome/An_gambiae_male_2006/ST1/links/AGM-7-90-90-asb-109.txt","Contig-109")</f>
        <v>Contig-109</v>
      </c>
      <c r="I157" s="1">
        <v>109</v>
      </c>
      <c r="J157" t="str">
        <f>HYPERLINK("http://exon.niaid.nih.gov/transcriptome/An_gambiae_male_2006/ST1/links/AGM-7-90-90-109-CLU.txt","Contig109")</f>
        <v>Contig109</v>
      </c>
      <c r="K157" t="s">
        <v>562</v>
      </c>
      <c r="L157" s="2" t="str">
        <f>HYPERLINK("http://exon.niaid.nih.gov/transcriptome/An_gambiae_male_2006/ST1/links/AGM-contig_109-AGFRAG.txt","2R_Piece#1563")</f>
        <v>2R_Piece#1563</v>
      </c>
      <c r="M157" s="4">
        <v>1E-12</v>
      </c>
      <c r="N157" s="2" t="str">
        <f>HYPERLINK("http://exon.niaid.nih.gov/transcriptome/An_gambiae_male_2006/ST1/links/AGM-contig_109-AG3P.txt","ENSANGP00000018651")</f>
        <v>ENSANGP00000018651</v>
      </c>
      <c r="O157" s="1" t="str">
        <f>HYPERLINK("http://www.anobase.org/cgi-bin/uniexcel_new_var6.pl?proteinname=ENSANGP00000018651","1.E-11")</f>
        <v>1.E-11</v>
      </c>
      <c r="P157" s="2" t="str">
        <f>HYPERLINK("http://exon.niaid.nih.gov/transcriptome/An_gambiae_male_2006/ST1/links/AGM-contig_109-AG5P.txt","ENSANGP00000017331")</f>
        <v>ENSANGP00000017331</v>
      </c>
      <c r="Q157" s="4" t="str">
        <f>HYPERLINK("http://www.anobase.org/cgi-bin/uniexcel_new_var6.pl?proteinname=ENSANGP00000017331","9.E-10")</f>
        <v>9.E-10</v>
      </c>
      <c r="R157" s="2" t="str">
        <f>HYPERLINK("http://exon.niaid.nih.gov/transcriptome/An_gambiae_male_2006/ST1/links/AGM-contig_109-AGPROT.txt","ENSANGP00000011728")</f>
        <v>ENSANGP00000011728</v>
      </c>
      <c r="S157" s="1" t="str">
        <f>HYPERLINK("http://www.ensembl.org/Anopheles_gambiae/protview?peptide=ENSANGP00000011728","4E-010")</f>
        <v>4E-010</v>
      </c>
      <c r="T157" s="1" t="str">
        <f>HYPERLINK("http://www.anobase.org/cgi-bin/uniexcel_new_var6.pl?proteinname=ENSANGP00000011728","4E-010")</f>
        <v>4E-010</v>
      </c>
      <c r="AA157" s="2" t="str">
        <f>HYPERLINK("http://exon.niaid.nih.gov/transcriptome/An_gambiae_male_2006/ST1/links/AGM-contig_109-AGNUC.txt","AG-contig_729")</f>
        <v>AG-contig_729</v>
      </c>
      <c r="AB157" s="1">
        <v>8E-09</v>
      </c>
      <c r="AC157" s="2" t="str">
        <f>HYPERLINK("http://exon.niaid.nih.gov/transcriptome/An_gambiae_male_2006/ST1/links/AGM-contig_109-NR.txt","unnamed protein product [Tetraodon n")</f>
        <v>unnamed protein product [Tetraodon n</v>
      </c>
      <c r="AD157" s="1" t="str">
        <f>HYPERLINK("http://www.ncbi.nlm.nih.gov/sutils/blink.cgi?pid=47226837","2E-013")</f>
        <v>2E-013</v>
      </c>
      <c r="AE157" s="1" t="s">
        <v>314</v>
      </c>
      <c r="AF157" s="9" t="s">
        <v>96</v>
      </c>
      <c r="AG157" s="6" t="s">
        <v>511</v>
      </c>
      <c r="AH157" s="6" t="s">
        <v>511</v>
      </c>
      <c r="AJ157" s="6">
        <f>AJ156+1</f>
        <v>8</v>
      </c>
    </row>
    <row r="158" spans="1:36" ht="9.75">
      <c r="A158" t="str">
        <f>HYPERLINK("http://exon.niaid.nih.gov/transcriptome/An_gambiae_male_2006/ST1/links/AGM-contig_299.txt","AGM-contig_299")</f>
        <v>AGM-contig_299</v>
      </c>
      <c r="B158" s="1">
        <v>1</v>
      </c>
      <c r="C158" s="1">
        <v>116</v>
      </c>
      <c r="D158" s="1">
        <f>D157+B158</f>
        <v>10</v>
      </c>
      <c r="E158" s="1">
        <v>2.6</v>
      </c>
      <c r="F158" s="1">
        <v>74.1</v>
      </c>
      <c r="G158" s="1">
        <v>56</v>
      </c>
      <c r="H158" t="str">
        <f>HYPERLINK("http://exon.niaid.nih.gov/transcriptome/An_gambiae_male_2006/ST1/links/AGM-7-90-90-asb-299.txt","Contig-299")</f>
        <v>Contig-299</v>
      </c>
      <c r="I158" s="1">
        <v>299</v>
      </c>
      <c r="J158" t="str">
        <f>HYPERLINK("http://exon.niaid.nih.gov/transcriptome/An_gambiae_male_2006/ST1/links/AGM-7-90-90-299-CLU.txt","Contig299")</f>
        <v>Contig299</v>
      </c>
      <c r="K158" t="s">
        <v>166</v>
      </c>
      <c r="L158" s="2" t="str">
        <f>HYPERLINK("http://exon.niaid.nih.gov/transcriptome/An_gambiae_male_2006/ST1/links/AGM-contig_299-AGFRAG.txt","3L_Piece#945")</f>
        <v>3L_Piece#945</v>
      </c>
      <c r="M158" s="4">
        <v>8E-09</v>
      </c>
      <c r="N158" s="2" t="str">
        <f>HYPERLINK("http://exon.niaid.nih.gov/transcriptome/An_gambiae_male_2006/ST1/links/AGM-contig_299-AG3P.txt","ENSANGP00000023979")</f>
        <v>ENSANGP00000023979</v>
      </c>
      <c r="O158" s="1" t="str">
        <f>HYPERLINK("http://www.anobase.org/cgi-bin/uniexcel_new_var6.pl?proteinname=ENSANGP00000023979","2.E-09")</f>
        <v>2.E-09</v>
      </c>
      <c r="P158" s="2" t="str">
        <f>HYPERLINK("http://exon.niaid.nih.gov/transcriptome/An_gambiae_male_2006/ST1/links/AGM-contig_299-AG5P.txt","ENSANGP00000029709")</f>
        <v>ENSANGP00000029709</v>
      </c>
      <c r="Q158" s="4" t="str">
        <f>HYPERLINK("http://www.anobase.org/cgi-bin/uniexcel_new_var6.pl?proteinname=ENSANGP00000029709","2.E-09")</f>
        <v>2.E-09</v>
      </c>
      <c r="AG158" s="6" t="s">
        <v>511</v>
      </c>
      <c r="AH158" s="6" t="s">
        <v>511</v>
      </c>
      <c r="AJ158" s="6">
        <f>AJ157+1</f>
        <v>9</v>
      </c>
    </row>
    <row r="159" spans="1:36" ht="9.75">
      <c r="A159" t="str">
        <f>HYPERLINK("http://exon.niaid.nih.gov/transcriptome/An_gambiae_male_2006/ST1/links/AGM-contig_131.txt","AGM-contig_131")</f>
        <v>AGM-contig_131</v>
      </c>
      <c r="B159" s="1">
        <v>1</v>
      </c>
      <c r="C159" s="1">
        <v>180</v>
      </c>
      <c r="D159" s="1">
        <f>D158+B159</f>
        <v>11</v>
      </c>
      <c r="E159" s="1">
        <v>6.1</v>
      </c>
      <c r="F159" s="1">
        <v>59.4</v>
      </c>
      <c r="G159" s="1" t="s">
        <v>260</v>
      </c>
      <c r="H159" t="str">
        <f>HYPERLINK("http://exon.niaid.nih.gov/transcriptome/An_gambiae_male_2006/ST1/links/AGM-7-90-90-asb-131.txt","Contig-131")</f>
        <v>Contig-131</v>
      </c>
      <c r="I159" s="1">
        <v>131</v>
      </c>
      <c r="J159" t="str">
        <f>HYPERLINK("http://exon.niaid.nih.gov/transcriptome/An_gambiae_male_2006/ST1/links/AGM-7-90-90-131-CLU.txt","Contig131")</f>
        <v>Contig131</v>
      </c>
      <c r="K159" t="s">
        <v>584</v>
      </c>
      <c r="L159" s="2" t="str">
        <f>HYPERLINK("http://exon.niaid.nih.gov/transcriptome/An_gambiae_male_2006/ST1/links/AGM-contig_131-AGFRAG.txt","2R_Piece#1467")</f>
        <v>2R_Piece#1467</v>
      </c>
      <c r="M159" s="4">
        <v>5E-11</v>
      </c>
      <c r="P159" s="2" t="str">
        <f>HYPERLINK("http://exon.niaid.nih.gov/transcriptome/An_gambiae_male_2006/ST1/links/AGM-contig_131-AG5P.txt","ENSANGP00000026761")</f>
        <v>ENSANGP00000026761</v>
      </c>
      <c r="Q159" s="4" t="str">
        <f>HYPERLINK("http://www.anobase.org/cgi-bin/uniexcel_new_var6.pl?proteinname=ENSANGP00000026761","3.E-09")</f>
        <v>3.E-09</v>
      </c>
      <c r="R159" s="2" t="str">
        <f>HYPERLINK("http://exon.niaid.nih.gov/transcriptome/An_gambiae_male_2006/ST1/links/AGM-contig_131-AGPROT.txt","ENSANGP00000025094")</f>
        <v>ENSANGP00000025094</v>
      </c>
      <c r="S159" s="1" t="str">
        <f>HYPERLINK("http://www.ensembl.org/Anopheles_gambiae/protview?peptide=ENSANGP00000025094","0.071")</f>
        <v>0.071</v>
      </c>
      <c r="T159" s="1" t="str">
        <f>HYPERLINK("http://www.anobase.org/cgi-bin/uniexcel_new_var6.pl?proteinname=ENSANGP00000025094","0.071")</f>
        <v>0.071</v>
      </c>
      <c r="AC159" s="2" t="str">
        <f>HYPERLINK("http://exon.niaid.nih.gov/transcriptome/An_gambiae_male_2006/ST1/links/AGM-contig_131-NR.txt","ENSANGP00000023986 [Anopheles gambiae]    40   0.012")</f>
        <v>ENSANGP00000023986 [Anopheles gambiae]    40   0.012</v>
      </c>
      <c r="AD159" s="1" t="str">
        <f>HYPERLINK("http://www.ncbi.nlm.nih.gov/sutils/blink.cgi?pid=31220453","0.012")</f>
        <v>0.012</v>
      </c>
      <c r="AE159" s="1" t="s">
        <v>313</v>
      </c>
      <c r="AF159" s="9" t="s">
        <v>837</v>
      </c>
      <c r="AG159" s="6" t="s">
        <v>511</v>
      </c>
      <c r="AH159" s="6" t="s">
        <v>511</v>
      </c>
      <c r="AJ159" s="6">
        <f>AJ158+1</f>
        <v>10</v>
      </c>
    </row>
    <row r="160" spans="1:36" ht="9.75">
      <c r="A160" t="str">
        <f>HYPERLINK("http://exon.niaid.nih.gov/transcriptome/An_gambiae_male_2006/ST1/links/AGM-contig_276.txt","AGM-contig_276")</f>
        <v>AGM-contig_276</v>
      </c>
      <c r="B160" s="1">
        <v>1</v>
      </c>
      <c r="C160" s="1">
        <v>191</v>
      </c>
      <c r="D160" s="1">
        <f>D159+B160</f>
        <v>12</v>
      </c>
      <c r="E160" s="1" t="s">
        <v>209</v>
      </c>
      <c r="F160" s="1">
        <v>68.6</v>
      </c>
      <c r="G160" s="1">
        <v>172</v>
      </c>
      <c r="H160" t="str">
        <f>HYPERLINK("http://exon.niaid.nih.gov/transcriptome/An_gambiae_male_2006/ST1/links/AGM-7-90-90-asb-276.txt","Contig-276")</f>
        <v>Contig-276</v>
      </c>
      <c r="I160" s="1">
        <v>276</v>
      </c>
      <c r="J160" t="str">
        <f>HYPERLINK("http://exon.niaid.nih.gov/transcriptome/An_gambiae_male_2006/ST1/links/AGM-7-90-90-276-CLU.txt","Contig276")</f>
        <v>Contig276</v>
      </c>
      <c r="K160" t="s">
        <v>729</v>
      </c>
      <c r="L160" s="2" t="str">
        <f>HYPERLINK("http://exon.niaid.nih.gov/transcriptome/An_gambiae_male_2006/ST1/links/AGM-contig_276-AGFRAG.txt","2L_Piece#1470")</f>
        <v>2L_Piece#1470</v>
      </c>
      <c r="M160" s="4">
        <v>8E-75</v>
      </c>
      <c r="N160" s="2" t="str">
        <f>HYPERLINK("http://exon.niaid.nih.gov/transcriptome/An_gambiae_male_2006/ST1/links/AGM-contig_276-AG3P.txt","ENSANGP00000021637")</f>
        <v>ENSANGP00000021637</v>
      </c>
      <c r="O160" s="1" t="str">
        <f>HYPERLINK("http://www.anobase.org/cgi-bin/uniexcel_new_var6.pl?proteinname=ENSANGP00000021637","2.E-75")</f>
        <v>2.E-75</v>
      </c>
      <c r="R160" s="2" t="str">
        <f>HYPERLINK("http://exon.niaid.nih.gov/transcriptome/An_gambiae_male_2006/ST1/links/AGM-contig_276-AGPROT.txt","ENSANGP00000001785")</f>
        <v>ENSANGP00000001785</v>
      </c>
      <c r="S160" s="1" t="str">
        <f>HYPERLINK("http://www.ensembl.org/Anopheles_gambiae/protview?peptide=ENSANGP00000001785","0.69")</f>
        <v>0.69</v>
      </c>
      <c r="T160" s="1" t="str">
        <f>HYPERLINK("http://www.anobase.org/cgi-bin/uniexcel_new_var6.pl?proteinname=ENSANGP00000001785","0.69")</f>
        <v>0.69</v>
      </c>
      <c r="AC160" s="2" t="str">
        <f>HYPERLINK("http://exon.niaid.nih.gov/transcriptome/An_gambiae_male_2006/ST1/links/AGM-contig_276-NR.txt","unknown protein [Arabidopsis thaliana")</f>
        <v>unknown protein [Arabidopsis thaliana</v>
      </c>
      <c r="AD160" s="1" t="str">
        <f>HYPERLINK("http://www.ncbi.nlm.nih.gov/sutils/blink.cgi?pid=20465303","6.7")</f>
        <v>6.7</v>
      </c>
      <c r="AE160" s="1" t="s">
        <v>314</v>
      </c>
      <c r="AF160" s="9" t="s">
        <v>333</v>
      </c>
      <c r="AG160" s="6" t="s">
        <v>511</v>
      </c>
      <c r="AH160" s="6" t="s">
        <v>511</v>
      </c>
      <c r="AI160" s="6" t="s">
        <v>417</v>
      </c>
      <c r="AJ160" s="6">
        <f>AJ159+1</f>
        <v>11</v>
      </c>
    </row>
    <row r="161" spans="1:36" ht="9.75">
      <c r="A161" t="str">
        <f>HYPERLINK("http://exon.niaid.nih.gov/transcriptome/An_gambiae_male_2006/ST1/links/AGM-contig_241.txt","AGM-contig_241")</f>
        <v>AGM-contig_241</v>
      </c>
      <c r="B161" s="1">
        <v>1</v>
      </c>
      <c r="C161" s="1">
        <v>160</v>
      </c>
      <c r="D161" s="1">
        <f>D160+B161</f>
        <v>13</v>
      </c>
      <c r="E161" s="1">
        <v>0.6</v>
      </c>
      <c r="F161" s="1">
        <v>70</v>
      </c>
      <c r="G161" s="1">
        <v>141</v>
      </c>
      <c r="H161" t="str">
        <f>HYPERLINK("http://exon.niaid.nih.gov/transcriptome/An_gambiae_male_2006/ST1/links/AGM-7-90-90-asb-241.txt","Contig-241")</f>
        <v>Contig-241</v>
      </c>
      <c r="I161" s="1">
        <v>241</v>
      </c>
      <c r="J161" t="str">
        <f>HYPERLINK("http://exon.niaid.nih.gov/transcriptome/An_gambiae_male_2006/ST1/links/AGM-7-90-90-241-CLU.txt","Contig241")</f>
        <v>Contig241</v>
      </c>
      <c r="K161" t="s">
        <v>694</v>
      </c>
      <c r="L161" s="2" t="str">
        <f>HYPERLINK("http://exon.niaid.nih.gov/transcriptome/An_gambiae_male_2006/ST1/links/AGM-contig_241-AGFRAG.txt","2L_Piece#1095")</f>
        <v>2L_Piece#1095</v>
      </c>
      <c r="M161" s="4">
        <v>9E-65</v>
      </c>
      <c r="N161" s="2" t="str">
        <f>HYPERLINK("http://exon.niaid.nih.gov/transcriptome/An_gambiae_male_2006/ST1/links/AGM-contig_241-AG3P.txt","ENSANGP00000017693")</f>
        <v>ENSANGP00000017693</v>
      </c>
      <c r="O161" s="1" t="str">
        <f>HYPERLINK("http://www.anobase.org/cgi-bin/uniexcel_new_var6.pl?proteinname=ENSANGP00000017693","2.E-65")</f>
        <v>2.E-65</v>
      </c>
      <c r="AG161" s="6" t="s">
        <v>511</v>
      </c>
      <c r="AH161" s="6" t="s">
        <v>511</v>
      </c>
      <c r="AI161" s="6" t="s">
        <v>417</v>
      </c>
      <c r="AJ161" s="6">
        <f>AJ160+1</f>
        <v>12</v>
      </c>
    </row>
    <row r="162" spans="1:36" ht="9.75">
      <c r="A162" t="str">
        <f>HYPERLINK("http://exon.niaid.nih.gov/transcriptome/An_gambiae_male_2006/ST1/links/AGM-contig_288.txt","AGM-contig_288")</f>
        <v>AGM-contig_288</v>
      </c>
      <c r="B162" s="1">
        <v>1</v>
      </c>
      <c r="C162" s="1">
        <v>244</v>
      </c>
      <c r="D162" s="1">
        <f>D161+B162</f>
        <v>14</v>
      </c>
      <c r="E162" s="1">
        <v>5.3</v>
      </c>
      <c r="F162" s="1">
        <v>67.6</v>
      </c>
      <c r="G162" s="1">
        <v>225</v>
      </c>
      <c r="H162" t="str">
        <f>HYPERLINK("http://exon.niaid.nih.gov/transcriptome/An_gambiae_male_2006/ST1/links/AGM-7-90-90-asb-288.txt","Contig-288")</f>
        <v>Contig-288</v>
      </c>
      <c r="I162" s="1">
        <v>288</v>
      </c>
      <c r="J162" t="str">
        <f>HYPERLINK("http://exon.niaid.nih.gov/transcriptome/An_gambiae_male_2006/ST1/links/AGM-7-90-90-288-CLU.txt","Contig288")</f>
        <v>Contig288</v>
      </c>
      <c r="K162" t="s">
        <v>155</v>
      </c>
      <c r="L162" s="2" t="str">
        <f>HYPERLINK("http://exon.niaid.nih.gov/transcriptome/An_gambiae_male_2006/ST1/links/AGM-contig_288-AGFRAG.txt","UNKN_Piece#313")</f>
        <v>UNKN_Piece#313</v>
      </c>
      <c r="M162" s="4">
        <v>3E-50</v>
      </c>
      <c r="N162" s="2" t="str">
        <f>HYPERLINK("http://exon.niaid.nih.gov/transcriptome/An_gambiae_male_2006/ST1/links/AGM-contig_288-AG3P.txt","ENSANGP00000018006")</f>
        <v>ENSANGP00000018006</v>
      </c>
      <c r="O162" s="1" t="str">
        <f>HYPERLINK("http://www.anobase.org/cgi-bin/uniexcel_new_var6.pl?proteinname=ENSANGP00000018006","6.E-51")</f>
        <v>6.E-51</v>
      </c>
      <c r="AG162" s="6" t="s">
        <v>511</v>
      </c>
      <c r="AH162" s="6" t="s">
        <v>511</v>
      </c>
      <c r="AJ162" s="6">
        <f>AJ161+1</f>
        <v>13</v>
      </c>
    </row>
    <row r="163" spans="1:36" ht="9.75">
      <c r="A163" t="str">
        <f>HYPERLINK("http://exon.niaid.nih.gov/transcriptome/An_gambiae_male_2006/ST1/links/AGM-contig_331.txt","AGM-contig_331")</f>
        <v>AGM-contig_331</v>
      </c>
      <c r="B163" s="1">
        <v>1</v>
      </c>
      <c r="C163" s="1">
        <v>185</v>
      </c>
      <c r="D163" s="1">
        <f>D162+B163</f>
        <v>15</v>
      </c>
      <c r="E163" s="1">
        <v>1.1</v>
      </c>
      <c r="F163" s="1">
        <v>71.9</v>
      </c>
      <c r="G163" s="1">
        <v>136</v>
      </c>
      <c r="H163" t="str">
        <f>HYPERLINK("http://exon.niaid.nih.gov/transcriptome/An_gambiae_male_2006/ST1/links/AGM-7-90-90-asb-331.txt","Contig-331")</f>
        <v>Contig-331</v>
      </c>
      <c r="I163" s="1">
        <v>331</v>
      </c>
      <c r="J163" t="str">
        <f>HYPERLINK("http://exon.niaid.nih.gov/transcriptome/An_gambiae_male_2006/ST1/links/AGM-7-90-90-331-CLU.txt","Contig331")</f>
        <v>Contig331</v>
      </c>
      <c r="K163" t="s">
        <v>198</v>
      </c>
      <c r="L163" s="2" t="str">
        <f>HYPERLINK("http://exon.niaid.nih.gov/transcriptome/An_gambiae_male_2006/ST1/links/AGM-contig_331-AGFRAG.txt","3L_Piece#576")</f>
        <v>3L_Piece#576</v>
      </c>
      <c r="M163" s="4">
        <v>5E-42</v>
      </c>
      <c r="N163" s="2" t="str">
        <f>HYPERLINK("http://exon.niaid.nih.gov/transcriptome/An_gambiae_male_2006/ST1/links/AGM-contig_331-AG3P.txt","ENSANGP00000003104")</f>
        <v>ENSANGP00000003104</v>
      </c>
      <c r="O163" s="1" t="str">
        <f>HYPERLINK("http://www.anobase.org/cgi-bin/uniexcel_new_var6.pl?proteinname=ENSANGP00000003104","1.E-42")</f>
        <v>1.E-42</v>
      </c>
      <c r="AG163" s="6" t="s">
        <v>511</v>
      </c>
      <c r="AH163" s="6" t="s">
        <v>511</v>
      </c>
      <c r="AJ163" s="6">
        <f>AJ162+1</f>
        <v>14</v>
      </c>
    </row>
    <row r="164" spans="1:36" ht="9.75">
      <c r="A164" t="str">
        <f>HYPERLINK("http://exon.niaid.nih.gov/transcriptome/An_gambiae_male_2006/ST1/links/AGM-contig_179.txt","AGM-contig_179")</f>
        <v>AGM-contig_179</v>
      </c>
      <c r="B164" s="1">
        <v>1</v>
      </c>
      <c r="C164" s="1">
        <v>128</v>
      </c>
      <c r="D164" s="1">
        <f>D163+B164</f>
        <v>16</v>
      </c>
      <c r="E164" s="1" t="s">
        <v>209</v>
      </c>
      <c r="F164" s="1">
        <v>83.6</v>
      </c>
      <c r="G164" s="1">
        <v>62</v>
      </c>
      <c r="H164" t="str">
        <f>HYPERLINK("http://exon.niaid.nih.gov/transcriptome/An_gambiae_male_2006/ST1/links/AGM-7-90-90-asb-179.txt","Contig-179")</f>
        <v>Contig-179</v>
      </c>
      <c r="I164" s="1">
        <v>179</v>
      </c>
      <c r="J164" t="str">
        <f>HYPERLINK("http://exon.niaid.nih.gov/transcriptome/An_gambiae_male_2006/ST1/links/AGM-7-90-90-179-CLU.txt","Contig179")</f>
        <v>Contig179</v>
      </c>
      <c r="K164" t="s">
        <v>632</v>
      </c>
      <c r="L164" s="2" t="str">
        <f>HYPERLINK("http://exon.niaid.nih.gov/transcriptome/An_gambiae_male_2006/ST1/links/AGM-contig_179-AGFRAG.txt","3R_Piece#1876")</f>
        <v>3R_Piece#1876</v>
      </c>
      <c r="M164" s="4">
        <v>1E-23</v>
      </c>
      <c r="N164" s="2" t="str">
        <f>HYPERLINK("http://exon.niaid.nih.gov/transcriptome/An_gambiae_male_2006/ST1/links/AGM-contig_179-AG3P.txt","ENSANGP00000025337")</f>
        <v>ENSANGP00000025337</v>
      </c>
      <c r="O164" s="1" t="str">
        <f>HYPERLINK("http://www.anobase.org/cgi-bin/uniexcel_new_var6.pl?proteinname=ENSANGP00000025337","2.E-24")</f>
        <v>2.E-24</v>
      </c>
      <c r="AG164" s="6" t="s">
        <v>511</v>
      </c>
      <c r="AH164" s="6" t="s">
        <v>511</v>
      </c>
      <c r="AJ164" s="6">
        <f>AJ163+1</f>
        <v>15</v>
      </c>
    </row>
    <row r="165" spans="1:36" ht="9.75">
      <c r="A165" t="str">
        <f>HYPERLINK("http://exon.niaid.nih.gov/transcriptome/An_gambiae_male_2006/ST1/links/AGM-contig_344.txt","AGM-contig_344")</f>
        <v>AGM-contig_344</v>
      </c>
      <c r="B165" s="1">
        <v>1</v>
      </c>
      <c r="C165" s="1">
        <v>150</v>
      </c>
      <c r="D165" s="1">
        <f>D164+B165</f>
        <v>17</v>
      </c>
      <c r="E165" s="1" t="s">
        <v>209</v>
      </c>
      <c r="F165" s="1">
        <v>60</v>
      </c>
      <c r="G165" s="1">
        <v>131</v>
      </c>
      <c r="H165" t="str">
        <f>HYPERLINK("http://exon.niaid.nih.gov/transcriptome/An_gambiae_male_2006/ST1/links/AGM-7-90-90-asb-344.txt","Contig-344")</f>
        <v>Contig-344</v>
      </c>
      <c r="I165" s="1">
        <v>344</v>
      </c>
      <c r="J165" t="str">
        <f>HYPERLINK("http://exon.niaid.nih.gov/transcriptome/An_gambiae_male_2006/ST1/links/AGM-7-90-90-344-CLU.txt","Contig344")</f>
        <v>Contig344</v>
      </c>
      <c r="K165" t="s">
        <v>284</v>
      </c>
      <c r="L165" s="2" t="str">
        <f>HYPERLINK("http://exon.niaid.nih.gov/transcriptome/An_gambiae_male_2006/ST1/links/AGM-contig_344-AGFRAG.txt","2L_Piece#1695")</f>
        <v>2L_Piece#1695</v>
      </c>
      <c r="M165" s="4">
        <v>5E-60</v>
      </c>
      <c r="R165" s="2" t="str">
        <f>HYPERLINK("http://exon.niaid.nih.gov/transcriptome/An_gambiae_male_2006/ST1/links/AGM-contig_344-AGPROT.txt","ENSANGP00000016510")</f>
        <v>ENSANGP00000016510</v>
      </c>
      <c r="S165" s="1" t="str">
        <f>HYPERLINK("http://www.ensembl.org/Anopheles_gambiae/protview?peptide=ENSANGP00000016510","1.2")</f>
        <v>1.2</v>
      </c>
      <c r="T165" s="1" t="str">
        <f>HYPERLINK("http://www.anobase.org/cgi-bin/uniexcel_new_var6.pl?proteinname=ENSANGP00000016510","1.2")</f>
        <v>1.2</v>
      </c>
      <c r="AA165" s="2" t="str">
        <f>HYPERLINK("http://exon.niaid.nih.gov/transcriptome/An_gambiae_male_2006/ST1/links/AGM-contig_344-AGNUC.txt","AG-contig_502")</f>
        <v>AG-contig_502</v>
      </c>
      <c r="AB165" s="1">
        <v>4E-65</v>
      </c>
      <c r="AC165" s="2" t="str">
        <f>HYPERLINK("http://exon.niaid.nih.gov/transcriptome/An_gambiae_male_2006/ST1/links/AGM-contig_344-NR.txt","super cysteine rich protein; SCRP [Hom")</f>
        <v>super cysteine rich protein; SCRP [Hom</v>
      </c>
      <c r="AD165" s="1" t="str">
        <f>HYPERLINK("http://www.ncbi.nlm.nih.gov/sutils/blink.cgi?pid=1480863","6E-006")</f>
        <v>6E-006</v>
      </c>
      <c r="AE165" s="1" t="s">
        <v>314</v>
      </c>
      <c r="AF165" s="9" t="s">
        <v>733</v>
      </c>
      <c r="AG165" s="6" t="s">
        <v>511</v>
      </c>
      <c r="AH165" s="6" t="s">
        <v>511</v>
      </c>
      <c r="AJ165" s="6">
        <f>AJ164+1</f>
        <v>16</v>
      </c>
    </row>
    <row r="166" spans="1:36" ht="9.75">
      <c r="A166" t="str">
        <f>HYPERLINK("http://exon.niaid.nih.gov/transcriptome/An_gambiae_male_2006/ST1/links/AGM-contig_136.txt","AGM-contig_136")</f>
        <v>AGM-contig_136</v>
      </c>
      <c r="B166" s="1">
        <v>1</v>
      </c>
      <c r="C166" s="1">
        <v>770</v>
      </c>
      <c r="D166" s="1">
        <f>D165+B166</f>
        <v>18</v>
      </c>
      <c r="E166" s="1">
        <v>2.1</v>
      </c>
      <c r="F166" s="1">
        <v>57.8</v>
      </c>
      <c r="G166" s="1" t="s">
        <v>260</v>
      </c>
      <c r="H166" t="str">
        <f>HYPERLINK("http://exon.niaid.nih.gov/transcriptome/An_gambiae_male_2006/ST1/links/AGM-7-90-90-asb-136.txt","Contig-136")</f>
        <v>Contig-136</v>
      </c>
      <c r="I166" s="1">
        <v>136</v>
      </c>
      <c r="J166" t="str">
        <f>HYPERLINK("http://exon.niaid.nih.gov/transcriptome/An_gambiae_male_2006/ST1/links/AGM-7-90-90-136-CLU.txt","Contig136")</f>
        <v>Contig136</v>
      </c>
      <c r="K166" t="s">
        <v>589</v>
      </c>
      <c r="L166" s="2" t="str">
        <f>HYPERLINK("http://exon.niaid.nih.gov/transcriptome/An_gambiae_male_2006/ST1/links/AGM-contig_136-AGFRAG.txt","UNKN_Piece#1945")</f>
        <v>UNKN_Piece#1945</v>
      </c>
      <c r="M166" s="4">
        <v>9E-10</v>
      </c>
      <c r="R166" s="2" t="str">
        <f>HYPERLINK("http://exon.niaid.nih.gov/transcriptome/An_gambiae_male_2006/ST1/links/AGM-contig_136-AGPROT.txt","ENSANGP00000027143")</f>
        <v>ENSANGP00000027143</v>
      </c>
      <c r="S166" s="1" t="str">
        <f>HYPERLINK("http://www.ensembl.org/Anopheles_gambiae/protview?peptide=ENSANGP00000027143","0.21")</f>
        <v>0.21</v>
      </c>
      <c r="T166" s="1" t="str">
        <f>HYPERLINK("http://www.anobase.org/cgi-bin/uniexcel_new_var6.pl?proteinname=ENSANGP00000027143","0.21")</f>
        <v>0.21</v>
      </c>
      <c r="AC166" s="2" t="str">
        <f>HYPERLINK("http://exon.niaid.nih.gov/transcriptome/An_gambiae_male_2006/ST1/links/AGM-contig_136-NR.txt","unnamed protein product [Homo sapiens]     45   0.002")</f>
        <v>unnamed protein product [Homo sapiens]     45   0.002</v>
      </c>
      <c r="AD166" s="1" t="str">
        <f>HYPERLINK("http://www.ncbi.nlm.nih.gov/sutils/blink.cgi?pid=34534585","0.002")</f>
        <v>0.002</v>
      </c>
      <c r="AE166" s="1" t="s">
        <v>313</v>
      </c>
      <c r="AF166" s="9" t="s">
        <v>453</v>
      </c>
      <c r="AG166" s="6" t="s">
        <v>511</v>
      </c>
      <c r="AH166" s="6" t="s">
        <v>511</v>
      </c>
      <c r="AJ166" s="6">
        <f>AJ165+1</f>
        <v>17</v>
      </c>
    </row>
    <row r="167" spans="1:36" ht="9.75">
      <c r="A167" t="str">
        <f>HYPERLINK("http://exon.niaid.nih.gov/transcriptome/An_gambiae_male_2006/ST1/links/AGM-contig_107.txt","AGM-contig_107")</f>
        <v>AGM-contig_107</v>
      </c>
      <c r="B167" s="1">
        <v>1</v>
      </c>
      <c r="C167" s="1">
        <v>503</v>
      </c>
      <c r="D167" s="1">
        <f>D166+B167</f>
        <v>19</v>
      </c>
      <c r="E167" s="1">
        <v>1.2</v>
      </c>
      <c r="F167" s="1">
        <v>44.9</v>
      </c>
      <c r="G167" s="1">
        <v>484</v>
      </c>
      <c r="H167" t="str">
        <f>HYPERLINK("http://exon.niaid.nih.gov/transcriptome/An_gambiae_male_2006/ST1/links/AGM-7-90-90-asb-107.txt","Contig-107")</f>
        <v>Contig-107</v>
      </c>
      <c r="I167" s="1">
        <v>107</v>
      </c>
      <c r="J167" t="str">
        <f>HYPERLINK("http://exon.niaid.nih.gov/transcriptome/An_gambiae_male_2006/ST1/links/AGM-7-90-90-107-CLU.txt","Contig107")</f>
        <v>Contig107</v>
      </c>
      <c r="K167" t="s">
        <v>560</v>
      </c>
      <c r="R167" s="2" t="str">
        <f>HYPERLINK("http://exon.niaid.nih.gov/transcriptome/An_gambiae_male_2006/ST1/links/AGM-contig_107-AGPROT.txt","ENSANGP00000010090")</f>
        <v>ENSANGP00000010090</v>
      </c>
      <c r="S167" s="1" t="str">
        <f>HYPERLINK("http://www.ensembl.org/Anopheles_gambiae/protview?peptide=ENSANGP00000010090","0.33")</f>
        <v>0.33</v>
      </c>
      <c r="T167" s="1" t="str">
        <f>HYPERLINK("http://www.anobase.org/cgi-bin/uniexcel_new_var6.pl?proteinname=ENSANGP00000010090","0.33")</f>
        <v>0.33</v>
      </c>
      <c r="AC167" s="2" t="str">
        <f>HYPERLINK("http://exon.niaid.nih.gov/transcriptome/An_gambiae_male_2006/ST1/links/AGM-contig_107-NR.txt","hypothetical protein [Neurospora cr")</f>
        <v>hypothetical protein [Neurospora cr</v>
      </c>
      <c r="AD167" s="1" t="str">
        <f>HYPERLINK("http://www.ncbi.nlm.nih.gov/sutils/blink.cgi?pid=32405898","0.001")</f>
        <v>0.001</v>
      </c>
      <c r="AE167" s="1" t="s">
        <v>313</v>
      </c>
      <c r="AF167" s="9" t="s">
        <v>437</v>
      </c>
      <c r="AG167" s="6" t="s">
        <v>511</v>
      </c>
      <c r="AH167" s="6" t="s">
        <v>511</v>
      </c>
      <c r="AJ167" s="6">
        <f>AJ166+1</f>
        <v>18</v>
      </c>
    </row>
    <row r="168" spans="1:36" ht="9.75">
      <c r="A168" t="str">
        <f>HYPERLINK("http://exon.niaid.nih.gov/transcriptome/An_gambiae_male_2006/ST1/links/AGM-contig_322.txt","AGM-contig_322")</f>
        <v>AGM-contig_322</v>
      </c>
      <c r="B168" s="1">
        <v>1</v>
      </c>
      <c r="C168" s="1">
        <v>150</v>
      </c>
      <c r="D168" s="1">
        <f>D167+B168</f>
        <v>20</v>
      </c>
      <c r="E168" s="1">
        <v>3.3</v>
      </c>
      <c r="F168" s="1">
        <v>50</v>
      </c>
      <c r="G168" s="1" t="s">
        <v>260</v>
      </c>
      <c r="H168" t="str">
        <f>HYPERLINK("http://exon.niaid.nih.gov/transcriptome/An_gambiae_male_2006/ST1/links/AGM-7-90-90-asb-322.txt","Contig-322")</f>
        <v>Contig-322</v>
      </c>
      <c r="I168" s="1">
        <v>322</v>
      </c>
      <c r="J168" t="str">
        <f>HYPERLINK("http://exon.niaid.nih.gov/transcriptome/An_gambiae_male_2006/ST1/links/AGM-7-90-90-322-CLU.txt","Contig322")</f>
        <v>Contig322</v>
      </c>
      <c r="K168" t="s">
        <v>189</v>
      </c>
      <c r="R168" s="2" t="str">
        <f>HYPERLINK("http://exon.niaid.nih.gov/transcriptome/An_gambiae_male_2006/ST1/links/AGM-contig_322-AGPROT.txt","ENSANGP00000026403")</f>
        <v>ENSANGP00000026403</v>
      </c>
      <c r="S168" s="1" t="str">
        <f>HYPERLINK("http://www.ensembl.org/Anopheles_gambiae/protview?peptide=ENSANGP00000026403","0.93")</f>
        <v>0.93</v>
      </c>
      <c r="T168" s="1" t="str">
        <f>HYPERLINK("http://www.anobase.org/cgi-bin/uniexcel_new_var6.pl?proteinname=ENSANGP00000026403","0.93")</f>
        <v>0.93</v>
      </c>
      <c r="AA168" s="2" t="str">
        <f>HYPERLINK("http://exon.niaid.nih.gov/transcriptome/An_gambiae_male_2006/ST1/links/AGM-contig_322-AGNUC.txt","AG-contig_23")</f>
        <v>AG-contig_23</v>
      </c>
      <c r="AB168" s="1">
        <v>3E-13</v>
      </c>
      <c r="AG168" s="6" t="s">
        <v>511</v>
      </c>
      <c r="AH168" s="6" t="s">
        <v>511</v>
      </c>
      <c r="AJ168" s="6">
        <f>AJ167+1</f>
        <v>19</v>
      </c>
    </row>
    <row r="169" spans="1:36" ht="9.75">
      <c r="A169" t="str">
        <f>HYPERLINK("http://exon.niaid.nih.gov/transcriptome/An_gambiae_male_2006/ST1/links/AGM-contig_259.txt","AGM-contig_259")</f>
        <v>AGM-contig_259</v>
      </c>
      <c r="B169" s="1">
        <v>1</v>
      </c>
      <c r="C169" s="1">
        <v>116</v>
      </c>
      <c r="D169" s="1">
        <f>D168+B169</f>
        <v>21</v>
      </c>
      <c r="E169" s="1">
        <v>5.2</v>
      </c>
      <c r="F169" s="1">
        <v>69</v>
      </c>
      <c r="G169" s="1">
        <v>21</v>
      </c>
      <c r="H169" t="str">
        <f>HYPERLINK("http://exon.niaid.nih.gov/transcriptome/An_gambiae_male_2006/ST1/links/AGM-7-90-90-asb-259.txt","Contig-259")</f>
        <v>Contig-259</v>
      </c>
      <c r="I169" s="1">
        <v>259</v>
      </c>
      <c r="J169" t="str">
        <f>HYPERLINK("http://exon.niaid.nih.gov/transcriptome/An_gambiae_male_2006/ST1/links/AGM-7-90-90-259-CLU.txt","Contig259")</f>
        <v>Contig259</v>
      </c>
      <c r="K169" t="s">
        <v>712</v>
      </c>
      <c r="AG169" s="6" t="s">
        <v>511</v>
      </c>
      <c r="AH169" s="6" t="s">
        <v>511</v>
      </c>
      <c r="AJ169" s="6">
        <f>AJ168+1</f>
        <v>20</v>
      </c>
    </row>
    <row r="170" spans="1:36" ht="9.75">
      <c r="A170" t="str">
        <f>HYPERLINK("http://exon.niaid.nih.gov/transcriptome/An_gambiae_male_2006/ST1/links/AGM-contig_138.txt","AGM-contig_138")</f>
        <v>AGM-contig_138</v>
      </c>
      <c r="B170" s="1">
        <v>1</v>
      </c>
      <c r="C170" s="1">
        <v>518</v>
      </c>
      <c r="D170" s="1">
        <f>D169+B170</f>
        <v>22</v>
      </c>
      <c r="E170" s="1">
        <v>3.1</v>
      </c>
      <c r="F170" s="1">
        <v>52.7</v>
      </c>
      <c r="G170" s="1" t="s">
        <v>260</v>
      </c>
      <c r="H170" t="str">
        <f>HYPERLINK("http://exon.niaid.nih.gov/transcriptome/An_gambiae_male_2006/ST1/links/AGM-7-90-90-asb-138.txt","Contig-138")</f>
        <v>Contig-138</v>
      </c>
      <c r="I170" s="1">
        <v>138</v>
      </c>
      <c r="J170" t="str">
        <f>HYPERLINK("http://exon.niaid.nih.gov/transcriptome/An_gambiae_male_2006/ST1/links/AGM-7-90-90-138-CLU.txt","Contig138")</f>
        <v>Contig138</v>
      </c>
      <c r="K170" t="s">
        <v>591</v>
      </c>
      <c r="R170" s="2" t="str">
        <f>HYPERLINK("http://exon.niaid.nih.gov/transcriptome/An_gambiae_male_2006/ST1/links/AGM-contig_138-AGPROT.txt","ENSANGP00000015892")</f>
        <v>ENSANGP00000015892</v>
      </c>
      <c r="S170" s="1" t="str">
        <f>HYPERLINK("http://www.ensembl.org/Anopheles_gambiae/protview?peptide=ENSANGP00000015892","2.7")</f>
        <v>2.7</v>
      </c>
      <c r="T170" s="1" t="str">
        <f>HYPERLINK("http://www.anobase.org/cgi-bin/uniexcel_new_var6.pl?proteinname=ENSANGP00000015892","2.7")</f>
        <v>2.7</v>
      </c>
      <c r="AC170" s="2" t="str">
        <f>HYPERLINK("http://exon.niaid.nih.gov/transcriptome/An_gambiae_male_2006/ST1/links/AGM-contig_138-NR.txt","hypothetical protein, unlikely [Tryp")</f>
        <v>hypothetical protein, unlikely [Tryp</v>
      </c>
      <c r="AD170" s="1" t="str">
        <f>HYPERLINK("http://www.ncbi.nlm.nih.gov/sutils/blink.cgi?pid=25992792","4.2")</f>
        <v>4.2</v>
      </c>
      <c r="AE170" s="1" t="s">
        <v>313</v>
      </c>
      <c r="AF170" s="9" t="s">
        <v>801</v>
      </c>
      <c r="AG170" s="6" t="s">
        <v>511</v>
      </c>
      <c r="AH170" s="6" t="s">
        <v>511</v>
      </c>
      <c r="AJ170" s="6">
        <f>AJ169+1</f>
        <v>21</v>
      </c>
    </row>
    <row r="171" spans="1:36" ht="9.75">
      <c r="A171" t="str">
        <f>HYPERLINK("http://exon.niaid.nih.gov/transcriptome/An_gambiae_male_2006/ST1/links/AGM-contig_260.txt","AGM-contig_260")</f>
        <v>AGM-contig_260</v>
      </c>
      <c r="B171" s="1">
        <v>1</v>
      </c>
      <c r="C171" s="1">
        <v>244</v>
      </c>
      <c r="D171" s="1">
        <f>D170+B171</f>
        <v>23</v>
      </c>
      <c r="E171" s="1" t="s">
        <v>209</v>
      </c>
      <c r="F171" s="1">
        <v>66</v>
      </c>
      <c r="G171" s="1">
        <v>225</v>
      </c>
      <c r="H171" t="str">
        <f>HYPERLINK("http://exon.niaid.nih.gov/transcriptome/An_gambiae_male_2006/ST1/links/AGM-7-90-90-asb-260.txt","Contig-260")</f>
        <v>Contig-260</v>
      </c>
      <c r="I171" s="1">
        <v>260</v>
      </c>
      <c r="J171" t="str">
        <f>HYPERLINK("http://exon.niaid.nih.gov/transcriptome/An_gambiae_male_2006/ST1/links/AGM-7-90-90-260-CLU.txt","Contig260")</f>
        <v>Contig260</v>
      </c>
      <c r="K171" t="s">
        <v>713</v>
      </c>
      <c r="L171" s="2" t="str">
        <f>HYPERLINK("http://exon.niaid.nih.gov/transcriptome/An_gambiae_male_2006/ST1/links/AGM-contig_260-AGFRAG.txt","2L_Piece#1872")</f>
        <v>2L_Piece#1872</v>
      </c>
      <c r="M171" s="4">
        <v>7E-45</v>
      </c>
      <c r="R171" s="2" t="str">
        <f>HYPERLINK("http://exon.niaid.nih.gov/transcriptome/An_gambiae_male_2006/ST1/links/AGM-contig_260-AGPROT.txt","ENSANGP00000023395")</f>
        <v>ENSANGP00000023395</v>
      </c>
      <c r="S171" s="1" t="str">
        <f>HYPERLINK("http://www.ensembl.org/Anopheles_gambiae/protview?peptide=ENSANGP00000023395","0.27")</f>
        <v>0.27</v>
      </c>
      <c r="T171" s="1" t="str">
        <f>HYPERLINK("http://www.anobase.org/cgi-bin/uniexcel_new_var6.pl?proteinname=ENSANGP00000023395","0.27")</f>
        <v>0.27</v>
      </c>
      <c r="AC171" s="2" t="str">
        <f>HYPERLINK("http://exon.niaid.nih.gov/transcriptome/An_gambiae_male_2006/ST1/links/AGM-contig_260-NR.txt","super cysteine rich protein; SCRP [Hom")</f>
        <v>super cysteine rich protein; SCRP [Hom</v>
      </c>
      <c r="AD171" s="1" t="str">
        <f>HYPERLINK("http://www.ncbi.nlm.nih.gov/sutils/blink.cgi?pid=1480863","3E-015")</f>
        <v>3E-015</v>
      </c>
      <c r="AE171" s="1" t="s">
        <v>314</v>
      </c>
      <c r="AF171" s="9" t="s">
        <v>111</v>
      </c>
      <c r="AG171" s="6" t="s">
        <v>511</v>
      </c>
      <c r="AH171" s="6" t="s">
        <v>511</v>
      </c>
      <c r="AI171" s="6" t="s">
        <v>417</v>
      </c>
      <c r="AJ171" s="6">
        <f>AJ170+1</f>
        <v>22</v>
      </c>
    </row>
    <row r="172" spans="1:36" ht="9.75">
      <c r="A172" t="str">
        <f>HYPERLINK("http://exon.niaid.nih.gov/transcriptome/An_gambiae_male_2006/ST1/links/AGM-contig_320.txt","AGM-contig_320")</f>
        <v>AGM-contig_320</v>
      </c>
      <c r="B172" s="1">
        <v>1</v>
      </c>
      <c r="C172" s="1">
        <v>106</v>
      </c>
      <c r="D172" s="1">
        <f>D171+B172</f>
        <v>24</v>
      </c>
      <c r="E172" s="1">
        <v>5.7</v>
      </c>
      <c r="F172" s="1">
        <v>67</v>
      </c>
      <c r="G172" s="1">
        <v>13</v>
      </c>
      <c r="H172" t="str">
        <f>HYPERLINK("http://exon.niaid.nih.gov/transcriptome/An_gambiae_male_2006/ST1/links/AGM-7-90-90-asb-320.txt","Contig-320")</f>
        <v>Contig-320</v>
      </c>
      <c r="I172" s="1">
        <v>320</v>
      </c>
      <c r="J172" t="str">
        <f>HYPERLINK("http://exon.niaid.nih.gov/transcriptome/An_gambiae_male_2006/ST1/links/AGM-7-90-90-320-CLU.txt","Contig320")</f>
        <v>Contig320</v>
      </c>
      <c r="K172" t="s">
        <v>187</v>
      </c>
      <c r="R172" s="2" t="str">
        <f>HYPERLINK("http://exon.niaid.nih.gov/transcriptome/An_gambiae_male_2006/ST1/links/AGM-contig_320-AGPROT.txt","ENSANGP00000004639")</f>
        <v>ENSANGP00000004639</v>
      </c>
      <c r="S172" s="1" t="str">
        <f>HYPERLINK("http://www.ensembl.org/Anopheles_gambiae/protview?peptide=ENSANGP00000004639","5.1")</f>
        <v>5.1</v>
      </c>
      <c r="T172" s="1" t="str">
        <f>HYPERLINK("http://www.anobase.org/cgi-bin/uniexcel_new_var6.pl?proteinname=ENSANGP00000004639","5.1")</f>
        <v>5.1</v>
      </c>
      <c r="AC172" s="2" t="str">
        <f>HYPERLINK("http://exon.niaid.nih.gov/transcriptome/An_gambiae_male_2006/ST1/links/AGM-contig_320-NR.txt","hypothetical protein [Arabidopsis tha")</f>
        <v>hypothetical protein [Arabidopsis tha</v>
      </c>
      <c r="AD172" s="1" t="str">
        <f>HYPERLINK("http://www.ncbi.nlm.nih.gov/sutils/blink.cgi?pid=12321183","5E-007")</f>
        <v>5E-007</v>
      </c>
      <c r="AE172" s="1" t="s">
        <v>313</v>
      </c>
      <c r="AF172" s="9" t="s">
        <v>320</v>
      </c>
      <c r="AG172" s="6" t="s">
        <v>511</v>
      </c>
      <c r="AH172" s="6" t="s">
        <v>511</v>
      </c>
      <c r="AJ172" s="6">
        <f>AJ171+1</f>
        <v>23</v>
      </c>
    </row>
    <row r="173" spans="1:36" ht="9.75">
      <c r="A173" t="str">
        <f>HYPERLINK("http://exon.niaid.nih.gov/transcriptome/An_gambiae_male_2006/ST1/links/AGM-contig_132.txt","AGM-contig_132")</f>
        <v>AGM-contig_132</v>
      </c>
      <c r="B173" s="1">
        <v>1</v>
      </c>
      <c r="C173" s="1">
        <v>507</v>
      </c>
      <c r="D173" s="1">
        <f>D172+B173</f>
        <v>25</v>
      </c>
      <c r="E173" s="1">
        <v>1.2</v>
      </c>
      <c r="F173" s="1">
        <v>49.5</v>
      </c>
      <c r="G173" s="1" t="s">
        <v>260</v>
      </c>
      <c r="H173" t="str">
        <f>HYPERLINK("http://exon.niaid.nih.gov/transcriptome/An_gambiae_male_2006/ST1/links/AGM-7-90-90-asb-132.txt","Contig-132")</f>
        <v>Contig-132</v>
      </c>
      <c r="I173" s="1">
        <v>132</v>
      </c>
      <c r="J173" t="str">
        <f>HYPERLINK("http://exon.niaid.nih.gov/transcriptome/An_gambiae_male_2006/ST1/links/AGM-7-90-90-132-CLU.txt","Contig132")</f>
        <v>Contig132</v>
      </c>
      <c r="K173" t="s">
        <v>585</v>
      </c>
      <c r="R173" s="2" t="str">
        <f>HYPERLINK("http://exon.niaid.nih.gov/transcriptome/An_gambiae_male_2006/ST1/links/AGM-contig_132-AGPROT.txt","ENSANGP00000005715")</f>
        <v>ENSANGP00000005715</v>
      </c>
      <c r="S173" s="1" t="str">
        <f>HYPERLINK("http://www.ensembl.org/Anopheles_gambiae/protview?peptide=ENSANGP00000005715","0.006")</f>
        <v>0.006</v>
      </c>
      <c r="T173" s="1" t="str">
        <f>HYPERLINK("http://www.anobase.org/cgi-bin/uniexcel_new_var6.pl?proteinname=ENSANGP00000005715","0.006")</f>
        <v>0.006</v>
      </c>
      <c r="AC173" s="2" t="str">
        <f>HYPERLINK("http://exon.niaid.nih.gov/transcriptome/An_gambiae_male_2006/ST1/links/AGM-contig_132-NR.txt","GA14093-PA [Drosophila pseudoobscura]       40   0.024")</f>
        <v>GA14093-PA [Drosophila pseudoobscura]       40   0.024</v>
      </c>
      <c r="AD173" s="1" t="str">
        <f>HYPERLINK("http://www.ncbi.nlm.nih.gov/sutils/blink.cgi?pid=54641351","0.024")</f>
        <v>0.024</v>
      </c>
      <c r="AE173" s="1" t="s">
        <v>313</v>
      </c>
      <c r="AF173" s="9" t="s">
        <v>476</v>
      </c>
      <c r="AG173" s="6" t="s">
        <v>511</v>
      </c>
      <c r="AH173" s="6" t="s">
        <v>511</v>
      </c>
      <c r="AJ173" s="6">
        <f>AJ172+1</f>
        <v>24</v>
      </c>
    </row>
    <row r="174" spans="1:36" ht="9.75">
      <c r="A174" t="str">
        <f>HYPERLINK("http://exon.niaid.nih.gov/transcriptome/An_gambiae_male_2006/ST1/links/AGM-contig_133.txt","AGM-contig_133")</f>
        <v>AGM-contig_133</v>
      </c>
      <c r="B174" s="1">
        <v>1</v>
      </c>
      <c r="C174" s="1">
        <v>827</v>
      </c>
      <c r="D174" s="1">
        <f>D173+B174</f>
        <v>26</v>
      </c>
      <c r="E174" s="1">
        <v>4.4</v>
      </c>
      <c r="F174" s="1">
        <v>50.4</v>
      </c>
      <c r="G174" s="1" t="s">
        <v>260</v>
      </c>
      <c r="H174" t="str">
        <f>HYPERLINK("http://exon.niaid.nih.gov/transcriptome/An_gambiae_male_2006/ST1/links/AGM-7-90-90-asb-133.txt","Contig-133")</f>
        <v>Contig-133</v>
      </c>
      <c r="I174" s="1">
        <v>133</v>
      </c>
      <c r="J174" t="str">
        <f>HYPERLINK("http://exon.niaid.nih.gov/transcriptome/An_gambiae_male_2006/ST1/links/AGM-7-90-90-133-CLU.txt","Contig133")</f>
        <v>Contig133</v>
      </c>
      <c r="K174" t="s">
        <v>586</v>
      </c>
      <c r="R174" s="2" t="str">
        <f>HYPERLINK("http://exon.niaid.nih.gov/transcriptome/An_gambiae_male_2006/ST1/links/AGM-contig_133-AGPROT.txt","ENSANGP00000005715")</f>
        <v>ENSANGP00000005715</v>
      </c>
      <c r="S174" s="1" t="str">
        <f>HYPERLINK("http://www.ensembl.org/Anopheles_gambiae/protview?peptide=ENSANGP00000005715","5E-008")</f>
        <v>5E-008</v>
      </c>
      <c r="T174" s="1" t="str">
        <f>HYPERLINK("http://www.anobase.org/cgi-bin/uniexcel_new_var6.pl?proteinname=ENSANGP00000005715","5E-008")</f>
        <v>5E-008</v>
      </c>
      <c r="AC174" s="2" t="str">
        <f>HYPERLINK("http://exon.niaid.nih.gov/transcriptome/An_gambiae_male_2006/ST1/links/AGM-contig_133-NR.txt","hypothetical protein PJS6w0100380")</f>
        <v>hypothetical protein PJS6w0100380</v>
      </c>
      <c r="AD174" s="1" t="str">
        <f>HYPERLINK("http://www.ncbi.nlm.nih.gov/sutils/blink.cgi?pid=54029620","5E-024")</f>
        <v>5E-024</v>
      </c>
      <c r="AE174" s="1" t="s">
        <v>314</v>
      </c>
      <c r="AF174" s="9" t="s">
        <v>88</v>
      </c>
      <c r="AG174" s="6" t="s">
        <v>511</v>
      </c>
      <c r="AH174" s="6" t="s">
        <v>511</v>
      </c>
      <c r="AJ174" s="6">
        <f>AJ173+1</f>
        <v>25</v>
      </c>
    </row>
    <row r="175" spans="1:36" ht="9.75">
      <c r="A175" t="str">
        <f>HYPERLINK("http://exon.niaid.nih.gov/transcriptome/An_gambiae_male_2006/ST1/links/AGM-contig_145.txt","AGM-contig_145")</f>
        <v>AGM-contig_145</v>
      </c>
      <c r="B175" s="1">
        <v>1</v>
      </c>
      <c r="C175" s="1">
        <v>1353</v>
      </c>
      <c r="D175" s="1">
        <f>D174+B175</f>
        <v>27</v>
      </c>
      <c r="E175" s="1">
        <v>1</v>
      </c>
      <c r="F175" s="1">
        <v>55.3</v>
      </c>
      <c r="G175" s="1" t="s">
        <v>260</v>
      </c>
      <c r="H175" t="str">
        <f>HYPERLINK("http://exon.niaid.nih.gov/transcriptome/An_gambiae_male_2006/ST1/links/AGM-7-90-90-asb-145.txt","Contig-145")</f>
        <v>Contig-145</v>
      </c>
      <c r="I175" s="1">
        <v>145</v>
      </c>
      <c r="J175" t="str">
        <f>HYPERLINK("http://exon.niaid.nih.gov/transcriptome/An_gambiae_male_2006/ST1/links/AGM-7-90-90-145-CLU.txt","Contig145")</f>
        <v>Contig145</v>
      </c>
      <c r="K175" t="s">
        <v>598</v>
      </c>
      <c r="R175" s="2" t="str">
        <f>HYPERLINK("http://exon.niaid.nih.gov/transcriptome/An_gambiae_male_2006/ST1/links/AGM-contig_145-AGPROT.txt","ENSANGP00000022230")</f>
        <v>ENSANGP00000022230</v>
      </c>
      <c r="S175" s="1" t="str">
        <f>HYPERLINK("http://www.ensembl.org/Anopheles_gambiae/protview?peptide=ENSANGP00000022230","2E-005")</f>
        <v>2E-005</v>
      </c>
      <c r="T175" s="1" t="str">
        <f>HYPERLINK("http://www.anobase.org/cgi-bin/uniexcel_new_var6.pl?proteinname=ENSANGP00000022230","2E-005")</f>
        <v>2E-005</v>
      </c>
      <c r="AC175" s="2" t="str">
        <f>HYPERLINK("http://exon.niaid.nih.gov/transcriptome/An_gambiae_male_2006/ST1/links/AGM-contig_145-NR.txt","pherophorin-dz1 protein [Volvox cart")</f>
        <v>pherophorin-dz1 protein [Volvox cart</v>
      </c>
      <c r="AD175" s="1" t="str">
        <f>HYPERLINK("http://www.ncbi.nlm.nih.gov/sutils/blink.cgi?pid=21322711","0.0")</f>
        <v>0.0</v>
      </c>
      <c r="AE175" s="1" t="s">
        <v>313</v>
      </c>
      <c r="AF175" s="9" t="s">
        <v>19</v>
      </c>
      <c r="AG175" s="6" t="s">
        <v>511</v>
      </c>
      <c r="AH175" s="6" t="s">
        <v>511</v>
      </c>
      <c r="AJ175" s="6">
        <f>AJ174+1</f>
        <v>26</v>
      </c>
    </row>
    <row r="176" spans="1:36" ht="9.75">
      <c r="A176" t="str">
        <f>HYPERLINK("http://exon.niaid.nih.gov/transcriptome/An_gambiae_male_2006/ST1/links/AGM-contig_64.txt","AGM-contig_64")</f>
        <v>AGM-contig_64</v>
      </c>
      <c r="B176" s="1">
        <v>2</v>
      </c>
      <c r="C176" s="1">
        <v>247</v>
      </c>
      <c r="D176" s="1">
        <f>D175+B176</f>
        <v>29</v>
      </c>
      <c r="E176" s="1" t="s">
        <v>209</v>
      </c>
      <c r="F176" s="1">
        <v>67.2</v>
      </c>
      <c r="G176" s="1">
        <v>228</v>
      </c>
      <c r="H176" t="str">
        <f>HYPERLINK("http://exon.niaid.nih.gov/transcriptome/An_gambiae_male_2006/ST1/links/AGM-7-90-90-asb-64.txt","Contig-64")</f>
        <v>Contig-64</v>
      </c>
      <c r="I176" s="1">
        <v>64</v>
      </c>
      <c r="J176" t="str">
        <f>HYPERLINK("http://exon.niaid.nih.gov/transcriptome/An_gambiae_male_2006/ST1/links/AGM-7-90-90-64-CLU.txt","Contig64")</f>
        <v>Contig64</v>
      </c>
      <c r="K176" t="s">
        <v>517</v>
      </c>
      <c r="L176" s="2" t="str">
        <f>HYPERLINK("http://exon.niaid.nih.gov/transcriptome/An_gambiae_male_2006/ST1/links/AGM-contig_64-AGFRAG.txt","3L_Piece#511")</f>
        <v>3L_Piece#511</v>
      </c>
      <c r="M176" s="4">
        <v>1E-46</v>
      </c>
      <c r="N176" s="2" t="str">
        <f>HYPERLINK("http://exon.niaid.nih.gov/transcriptome/An_gambiae_male_2006/ST1/links/AGM-contig_64-AG3P.txt","ENSANGP00000028312")</f>
        <v>ENSANGP00000028312</v>
      </c>
      <c r="O176" s="1" t="str">
        <f>HYPERLINK("http://www.anobase.org/cgi-bin/uniexcel_new_var6.pl?proteinname=ENSANGP00000028312","2.E-47")</f>
        <v>2.E-47</v>
      </c>
      <c r="P176" s="2" t="str">
        <f>HYPERLINK("http://exon.niaid.nih.gov/transcriptome/An_gambiae_male_2006/ST1/links/AGM-contig_64-AG5P.txt","ENSANGP00000010906")</f>
        <v>ENSANGP00000010906</v>
      </c>
      <c r="Q176" s="4" t="str">
        <f>HYPERLINK("http://www.anobase.org/cgi-bin/uniexcel_new_var6.pl?proteinname=ENSANGP00000010906","1.E-36")</f>
        <v>1.E-36</v>
      </c>
      <c r="R176" s="2" t="str">
        <f>HYPERLINK("http://exon.niaid.nih.gov/transcriptome/An_gambiae_male_2006/ST1/links/AGM-contig_64-AGPROT.txt","ENSANGP00000025094")</f>
        <v>ENSANGP00000025094</v>
      </c>
      <c r="S176" s="1" t="str">
        <f>HYPERLINK("http://www.ensembl.org/Anopheles_gambiae/protview?peptide=ENSANGP00000025094","2E-011")</f>
        <v>2E-011</v>
      </c>
      <c r="T176" s="1" t="str">
        <f>HYPERLINK("http://www.anobase.org/cgi-bin/uniexcel_new_var6.pl?proteinname=ENSANGP00000025094","2E-011")</f>
        <v>2E-011</v>
      </c>
      <c r="U176" s="2" t="str">
        <f>HYPERLINK("http://exon.niaid.nih.gov/transcriptome/An_gambiae_male_2006/ST1/links/AGCDS/AGM-contig_64-AGCDS.txt","ENSANGT00000025119")</f>
        <v>ENSANGT00000025119</v>
      </c>
      <c r="V176" s="1">
        <v>2E-29</v>
      </c>
      <c r="AA176" s="2" t="str">
        <f>HYPERLINK("http://exon.niaid.nih.gov/transcriptome/An_gambiae_male_2006/ST1/links/AGM-contig_64-AGNUC.txt","AG-contig_718")</f>
        <v>AG-contig_718</v>
      </c>
      <c r="AB176" s="1">
        <v>2E-31</v>
      </c>
      <c r="AC176" s="2" t="str">
        <f>HYPERLINK("http://exon.niaid.nih.gov/transcriptome/An_gambiae_male_2006/ST1/links/AGM-contig_64-NR.txt","unnamed protein product [Tetraodon n")</f>
        <v>unnamed protein product [Tetraodon n</v>
      </c>
      <c r="AD176" s="1" t="str">
        <f>HYPERLINK("http://www.ncbi.nlm.nih.gov/sutils/blink.cgi?pid=47209044","9E-039")</f>
        <v>9E-039</v>
      </c>
      <c r="AE176" s="1" t="s">
        <v>314</v>
      </c>
      <c r="AF176" s="9" t="s">
        <v>760</v>
      </c>
      <c r="AG176" s="6" t="s">
        <v>511</v>
      </c>
      <c r="AH176" s="6" t="s">
        <v>511</v>
      </c>
      <c r="AJ176" s="6">
        <f>AJ175+1</f>
        <v>27</v>
      </c>
    </row>
    <row r="177" spans="1:36" ht="9.75">
      <c r="A177" t="str">
        <f>HYPERLINK("http://exon.niaid.nih.gov/transcriptome/An_gambiae_male_2006/ST1/links/AGM-contig_123.txt","AGM-contig_123")</f>
        <v>AGM-contig_123</v>
      </c>
      <c r="B177" s="1">
        <v>1</v>
      </c>
      <c r="C177" s="1">
        <v>547</v>
      </c>
      <c r="D177" s="1">
        <f>D176+B177</f>
        <v>30</v>
      </c>
      <c r="E177" s="1">
        <v>0.4</v>
      </c>
      <c r="F177" s="1">
        <v>57</v>
      </c>
      <c r="G177" s="1">
        <v>27</v>
      </c>
      <c r="H177" t="str">
        <f>HYPERLINK("http://exon.niaid.nih.gov/transcriptome/An_gambiae_male_2006/ST1/links/AGM-7-90-90-asb-123.txt","Contig-123")</f>
        <v>Contig-123</v>
      </c>
      <c r="I177" s="1">
        <v>123</v>
      </c>
      <c r="J177" t="str">
        <f>HYPERLINK("http://exon.niaid.nih.gov/transcriptome/An_gambiae_male_2006/ST1/links/AGM-7-90-90-123-CLU.txt","Contig123")</f>
        <v>Contig123</v>
      </c>
      <c r="K177" t="s">
        <v>576</v>
      </c>
      <c r="L177" s="2" t="str">
        <f>HYPERLINK("http://exon.niaid.nih.gov/transcriptome/An_gambiae_male_2006/ST1/links/AGM-contig_123-AGFRAG.txt","3R_Piece#1287")</f>
        <v>3R_Piece#1287</v>
      </c>
      <c r="M177" s="4">
        <v>1E-11</v>
      </c>
      <c r="N177" s="2" t="str">
        <f>HYPERLINK("http://exon.niaid.nih.gov/transcriptome/An_gambiae_male_2006/ST1/links/AGM-contig_123-AG3P.txt","ENSANGP00000019600")</f>
        <v>ENSANGP00000019600</v>
      </c>
      <c r="O177" s="1" t="str">
        <f>HYPERLINK("http://www.anobase.org/cgi-bin/uniexcel_new_var6.pl?proteinname=ENSANGP00000019600","6.E-10")</f>
        <v>6.E-10</v>
      </c>
      <c r="P177" s="2" t="str">
        <f>HYPERLINK("http://exon.niaid.nih.gov/transcriptome/An_gambiae_male_2006/ST1/links/AGM-contig_123-AG5P.txt","ENSANGP00000014353")</f>
        <v>ENSANGP00000014353</v>
      </c>
      <c r="Q177" s="4" t="str">
        <f>HYPERLINK("http://www.anobase.org/cgi-bin/uniexcel_new_var6.pl?proteinname=ENSANGP00000014353","9.E-12")</f>
        <v>9.E-12</v>
      </c>
      <c r="R177" s="2" t="str">
        <f>HYPERLINK("http://exon.niaid.nih.gov/transcriptome/An_gambiae_male_2006/ST1/links/AGM-contig_123-AGPROT.txt","ENSANGP00000028399")</f>
        <v>ENSANGP00000028399</v>
      </c>
      <c r="S177" s="1" t="str">
        <f>HYPERLINK("http://www.ensembl.org/Anopheles_gambiae/protview?peptide=ENSANGP00000028399","1E-007")</f>
        <v>1E-007</v>
      </c>
      <c r="T177" s="1" t="str">
        <f>HYPERLINK("http://www.anobase.org/cgi-bin/uniexcel_new_var6.pl?proteinname=ENSANGP00000028399","1E-007")</f>
        <v>1E-007</v>
      </c>
      <c r="AA177" s="2" t="str">
        <f>HYPERLINK("http://exon.niaid.nih.gov/transcriptome/An_gambiae_male_2006/ST1/links/AGM-contig_123-AGNUC.txt","AG-contig_729")</f>
        <v>AG-contig_729</v>
      </c>
      <c r="AB177" s="1">
        <v>2E-08</v>
      </c>
      <c r="AC177" s="2" t="str">
        <f>HYPERLINK("http://exon.niaid.nih.gov/transcriptome/An_gambiae_male_2006/ST1/links/AGM-contig_123-NR.txt","Unknown (protein for IMAGE:5078020) [")</f>
        <v>Unknown (protein for IMAGE:5078020) [</v>
      </c>
      <c r="AD177" s="1" t="str">
        <f>HYPERLINK("http://www.ncbi.nlm.nih.gov/sutils/blink.cgi?pid=54038076","1E-008")</f>
        <v>1E-008</v>
      </c>
      <c r="AE177" s="1" t="s">
        <v>314</v>
      </c>
      <c r="AF177" s="9" t="s">
        <v>107</v>
      </c>
      <c r="AG177" s="6" t="s">
        <v>459</v>
      </c>
      <c r="AH177" s="6" t="s">
        <v>511</v>
      </c>
      <c r="AJ177" s="6">
        <f>AJ176+1</f>
        <v>28</v>
      </c>
    </row>
    <row r="178" spans="1:36" ht="9.75">
      <c r="A178" t="str">
        <f>HYPERLINK("http://exon.niaid.nih.gov/transcriptome/An_gambiae_male_2006/ST1/links/AGM-contig_140.txt","AGM-contig_140")</f>
        <v>AGM-contig_140</v>
      </c>
      <c r="B178" s="1">
        <v>1</v>
      </c>
      <c r="C178" s="1">
        <v>795</v>
      </c>
      <c r="D178" s="1">
        <f>D177+B178</f>
        <v>31</v>
      </c>
      <c r="E178" s="1">
        <v>0.6</v>
      </c>
      <c r="F178" s="1">
        <v>57.6</v>
      </c>
      <c r="G178" s="1" t="s">
        <v>260</v>
      </c>
      <c r="H178" t="str">
        <f>HYPERLINK("http://exon.niaid.nih.gov/transcriptome/An_gambiae_male_2006/ST1/links/AGM-7-90-90-asb-140.txt","Contig-140")</f>
        <v>Contig-140</v>
      </c>
      <c r="I178" s="1">
        <v>140</v>
      </c>
      <c r="J178" t="str">
        <f>HYPERLINK("http://exon.niaid.nih.gov/transcriptome/An_gambiae_male_2006/ST1/links/AGM-7-90-90-140-CLU.txt","Contig140")</f>
        <v>Contig140</v>
      </c>
      <c r="K178" t="s">
        <v>593</v>
      </c>
      <c r="L178" s="2" t="str">
        <f>HYPERLINK("http://exon.niaid.nih.gov/transcriptome/An_gambiae_male_2006/ST1/links/AGM-contig_140-AGFRAG.txt","2L_Piece#522")</f>
        <v>2L_Piece#522</v>
      </c>
      <c r="M178" s="4">
        <v>1E-09</v>
      </c>
      <c r="P178" s="2" t="str">
        <f>HYPERLINK("http://exon.niaid.nih.gov/transcriptome/An_gambiae_male_2006/ST1/links/AGM-contig_140-AG5P.txt","ENSANGP00000019646")</f>
        <v>ENSANGP00000019646</v>
      </c>
      <c r="Q178" s="4" t="str">
        <f>HYPERLINK("http://www.anobase.org/cgi-bin/uniexcel_new_var6.pl?proteinname=ENSANGP00000019646","2.E-10")</f>
        <v>2.E-10</v>
      </c>
      <c r="R178" s="2" t="str">
        <f>HYPERLINK("http://exon.niaid.nih.gov/transcriptome/An_gambiae_male_2006/ST1/links/AGM-contig_140-AGPROT.txt","ENSANGP00000011728")</f>
        <v>ENSANGP00000011728</v>
      </c>
      <c r="S178" s="1" t="str">
        <f>HYPERLINK("http://www.ensembl.org/Anopheles_gambiae/protview?peptide=ENSANGP00000011728","2E-007")</f>
        <v>2E-007</v>
      </c>
      <c r="T178" s="1" t="str">
        <f>HYPERLINK("http://www.anobase.org/cgi-bin/uniexcel_new_var6.pl?proteinname=ENSANGP00000011728","2E-007")</f>
        <v>2E-007</v>
      </c>
      <c r="AC178" s="2" t="str">
        <f>HYPERLINK("http://exon.niaid.nih.gov/transcriptome/An_gambiae_male_2006/ST1/links/AGM-contig_140-NR.txt","open reading frame (251 AA) [Mus muscu")</f>
        <v>open reading frame (251 AA) [Mus muscu</v>
      </c>
      <c r="AD178" s="1" t="str">
        <f>HYPERLINK("http://www.ncbi.nlm.nih.gov/sutils/blink.cgi?pid=220578","1E-007")</f>
        <v>1E-007</v>
      </c>
      <c r="AE178" s="1" t="s">
        <v>313</v>
      </c>
      <c r="AF178" s="9" t="s">
        <v>317</v>
      </c>
      <c r="AG178" s="6" t="s">
        <v>511</v>
      </c>
      <c r="AH178" s="6" t="s">
        <v>511</v>
      </c>
      <c r="AJ178" s="6">
        <f>AJ177+1</f>
        <v>29</v>
      </c>
    </row>
    <row r="179" spans="1:36" ht="9.75">
      <c r="A179" t="str">
        <f>HYPERLINK("http://exon.niaid.nih.gov/transcriptome/An_gambiae_male_2006/ST1/links/AGM-contig_47.txt","AGM-contig_47")</f>
        <v>AGM-contig_47</v>
      </c>
      <c r="B179" s="1">
        <v>1</v>
      </c>
      <c r="C179" s="1">
        <v>644</v>
      </c>
      <c r="D179" s="1">
        <f>D178+B179</f>
        <v>32</v>
      </c>
      <c r="E179" s="1">
        <v>1.1</v>
      </c>
      <c r="F179" s="1">
        <v>60.7</v>
      </c>
      <c r="G179" s="1">
        <v>43</v>
      </c>
      <c r="H179" t="str">
        <f>HYPERLINK("http://exon.niaid.nih.gov/transcriptome/An_gambiae_male_2006/ST1/links/AGM-7-90-90-asb-47.txt","Contig-47")</f>
        <v>Contig-47</v>
      </c>
      <c r="I179" s="1">
        <v>47</v>
      </c>
      <c r="J179" t="str">
        <f>HYPERLINK("http://exon.niaid.nih.gov/transcriptome/An_gambiae_male_2006/ST1/links/AGM-7-90-90-47-CLU.txt","Contig47")</f>
        <v>Contig47</v>
      </c>
      <c r="K179" t="s">
        <v>256</v>
      </c>
      <c r="L179" s="2" t="str">
        <f>HYPERLINK("http://exon.niaid.nih.gov/transcriptome/An_gambiae_male_2006/ST1/links/AGM-contig_47-AGFRAG.txt","X_Piece#741")</f>
        <v>X_Piece#741</v>
      </c>
      <c r="M179" s="4">
        <v>4E-24</v>
      </c>
      <c r="N179" s="2" t="str">
        <f>HYPERLINK("http://exon.niaid.nih.gov/transcriptome/An_gambiae_male_2006/ST1/links/AGM-contig_47-AG3P.txt","ENSANGP00000028898")</f>
        <v>ENSANGP00000028898</v>
      </c>
      <c r="O179" s="1" t="str">
        <f>HYPERLINK("http://www.anobase.org/cgi-bin/uniexcel_new_var6.pl?proteinname=ENSANGP00000028898","8.E-25")</f>
        <v>8.E-25</v>
      </c>
      <c r="P179" s="2" t="str">
        <f>HYPERLINK("http://exon.niaid.nih.gov/transcriptome/An_gambiae_male_2006/ST1/links/AGM-contig_47-AG5P.txt","ENSANGP00000028409")</f>
        <v>ENSANGP00000028409</v>
      </c>
      <c r="Q179" s="4" t="str">
        <f>HYPERLINK("http://www.anobase.org/cgi-bin/uniexcel_new_var6.pl?proteinname=ENSANGP00000028409","5.E-23")</f>
        <v>5.E-23</v>
      </c>
      <c r="R179" s="2" t="str">
        <f>HYPERLINK("http://exon.niaid.nih.gov/transcriptome/An_gambiae_male_2006/ST1/links/AGM-contig_47-AGPROT.txt","ENSANGP00000025827")</f>
        <v>ENSANGP00000025827</v>
      </c>
      <c r="S179" s="1" t="str">
        <f>HYPERLINK("http://www.ensembl.org/Anopheles_gambiae/protview?peptide=ENSANGP00000025827","1E-006")</f>
        <v>1E-006</v>
      </c>
      <c r="T179" s="1" t="str">
        <f>HYPERLINK("http://www.anobase.org/cgi-bin/uniexcel_new_var6.pl?proteinname=ENSANGP00000025827","1E-006")</f>
        <v>1E-006</v>
      </c>
      <c r="AA179" s="2" t="str">
        <f>HYPERLINK("http://exon.niaid.nih.gov/transcriptome/An_gambiae_male_2006/ST1/links/AGM-contig_47-AGNUC.txt","AG-contig_718")</f>
        <v>AG-contig_718</v>
      </c>
      <c r="AB179" s="1">
        <v>2E-12</v>
      </c>
      <c r="AC179" s="2" t="str">
        <f>HYPERLINK("http://exon.niaid.nih.gov/transcriptome/An_gambiae_male_2006/ST1/links/AGM-contig_47-NR.txt","unnamed protein product [Homo sapiens]     69   7e-011")</f>
        <v>unnamed protein product [Homo sapiens]     69   7e-011</v>
      </c>
      <c r="AD179" s="1" t="str">
        <f>HYPERLINK("http://www.ncbi.nlm.nih.gov/sutils/blink.cgi?pid=34529230","7E-011")</f>
        <v>7E-011</v>
      </c>
      <c r="AE179" s="1" t="s">
        <v>313</v>
      </c>
      <c r="AF179" s="9" t="s">
        <v>100</v>
      </c>
      <c r="AG179" s="6" t="s">
        <v>511</v>
      </c>
      <c r="AH179" s="6" t="s">
        <v>511</v>
      </c>
      <c r="AJ179" s="6">
        <f>AJ178+1</f>
        <v>30</v>
      </c>
    </row>
    <row r="180" spans="1:36" ht="9.75">
      <c r="A180" t="str">
        <f>HYPERLINK("http://exon.niaid.nih.gov/transcriptome/An_gambiae_male_2006/ST1/links/AGM-contig_219.txt","AGM-contig_219")</f>
        <v>AGM-contig_219</v>
      </c>
      <c r="B180" s="1">
        <v>1</v>
      </c>
      <c r="C180" s="1">
        <v>116</v>
      </c>
      <c r="D180" s="1">
        <f>D179+B180</f>
        <v>33</v>
      </c>
      <c r="E180" s="1">
        <v>1.7</v>
      </c>
      <c r="F180" s="1">
        <v>69.8</v>
      </c>
      <c r="G180" s="1">
        <v>97</v>
      </c>
      <c r="H180" t="str">
        <f>HYPERLINK("http://exon.niaid.nih.gov/transcriptome/An_gambiae_male_2006/ST1/links/AGM-7-90-90-asb-219.txt","Contig-219")</f>
        <v>Contig-219</v>
      </c>
      <c r="I180" s="1">
        <v>219</v>
      </c>
      <c r="J180" t="str">
        <f>HYPERLINK("http://exon.niaid.nih.gov/transcriptome/An_gambiae_male_2006/ST1/links/AGM-7-90-90-219-CLU.txt","Contig219")</f>
        <v>Contig219</v>
      </c>
      <c r="K180" t="s">
        <v>672</v>
      </c>
      <c r="L180" s="2" t="str">
        <f>HYPERLINK("http://exon.niaid.nih.gov/transcriptome/An_gambiae_male_2006/ST1/links/AGM-contig_219-AGFRAG.txt","X_Piece#222")</f>
        <v>X_Piece#222</v>
      </c>
      <c r="M180" s="4">
        <v>6E-28</v>
      </c>
      <c r="N180" s="2" t="str">
        <f>HYPERLINK("http://exon.niaid.nih.gov/transcriptome/An_gambiae_male_2006/ST1/links/AGM-contig_219-AG3P.txt","ENSANGP00000025489")</f>
        <v>ENSANGP00000025489</v>
      </c>
      <c r="O180" s="1" t="str">
        <f>HYPERLINK("http://www.anobase.org/cgi-bin/uniexcel_new_var6.pl?proteinname=ENSANGP00000025489","8.E-27")</f>
        <v>8.E-27</v>
      </c>
      <c r="P180" s="2" t="str">
        <f>HYPERLINK("http://exon.niaid.nih.gov/transcriptome/An_gambiae_male_2006/ST1/links/AGM-contig_219-AG5P.txt","ENSANGP00000008667")</f>
        <v>ENSANGP00000008667</v>
      </c>
      <c r="Q180" s="4" t="str">
        <f>HYPERLINK("http://www.anobase.org/cgi-bin/uniexcel_new_var6.pl?proteinname=ENSANGP00000008667","8.E-27")</f>
        <v>8.E-27</v>
      </c>
      <c r="R180" s="2" t="str">
        <f>HYPERLINK("http://exon.niaid.nih.gov/transcriptome/An_gambiae_male_2006/ST1/links/AGM-contig_219-AGPROT.txt","ENSANGP00000024163")</f>
        <v>ENSANGP00000024163</v>
      </c>
      <c r="S180" s="1" t="str">
        <f>HYPERLINK("http://www.ensembl.org/Anopheles_gambiae/protview?peptide=ENSANGP00000024163","1E-005")</f>
        <v>1E-005</v>
      </c>
      <c r="T180" s="1" t="str">
        <f>HYPERLINK("http://www.anobase.org/cgi-bin/uniexcel_new_var6.pl?proteinname=ENSANGP00000024163","1E-005")</f>
        <v>1E-005</v>
      </c>
      <c r="U180" s="2" t="str">
        <f>HYPERLINK("http://exon.niaid.nih.gov/transcriptome/An_gambiae_male_2006/ST1/links/AGCDS/AGM-contig_219-AGCDS.txt","ENSANGT00000006309")</f>
        <v>ENSANGT00000006309</v>
      </c>
      <c r="V180" s="1">
        <v>1E-19</v>
      </c>
      <c r="AA180" s="2" t="str">
        <f>HYPERLINK("http://exon.niaid.nih.gov/transcriptome/An_gambiae_male_2006/ST1/links/AGM-contig_219-AGNUC.txt","AG-contig_584")</f>
        <v>AG-contig_584</v>
      </c>
      <c r="AB180" s="1">
        <v>5E-27</v>
      </c>
      <c r="AC180" s="2" t="str">
        <f>HYPERLINK("http://exon.niaid.nih.gov/transcriptome/An_gambiae_male_2006/ST1/links/AGM-contig_219-NR.txt","3-oxoacyl-acyl-carrier protein reduct")</f>
        <v>3-oxoacyl-acyl-carrier protein reduct</v>
      </c>
      <c r="AD180" s="1" t="str">
        <f>HYPERLINK("http://www.ncbi.nlm.nih.gov/sutils/blink.cgi?pid=23489978","1E-017")</f>
        <v>1E-017</v>
      </c>
      <c r="AE180" s="1" t="s">
        <v>314</v>
      </c>
      <c r="AF180" s="9" t="s">
        <v>730</v>
      </c>
      <c r="AG180" s="6" t="s">
        <v>55</v>
      </c>
      <c r="AH180" s="6" t="s">
        <v>511</v>
      </c>
      <c r="AJ180" s="6">
        <f>AJ179+1</f>
        <v>31</v>
      </c>
    </row>
    <row r="181" spans="1:36" ht="9.75">
      <c r="A181" t="str">
        <f>HYPERLINK("http://exon.niaid.nih.gov/transcriptome/An_gambiae_male_2006/ST1/links/AGM-contig_30.txt","AGM-contig_30")</f>
        <v>AGM-contig_30</v>
      </c>
      <c r="B181" s="1">
        <v>1</v>
      </c>
      <c r="C181" s="1">
        <v>747</v>
      </c>
      <c r="D181" s="1">
        <f>D180+B181</f>
        <v>34</v>
      </c>
      <c r="E181" s="1">
        <v>0.7</v>
      </c>
      <c r="F181" s="1">
        <v>60.8</v>
      </c>
      <c r="G181" s="1">
        <v>119</v>
      </c>
      <c r="H181" t="str">
        <f>HYPERLINK("http://exon.niaid.nih.gov/transcriptome/An_gambiae_male_2006/ST1/links/AGM-7-90-90-asb-30.txt","Contig-30")</f>
        <v>Contig-30</v>
      </c>
      <c r="I181" s="1">
        <v>30</v>
      </c>
      <c r="J181" t="str">
        <f>HYPERLINK("http://exon.niaid.nih.gov/transcriptome/An_gambiae_male_2006/ST1/links/AGM-7-90-90-30-CLU.txt","Contig30")</f>
        <v>Contig30</v>
      </c>
      <c r="K181" t="s">
        <v>239</v>
      </c>
      <c r="L181" s="2" t="str">
        <f>HYPERLINK("http://exon.niaid.nih.gov/transcriptome/An_gambiae_male_2006/ST1/links/AGM-contig_30-AGFRAG.txt","X_Piece#553")</f>
        <v>X_Piece#553</v>
      </c>
      <c r="M181" s="4">
        <v>1E-12</v>
      </c>
      <c r="N181" s="2" t="str">
        <f>HYPERLINK("http://exon.niaid.nih.gov/transcriptome/An_gambiae_male_2006/ST1/links/AGM-contig_30-AG3P.txt","ENSANGP00000017446")</f>
        <v>ENSANGP00000017446</v>
      </c>
      <c r="O181" s="1" t="str">
        <f>HYPERLINK("http://www.anobase.org/cgi-bin/uniexcel_new_var6.pl?proteinname=ENSANGP00000017446","2.E-13")</f>
        <v>2.E-13</v>
      </c>
      <c r="P181" s="2" t="str">
        <f>HYPERLINK("http://exon.niaid.nih.gov/transcriptome/An_gambiae_male_2006/ST1/links/AGM-contig_30-AG5P.txt","ENSANGP00000012985")</f>
        <v>ENSANGP00000012985</v>
      </c>
      <c r="Q181" s="4" t="str">
        <f>HYPERLINK("http://www.anobase.org/cgi-bin/uniexcel_new_var6.pl?proteinname=ENSANGP00000012985","2.E-10")</f>
        <v>2.E-10</v>
      </c>
      <c r="R181" s="2" t="str">
        <f>HYPERLINK("http://exon.niaid.nih.gov/transcriptome/An_gambiae_male_2006/ST1/links/AGM-contig_30-AGPROT.txt","ENSANGP00000024412")</f>
        <v>ENSANGP00000024412</v>
      </c>
      <c r="S181" s="1" t="str">
        <f>HYPERLINK("http://www.ensembl.org/Anopheles_gambiae/protview?peptide=ENSANGP00000024412","4E-005")</f>
        <v>4E-005</v>
      </c>
      <c r="T181" s="1" t="str">
        <f>HYPERLINK("http://www.anobase.org/cgi-bin/uniexcel_new_var6.pl?proteinname=ENSANGP00000024412","4E-005")</f>
        <v>4E-005</v>
      </c>
      <c r="AA181" s="2" t="str">
        <f>HYPERLINK("http://exon.niaid.nih.gov/transcriptome/An_gambiae_male_2006/ST1/links/AGM-contig_30-AGNUC.txt","AG-contig_729")</f>
        <v>AG-contig_729</v>
      </c>
      <c r="AB181" s="1">
        <v>3E-08</v>
      </c>
      <c r="AC181" s="2" t="str">
        <f>HYPERLINK("http://exon.niaid.nih.gov/transcriptome/An_gambiae_male_2006/ST1/links/AGM-contig_30-NR.txt","unnamed protein product [Yarrowia li")</f>
        <v>unnamed protein product [Yarrowia li</v>
      </c>
      <c r="AD181" s="1" t="str">
        <f>HYPERLINK("http://www.ncbi.nlm.nih.gov/sutils/blink.cgi?pid=49650994","3E-005")</f>
        <v>3E-005</v>
      </c>
      <c r="AE181" s="1" t="s">
        <v>314</v>
      </c>
      <c r="AF181" s="9" t="s">
        <v>322</v>
      </c>
      <c r="AG181" s="6" t="s">
        <v>511</v>
      </c>
      <c r="AH181" s="6" t="s">
        <v>511</v>
      </c>
      <c r="AJ181" s="6">
        <f>AJ180+1</f>
        <v>32</v>
      </c>
    </row>
    <row r="182" spans="1:36" ht="9.75">
      <c r="A182" t="str">
        <f>HYPERLINK("http://exon.niaid.nih.gov/transcriptome/An_gambiae_male_2006/ST1/links/AGM-contig_141.txt","AGM-contig_141")</f>
        <v>AGM-contig_141</v>
      </c>
      <c r="B182" s="1">
        <v>1</v>
      </c>
      <c r="C182" s="1">
        <v>1121</v>
      </c>
      <c r="D182" s="1">
        <f>D181+B182</f>
        <v>35</v>
      </c>
      <c r="E182" s="1">
        <v>1.7</v>
      </c>
      <c r="F182" s="1">
        <v>54.1</v>
      </c>
      <c r="G182" s="1" t="s">
        <v>260</v>
      </c>
      <c r="H182" t="str">
        <f>HYPERLINK("http://exon.niaid.nih.gov/transcriptome/An_gambiae_male_2006/ST1/links/AGM-7-90-90-asb-141.txt","Contig-141")</f>
        <v>Contig-141</v>
      </c>
      <c r="I182" s="1">
        <v>141</v>
      </c>
      <c r="J182" t="str">
        <f>HYPERLINK("http://exon.niaid.nih.gov/transcriptome/An_gambiae_male_2006/ST1/links/AGM-7-90-90-141-CLU.txt","Contig141")</f>
        <v>Contig141</v>
      </c>
      <c r="K182" t="s">
        <v>594</v>
      </c>
      <c r="R182" s="2" t="str">
        <f>HYPERLINK("http://exon.niaid.nih.gov/transcriptome/An_gambiae_male_2006/ST1/links/AGM-contig_141-AGPROT.txt","ENSANGP00000022978")</f>
        <v>ENSANGP00000022978</v>
      </c>
      <c r="S182" s="1" t="str">
        <f>HYPERLINK("http://www.ensembl.org/Anopheles_gambiae/protview?peptide=ENSANGP00000022978","1E-004")</f>
        <v>1E-004</v>
      </c>
      <c r="T182" s="1" t="str">
        <f>HYPERLINK("http://www.anobase.org/cgi-bin/uniexcel_new_var6.pl?proteinname=ENSANGP00000022978","1E-004")</f>
        <v>1E-004</v>
      </c>
      <c r="AC182" s="2" t="str">
        <f>HYPERLINK("http://exon.niaid.nih.gov/transcriptome/An_gambiae_male_2006/ST1/links/AGM-contig_141-NR.txt","novel protein similar to human calse")</f>
        <v>novel protein similar to human calse</v>
      </c>
      <c r="AD182" s="1" t="str">
        <f>HYPERLINK("http://www.ncbi.nlm.nih.gov/sutils/blink.cgi?pid=33284873","0.0")</f>
        <v>0.0</v>
      </c>
      <c r="AE182" s="1" t="s">
        <v>314</v>
      </c>
      <c r="AF182" s="9" t="s">
        <v>850</v>
      </c>
      <c r="AG182" s="6" t="s">
        <v>511</v>
      </c>
      <c r="AH182" s="6" t="s">
        <v>511</v>
      </c>
      <c r="AJ182" s="6">
        <f>AJ181+1</f>
        <v>33</v>
      </c>
    </row>
    <row r="183" spans="1:36" ht="9.75">
      <c r="A183" t="str">
        <f>HYPERLINK("http://exon.niaid.nih.gov/transcriptome/An_gambiae_male_2006/ST1/links/AGM-contig_139.txt","AGM-contig_139")</f>
        <v>AGM-contig_139</v>
      </c>
      <c r="B183" s="1">
        <v>1</v>
      </c>
      <c r="C183" s="1">
        <v>672</v>
      </c>
      <c r="D183" s="1">
        <f>D182+B183</f>
        <v>36</v>
      </c>
      <c r="E183" s="1">
        <v>3.1</v>
      </c>
      <c r="F183" s="1">
        <v>46.7</v>
      </c>
      <c r="G183" s="1" t="s">
        <v>260</v>
      </c>
      <c r="H183" t="str">
        <f>HYPERLINK("http://exon.niaid.nih.gov/transcriptome/An_gambiae_male_2006/ST1/links/AGM-7-90-90-asb-139.txt","Contig-139")</f>
        <v>Contig-139</v>
      </c>
      <c r="I183" s="1">
        <v>139</v>
      </c>
      <c r="J183" t="str">
        <f>HYPERLINK("http://exon.niaid.nih.gov/transcriptome/An_gambiae_male_2006/ST1/links/AGM-7-90-90-139-CLU.txt","Contig139")</f>
        <v>Contig139</v>
      </c>
      <c r="K183" t="s">
        <v>592</v>
      </c>
      <c r="L183" s="2" t="str">
        <f>HYPERLINK("http://exon.niaid.nih.gov/transcriptome/An_gambiae_male_2006/ST1/links/AGM-contig_139-AGFRAG.txt","3L_Piece#223")</f>
        <v>3L_Piece#223</v>
      </c>
      <c r="M183" s="4">
        <v>2E-13</v>
      </c>
      <c r="N183" s="2" t="str">
        <f>HYPERLINK("http://exon.niaid.nih.gov/transcriptome/An_gambiae_male_2006/ST1/links/AGM-contig_139-AG3P.txt","ENSANGP00000027135")</f>
        <v>ENSANGP00000027135</v>
      </c>
      <c r="O183" s="1" t="str">
        <f>HYPERLINK("http://www.anobase.org/cgi-bin/uniexcel_new_var6.pl?proteinname=ENSANGP00000027135","1.E-11")</f>
        <v>1.E-11</v>
      </c>
      <c r="P183" s="2" t="str">
        <f>HYPERLINK("http://exon.niaid.nih.gov/transcriptome/An_gambiae_male_2006/ST1/links/AGM-contig_139-AG5P.txt","ENSANGP00000020013")</f>
        <v>ENSANGP00000020013</v>
      </c>
      <c r="Q183" s="4" t="str">
        <f>HYPERLINK("http://www.anobase.org/cgi-bin/uniexcel_new_var6.pl?proteinname=ENSANGP00000020013","2.E-10")</f>
        <v>2.E-10</v>
      </c>
      <c r="R183" s="2" t="str">
        <f>HYPERLINK("http://exon.niaid.nih.gov/transcriptome/An_gambiae_male_2006/ST1/links/AGM-contig_139-AGPROT.txt","ENSANGP00000025094")</f>
        <v>ENSANGP00000025094</v>
      </c>
      <c r="S183" s="1" t="str">
        <f>HYPERLINK("http://www.ensembl.org/Anopheles_gambiae/protview?peptide=ENSANGP00000025094","1E-004")</f>
        <v>1E-004</v>
      </c>
      <c r="T183" s="1" t="str">
        <f>HYPERLINK("http://www.anobase.org/cgi-bin/uniexcel_new_var6.pl?proteinname=ENSANGP00000025094","1E-004")</f>
        <v>1E-004</v>
      </c>
      <c r="AA183" s="2" t="str">
        <f>HYPERLINK("http://exon.niaid.nih.gov/transcriptome/An_gambiae_male_2006/ST1/links/AGM-contig_139-AGNUC.txt","AG-contig_729")</f>
        <v>AG-contig_729</v>
      </c>
      <c r="AB183" s="1">
        <v>4E-07</v>
      </c>
      <c r="AC183" s="2" t="str">
        <f>HYPERLINK("http://exon.niaid.nih.gov/transcriptome/An_gambiae_male_2006/ST1/links/AGM-contig_139-NR.txt","unnamed protein product [Homo sapiens]     66   6e-010")</f>
        <v>unnamed protein product [Homo sapiens]     66   6e-010</v>
      </c>
      <c r="AD183" s="1" t="str">
        <f>HYPERLINK("http://www.ncbi.nlm.nih.gov/sutils/blink.cgi?pid=34536340","6E-010")</f>
        <v>6E-010</v>
      </c>
      <c r="AE183" s="1" t="s">
        <v>314</v>
      </c>
      <c r="AF183" s="9" t="s">
        <v>103</v>
      </c>
      <c r="AG183" s="6" t="s">
        <v>511</v>
      </c>
      <c r="AH183" s="6" t="s">
        <v>511</v>
      </c>
      <c r="AJ183" s="6">
        <f>AJ182+1</f>
        <v>34</v>
      </c>
    </row>
    <row r="184" spans="1:36" ht="9.75">
      <c r="A184" t="str">
        <f>HYPERLINK("http://exon.niaid.nih.gov/transcriptome/An_gambiae_male_2006/ST1/links/AGM-contig_147.txt","AGM-contig_147")</f>
        <v>AGM-contig_147</v>
      </c>
      <c r="B184" s="1">
        <v>1</v>
      </c>
      <c r="C184" s="1">
        <v>672</v>
      </c>
      <c r="D184" s="1">
        <f>D183+B184</f>
        <v>37</v>
      </c>
      <c r="E184" s="1">
        <v>1.5</v>
      </c>
      <c r="F184" s="1">
        <v>45.4</v>
      </c>
      <c r="G184" s="1">
        <v>653</v>
      </c>
      <c r="H184" t="str">
        <f>HYPERLINK("http://exon.niaid.nih.gov/transcriptome/An_gambiae_male_2006/ST1/links/AGM-7-90-90-asb-147.txt","Contig-147")</f>
        <v>Contig-147</v>
      </c>
      <c r="I184" s="1">
        <v>147</v>
      </c>
      <c r="J184" t="str">
        <f>HYPERLINK("http://exon.niaid.nih.gov/transcriptome/An_gambiae_male_2006/ST1/links/AGM-7-90-90-147-CLU.txt","Contig147")</f>
        <v>Contig147</v>
      </c>
      <c r="K184" t="s">
        <v>600</v>
      </c>
      <c r="L184" s="2" t="str">
        <f>HYPERLINK("http://exon.niaid.nih.gov/transcriptome/An_gambiae_male_2006/ST1/links/AGM-contig_147-AGFRAG.txt","2L_Piece#1382")</f>
        <v>2L_Piece#1382</v>
      </c>
      <c r="M184" s="4">
        <v>2E-13</v>
      </c>
      <c r="N184" s="2" t="str">
        <f>HYPERLINK("http://exon.niaid.nih.gov/transcriptome/An_gambiae_male_2006/ST1/links/AGM-contig_147-AG3P.txt","ENSANGP00000028898")</f>
        <v>ENSANGP00000028898</v>
      </c>
      <c r="O184" s="1" t="str">
        <f>HYPERLINK("http://www.anobase.org/cgi-bin/uniexcel_new_var6.pl?proteinname=ENSANGP00000028898","2.E-13")</f>
        <v>2.E-13</v>
      </c>
      <c r="P184" s="2" t="str">
        <f>HYPERLINK("http://exon.niaid.nih.gov/transcriptome/An_gambiae_male_2006/ST1/links/AGM-contig_147-AG5P.txt","ENSANGP00000028409")</f>
        <v>ENSANGP00000028409</v>
      </c>
      <c r="Q184" s="4" t="str">
        <f>HYPERLINK("http://www.anobase.org/cgi-bin/uniexcel_new_var6.pl?proteinname=ENSANGP00000028409","2.E-13")</f>
        <v>2.E-13</v>
      </c>
      <c r="R184" s="2" t="str">
        <f>HYPERLINK("http://exon.niaid.nih.gov/transcriptome/An_gambiae_male_2006/ST1/links/AGM-contig_147-AGPROT.txt","ENSANGP00000029245")</f>
        <v>ENSANGP00000029245</v>
      </c>
      <c r="S184" s="1" t="str">
        <f>HYPERLINK("http://www.ensembl.org/Anopheles_gambiae/protview?peptide=ENSANGP00000029245","2E-004")</f>
        <v>2E-004</v>
      </c>
      <c r="T184" s="1" t="str">
        <f>HYPERLINK("http://www.anobase.org/cgi-bin/uniexcel_new_var6.pl?proteinname=ENSANGP00000029245","2E-004")</f>
        <v>2E-004</v>
      </c>
      <c r="AA184" s="2" t="str">
        <f>HYPERLINK("http://exon.niaid.nih.gov/transcriptome/An_gambiae_male_2006/ST1/links/AGM-contig_147-AGNUC.txt","AG-contig_718")</f>
        <v>AG-contig_718</v>
      </c>
      <c r="AB184" s="1">
        <v>3E-11</v>
      </c>
      <c r="AC184" s="2" t="str">
        <f>HYPERLINK("http://exon.niaid.nih.gov/transcriptome/An_gambiae_male_2006/ST1/links/AGM-contig_147-NR.txt","unnamed protein product [Homo sapiens]     48   2e-004")</f>
        <v>unnamed protein product [Homo sapiens]     48   2e-004</v>
      </c>
      <c r="AD184" s="1" t="str">
        <f>HYPERLINK("http://www.ncbi.nlm.nih.gov/sutils/blink.cgi?pid=34536340","2E-004")</f>
        <v>2E-004</v>
      </c>
      <c r="AE184" s="1" t="s">
        <v>314</v>
      </c>
      <c r="AF184" s="9" t="s">
        <v>793</v>
      </c>
      <c r="AG184" s="6" t="s">
        <v>511</v>
      </c>
      <c r="AH184" s="6" t="s">
        <v>511</v>
      </c>
      <c r="AJ184" s="6">
        <f>AJ183+1</f>
        <v>35</v>
      </c>
    </row>
    <row r="185" spans="1:36" ht="9.75">
      <c r="A185" t="str">
        <f>HYPERLINK("http://exon.niaid.nih.gov/transcriptome/An_gambiae_male_2006/ST1/links/AGM-contig_105.txt","AGM-contig_105")</f>
        <v>AGM-contig_105</v>
      </c>
      <c r="B185" s="1">
        <v>1</v>
      </c>
      <c r="C185" s="1">
        <v>209</v>
      </c>
      <c r="D185" s="1">
        <f>D184+B185</f>
        <v>38</v>
      </c>
      <c r="E185" s="1">
        <v>5.7</v>
      </c>
      <c r="F185" s="1">
        <v>64.6</v>
      </c>
      <c r="G185" s="1">
        <v>54</v>
      </c>
      <c r="H185" t="str">
        <f>HYPERLINK("http://exon.niaid.nih.gov/transcriptome/An_gambiae_male_2006/ST1/links/AGM-7-90-90-asb-105.txt","Contig-105")</f>
        <v>Contig-105</v>
      </c>
      <c r="I185" s="1">
        <v>105</v>
      </c>
      <c r="J185" t="str">
        <f>HYPERLINK("http://exon.niaid.nih.gov/transcriptome/An_gambiae_male_2006/ST1/links/AGM-7-90-90-105-CLU.txt","Contig105")</f>
        <v>Contig105</v>
      </c>
      <c r="K185" t="s">
        <v>558</v>
      </c>
      <c r="L185" s="2" t="str">
        <f>HYPERLINK("http://exon.niaid.nih.gov/transcriptome/An_gambiae_male_2006/ST1/links/AGM-contig_105-AGFRAG.txt","2R_Piece#739")</f>
        <v>2R_Piece#739</v>
      </c>
      <c r="M185" s="4">
        <v>1E-08</v>
      </c>
      <c r="R185" s="2" t="str">
        <f>HYPERLINK("http://exon.niaid.nih.gov/transcriptome/An_gambiae_male_2006/ST1/links/AGM-contig_105-AGPROT.txt","ENSANGP00000025094")</f>
        <v>ENSANGP00000025094</v>
      </c>
      <c r="S185" s="1" t="str">
        <f>HYPERLINK("http://www.ensembl.org/Anopheles_gambiae/protview?peptide=ENSANGP00000025094","3E-004")</f>
        <v>3E-004</v>
      </c>
      <c r="T185" s="1" t="str">
        <f>HYPERLINK("http://www.anobase.org/cgi-bin/uniexcel_new_var6.pl?proteinname=ENSANGP00000025094","3E-004")</f>
        <v>3E-004</v>
      </c>
      <c r="AA185" s="2" t="str">
        <f>HYPERLINK("http://exon.niaid.nih.gov/transcriptome/An_gambiae_male_2006/ST1/links/AGM-contig_105-AGNUC.txt","AG-contig_812")</f>
        <v>AG-contig_812</v>
      </c>
      <c r="AB185" s="1">
        <v>5E-07</v>
      </c>
      <c r="AC185" s="2" t="str">
        <f>HYPERLINK("http://exon.niaid.nih.gov/transcriptome/An_gambiae_male_2006/ST1/links/AGM-contig_105-NR.txt","unnamed protein product [Tetraodon n")</f>
        <v>unnamed protein product [Tetraodon n</v>
      </c>
      <c r="AD185" s="1" t="str">
        <f>HYPERLINK("http://www.ncbi.nlm.nih.gov/sutils/blink.cgi?pid=47214943","4E-004")</f>
        <v>4E-004</v>
      </c>
      <c r="AE185" s="1" t="s">
        <v>313</v>
      </c>
      <c r="AF185" s="9" t="s">
        <v>432</v>
      </c>
      <c r="AG185" s="6" t="s">
        <v>511</v>
      </c>
      <c r="AH185" s="6" t="s">
        <v>511</v>
      </c>
      <c r="AJ185" s="6">
        <f>AJ184+1</f>
        <v>36</v>
      </c>
    </row>
    <row r="186" spans="1:36" ht="9.75">
      <c r="A186" t="str">
        <f>HYPERLINK("http://exon.niaid.nih.gov/transcriptome/An_gambiae_male_2006/ST1/links/AGM-contig_134.txt","AGM-contig_134")</f>
        <v>AGM-contig_134</v>
      </c>
      <c r="B186" s="1">
        <v>1</v>
      </c>
      <c r="C186" s="1">
        <v>818</v>
      </c>
      <c r="D186" s="1">
        <f>D185+B186</f>
        <v>39</v>
      </c>
      <c r="E186" s="1">
        <v>0.7</v>
      </c>
      <c r="F186" s="1">
        <v>49.4</v>
      </c>
      <c r="G186" s="1">
        <v>587</v>
      </c>
      <c r="H186" t="str">
        <f>HYPERLINK("http://exon.niaid.nih.gov/transcriptome/An_gambiae_male_2006/ST1/links/AGM-7-90-90-asb-134.txt","Contig-134")</f>
        <v>Contig-134</v>
      </c>
      <c r="I186" s="1">
        <v>134</v>
      </c>
      <c r="J186" t="str">
        <f>HYPERLINK("http://exon.niaid.nih.gov/transcriptome/An_gambiae_male_2006/ST1/links/AGM-7-90-90-134-CLU.txt","Contig134")</f>
        <v>Contig134</v>
      </c>
      <c r="K186" t="s">
        <v>587</v>
      </c>
      <c r="L186" s="2" t="str">
        <f>HYPERLINK("http://exon.niaid.nih.gov/transcriptome/An_gambiae_male_2006/ST1/links/AGM-contig_134-AGFRAG.txt","2R_Piece#1467")</f>
        <v>2R_Piece#1467</v>
      </c>
      <c r="M186" s="4">
        <v>4E-09</v>
      </c>
      <c r="R186" s="2" t="str">
        <f>HYPERLINK("http://exon.niaid.nih.gov/transcriptome/An_gambiae_male_2006/ST1/links/AGM-contig_134-AGPROT.txt","ENSANGP00000028399")</f>
        <v>ENSANGP00000028399</v>
      </c>
      <c r="S186" s="1" t="str">
        <f>HYPERLINK("http://www.ensembl.org/Anopheles_gambiae/protview?peptide=ENSANGP00000028399","3E-004")</f>
        <v>3E-004</v>
      </c>
      <c r="T186" s="1" t="str">
        <f>HYPERLINK("http://www.anobase.org/cgi-bin/uniexcel_new_var6.pl?proteinname=ENSANGP00000028399","3E-004")</f>
        <v>3E-004</v>
      </c>
      <c r="AA186" s="2" t="str">
        <f>HYPERLINK("http://exon.niaid.nih.gov/transcriptome/An_gambiae_male_2006/ST1/links/AGM-contig_134-AGNUC.txt","AG-contig_870")</f>
        <v>AG-contig_870</v>
      </c>
      <c r="AB186" s="1">
        <v>1E-07</v>
      </c>
      <c r="AC186" s="2" t="str">
        <f>HYPERLINK("http://exon.niaid.nih.gov/transcriptome/An_gambiae_male_2006/ST1/links/AGM-contig_134-NR.txt","LRRGT00097 [Rattus norvegicus]              52   1e-005")</f>
        <v>LRRGT00097 [Rattus norvegicus]              52   1e-005</v>
      </c>
      <c r="AD186" s="1" t="str">
        <f>HYPERLINK("http://www.ncbi.nlm.nih.gov/sutils/blink.cgi?pid=37361880","1E-005")</f>
        <v>1E-005</v>
      </c>
      <c r="AE186" s="1" t="s">
        <v>314</v>
      </c>
      <c r="AF186" s="9" t="s">
        <v>367</v>
      </c>
      <c r="AG186" s="6" t="s">
        <v>511</v>
      </c>
      <c r="AH186" s="6" t="s">
        <v>511</v>
      </c>
      <c r="AJ186" s="6">
        <f>AJ185+1</f>
        <v>37</v>
      </c>
    </row>
    <row r="187" spans="1:36" ht="9.75">
      <c r="A187" t="str">
        <f>HYPERLINK("http://exon.niaid.nih.gov/transcriptome/An_gambiae_male_2006/ST1/links/AGM-contig_154.txt","AGM-contig_154")</f>
        <v>AGM-contig_154</v>
      </c>
      <c r="B187" s="1">
        <v>1</v>
      </c>
      <c r="C187" s="1">
        <v>611</v>
      </c>
      <c r="D187" s="1">
        <f>D186+B187</f>
        <v>40</v>
      </c>
      <c r="E187" s="1">
        <v>1.3</v>
      </c>
      <c r="F187" s="1">
        <v>45.8</v>
      </c>
      <c r="G187" s="1">
        <v>592</v>
      </c>
      <c r="H187" t="str">
        <f>HYPERLINK("http://exon.niaid.nih.gov/transcriptome/An_gambiae_male_2006/ST1/links/AGM-7-90-90-asb-154.txt","Contig-154")</f>
        <v>Contig-154</v>
      </c>
      <c r="I187" s="1">
        <v>154</v>
      </c>
      <c r="J187" t="str">
        <f>HYPERLINK("http://exon.niaid.nih.gov/transcriptome/An_gambiae_male_2006/ST1/links/AGM-7-90-90-154-CLU.txt","Contig154")</f>
        <v>Contig154</v>
      </c>
      <c r="K187" t="s">
        <v>607</v>
      </c>
      <c r="L187" s="2" t="str">
        <f>HYPERLINK("http://exon.niaid.nih.gov/transcriptome/An_gambiae_male_2006/ST1/links/AGM-contig_154-AGFRAG.txt","UNKN_Piece#423")</f>
        <v>UNKN_Piece#423</v>
      </c>
      <c r="M187" s="4">
        <v>1E-08</v>
      </c>
      <c r="N187" s="2" t="str">
        <f>HYPERLINK("http://exon.niaid.nih.gov/transcriptome/An_gambiae_male_2006/ST1/links/AGM-contig_154-AG3P.txt","ENSANGP00000028557")</f>
        <v>ENSANGP00000028557</v>
      </c>
      <c r="O187" s="1" t="str">
        <f>HYPERLINK("http://www.anobase.org/cgi-bin/uniexcel_new_var6.pl?proteinname=ENSANGP00000028557","3.E-09")</f>
        <v>3.E-09</v>
      </c>
      <c r="R187" s="2" t="str">
        <f>HYPERLINK("http://exon.niaid.nih.gov/transcriptome/An_gambiae_male_2006/ST1/links/AGM-contig_154-AGPROT.txt","ENSANGP00000012005")</f>
        <v>ENSANGP00000012005</v>
      </c>
      <c r="S187" s="1" t="str">
        <f>HYPERLINK("http://www.ensembl.org/Anopheles_gambiae/protview?peptide=ENSANGP00000012005","3E-004")</f>
        <v>3E-004</v>
      </c>
      <c r="T187" s="1" t="str">
        <f>HYPERLINK("http://www.anobase.org/cgi-bin/uniexcel_new_var6.pl?proteinname=ENSANGP00000012005","3E-004")</f>
        <v>3E-004</v>
      </c>
      <c r="AA187" s="2" t="str">
        <f>HYPERLINK("http://exon.niaid.nih.gov/transcriptome/An_gambiae_male_2006/ST1/links/AGM-contig_154-AGNUC.txt","AG-contig_666")</f>
        <v>AG-contig_666</v>
      </c>
      <c r="AB187" s="1">
        <v>4E-07</v>
      </c>
      <c r="AC187" s="2" t="str">
        <f>HYPERLINK("http://exon.niaid.nih.gov/transcriptome/An_gambiae_male_2006/ST1/links/AGM-contig_154-NR.txt","unnamed protein product [Homo sapiens]     57   2e-007")</f>
        <v>unnamed protein product [Homo sapiens]     57   2e-007</v>
      </c>
      <c r="AD187" s="1" t="str">
        <f>HYPERLINK("http://www.ncbi.nlm.nih.gov/sutils/blink.cgi?pid=34526468","2E-007")</f>
        <v>2E-007</v>
      </c>
      <c r="AE187" s="1" t="s">
        <v>313</v>
      </c>
      <c r="AF187" s="9" t="s">
        <v>319</v>
      </c>
      <c r="AG187" s="6" t="s">
        <v>511</v>
      </c>
      <c r="AH187" s="6" t="s">
        <v>511</v>
      </c>
      <c r="AJ187" s="6">
        <f>AJ186+1</f>
        <v>38</v>
      </c>
    </row>
    <row r="188" spans="1:36" ht="9.75">
      <c r="A188" t="str">
        <f>HYPERLINK("http://exon.niaid.nih.gov/transcriptome/An_gambiae_male_2006/ST1/links/AGM-contig_112.txt","AGM-contig_112")</f>
        <v>AGM-contig_112</v>
      </c>
      <c r="B188" s="1">
        <v>1</v>
      </c>
      <c r="C188" s="1">
        <v>483</v>
      </c>
      <c r="D188" s="1">
        <f>D187+B188</f>
        <v>41</v>
      </c>
      <c r="E188" s="1" t="s">
        <v>209</v>
      </c>
      <c r="F188" s="1">
        <v>57.3</v>
      </c>
      <c r="G188" s="1">
        <v>15</v>
      </c>
      <c r="H188" t="str">
        <f>HYPERLINK("http://exon.niaid.nih.gov/transcriptome/An_gambiae_male_2006/ST1/links/AGM-7-90-90-asb-112.txt","Contig-112")</f>
        <v>Contig-112</v>
      </c>
      <c r="I188" s="1">
        <v>112</v>
      </c>
      <c r="J188" t="str">
        <f>HYPERLINK("http://exon.niaid.nih.gov/transcriptome/An_gambiae_male_2006/ST1/links/AGM-7-90-90-112-CLU.txt","Contig112")</f>
        <v>Contig112</v>
      </c>
      <c r="K188" t="s">
        <v>565</v>
      </c>
      <c r="N188" s="2" t="str">
        <f>HYPERLINK("http://exon.niaid.nih.gov/transcriptome/An_gambiae_male_2006/ST1/links/AGM-contig_112-AG3P.txt","ENSANGP00000026524")</f>
        <v>ENSANGP00000026524</v>
      </c>
      <c r="O188" s="1" t="str">
        <f>HYPERLINK("http://www.anobase.org/cgi-bin/uniexcel_new_var6.pl?proteinname=ENSANGP00000026524","6.E-25")</f>
        <v>6.E-25</v>
      </c>
      <c r="P188" s="2" t="str">
        <f>HYPERLINK("http://exon.niaid.nih.gov/transcriptome/An_gambiae_male_2006/ST1/links/AGM-contig_112-AG5P.txt","ENSANGP00000019255")</f>
        <v>ENSANGP00000019255</v>
      </c>
      <c r="Q188" s="4" t="str">
        <f>HYPERLINK("http://www.anobase.org/cgi-bin/uniexcel_new_var6.pl?proteinname=ENSANGP00000019255","1.E-22")</f>
        <v>1.E-22</v>
      </c>
      <c r="R188" s="2" t="str">
        <f>HYPERLINK("http://exon.niaid.nih.gov/transcriptome/An_gambiae_male_2006/ST1/links/AGM-contig_112-AGPROT.txt","ENSANGP00000004639")</f>
        <v>ENSANGP00000004639</v>
      </c>
      <c r="S188" s="1" t="str">
        <f>HYPERLINK("http://www.ensembl.org/Anopheles_gambiae/protview?peptide=ENSANGP00000004639","4E-004")</f>
        <v>4E-004</v>
      </c>
      <c r="T188" s="1" t="str">
        <f>HYPERLINK("http://www.anobase.org/cgi-bin/uniexcel_new_var6.pl?proteinname=ENSANGP00000004639","4E-004")</f>
        <v>4E-004</v>
      </c>
      <c r="AC188" s="2" t="str">
        <f>HYPERLINK("http://exon.niaid.nih.gov/transcriptome/An_gambiae_male_2006/ST1/links/AGM-contig_112-NR.txt","hypothetical protein FG09652.1 [Gibbe")</f>
        <v>hypothetical protein FG09652.1 [Gibbe</v>
      </c>
      <c r="AD188" s="1" t="str">
        <f>HYPERLINK("http://www.ncbi.nlm.nih.gov/sutils/blink.cgi?pid=42553332","3E-004")</f>
        <v>3E-004</v>
      </c>
      <c r="AE188" s="1" t="s">
        <v>314</v>
      </c>
      <c r="AF188" s="9" t="s">
        <v>429</v>
      </c>
      <c r="AG188" s="6" t="s">
        <v>459</v>
      </c>
      <c r="AH188" s="6" t="s">
        <v>511</v>
      </c>
      <c r="AJ188" s="6">
        <f>AJ187+1</f>
        <v>39</v>
      </c>
    </row>
    <row r="189" spans="1:36" ht="9.75">
      <c r="A189" t="str">
        <f>HYPERLINK("http://exon.niaid.nih.gov/transcriptome/An_gambiae_male_2006/ST1/links/AGM-contig_143.txt","AGM-contig_143")</f>
        <v>AGM-contig_143</v>
      </c>
      <c r="B189" s="1">
        <v>1</v>
      </c>
      <c r="C189" s="1">
        <v>653</v>
      </c>
      <c r="D189" s="1">
        <f>D188+B189</f>
        <v>42</v>
      </c>
      <c r="E189" s="1">
        <v>0.9</v>
      </c>
      <c r="F189" s="1">
        <v>54.1</v>
      </c>
      <c r="G189" s="1">
        <v>57</v>
      </c>
      <c r="H189" t="str">
        <f>HYPERLINK("http://exon.niaid.nih.gov/transcriptome/An_gambiae_male_2006/ST1/links/AGM-7-90-90-asb-143.txt","Contig-143")</f>
        <v>Contig-143</v>
      </c>
      <c r="I189" s="1">
        <v>143</v>
      </c>
      <c r="J189" t="str">
        <f>HYPERLINK("http://exon.niaid.nih.gov/transcriptome/An_gambiae_male_2006/ST1/links/AGM-7-90-90-143-CLU.txt","Contig143")</f>
        <v>Contig143</v>
      </c>
      <c r="K189" t="s">
        <v>596</v>
      </c>
      <c r="L189" s="2" t="str">
        <f>HYPERLINK("http://exon.niaid.nih.gov/transcriptome/An_gambiae_male_2006/ST1/links/AGM-contig_143-AGFRAG.txt","X_Piece#775")</f>
        <v>X_Piece#775</v>
      </c>
      <c r="M189" s="4">
        <v>1E-11</v>
      </c>
      <c r="N189" s="2" t="str">
        <f>HYPERLINK("http://exon.niaid.nih.gov/transcriptome/An_gambiae_male_2006/ST1/links/AGM-contig_143-AG3P.txt","ENSANGP00000023039")</f>
        <v>ENSANGP00000023039</v>
      </c>
      <c r="O189" s="1" t="str">
        <f>HYPERLINK("http://www.anobase.org/cgi-bin/uniexcel_new_var6.pl?proteinname=ENSANGP00000023039","3.E-12")</f>
        <v>3.E-12</v>
      </c>
      <c r="P189" s="2" t="str">
        <f>HYPERLINK("http://exon.niaid.nih.gov/transcriptome/An_gambiae_male_2006/ST1/links/AGM-contig_143-AG5P.txt","ENSANGP00000028137")</f>
        <v>ENSANGP00000028137</v>
      </c>
      <c r="Q189" s="4" t="str">
        <f>HYPERLINK("http://www.anobase.org/cgi-bin/uniexcel_new_var6.pl?proteinname=ENSANGP00000028137","3.E-12")</f>
        <v>3.E-12</v>
      </c>
      <c r="R189" s="2" t="str">
        <f>HYPERLINK("http://exon.niaid.nih.gov/transcriptome/An_gambiae_male_2006/ST1/links/AGM-contig_143-AGPROT.txt","ENSANGP00000025094")</f>
        <v>ENSANGP00000025094</v>
      </c>
      <c r="S189" s="1" t="str">
        <f>HYPERLINK("http://www.ensembl.org/Anopheles_gambiae/protview?peptide=ENSANGP00000025094","7E-004")</f>
        <v>7E-004</v>
      </c>
      <c r="T189" s="1" t="str">
        <f>HYPERLINK("http://www.anobase.org/cgi-bin/uniexcel_new_var6.pl?proteinname=ENSANGP00000025094","7E-004")</f>
        <v>7E-004</v>
      </c>
      <c r="AA189" s="2" t="str">
        <f>HYPERLINK("http://exon.niaid.nih.gov/transcriptome/An_gambiae_male_2006/ST1/links/AGM-contig_143-AGNUC.txt","AG-contig_410")</f>
        <v>AG-contig_410</v>
      </c>
      <c r="AB189" s="1">
        <v>4E-10</v>
      </c>
      <c r="AC189" s="2" t="str">
        <f>HYPERLINK("http://exon.niaid.nih.gov/transcriptome/An_gambiae_male_2006/ST1/links/AGM-contig_143-NR.txt","Hypothetical protein HHV6gp101 [Huma")</f>
        <v>Hypothetical protein HHV6gp101 [Huma</v>
      </c>
      <c r="AD189" s="1" t="str">
        <f>HYPERLINK("http://www.ncbi.nlm.nih.gov/sutils/blink.cgi?pid=9628390","6E-044")</f>
        <v>6E-044</v>
      </c>
      <c r="AE189" s="1" t="s">
        <v>314</v>
      </c>
      <c r="AF189" s="9" t="s">
        <v>435</v>
      </c>
      <c r="AG189" s="6" t="s">
        <v>511</v>
      </c>
      <c r="AH189" s="6" t="s">
        <v>511</v>
      </c>
      <c r="AJ189" s="6">
        <f>AJ188+1</f>
        <v>40</v>
      </c>
    </row>
    <row r="190" spans="1:36" ht="9.75">
      <c r="A190" t="str">
        <f>HYPERLINK("http://exon.niaid.nih.gov/transcriptome/An_gambiae_male_2006/ST1/links/AGM-contig_142.txt","AGM-contig_142")</f>
        <v>AGM-contig_142</v>
      </c>
      <c r="B190" s="1">
        <v>1</v>
      </c>
      <c r="C190" s="1">
        <v>985</v>
      </c>
      <c r="D190" s="1">
        <f>D189+B190</f>
        <v>43</v>
      </c>
      <c r="E190" s="1">
        <v>2.4</v>
      </c>
      <c r="F190" s="1">
        <v>58.8</v>
      </c>
      <c r="G190" s="1" t="s">
        <v>260</v>
      </c>
      <c r="H190" t="str">
        <f>HYPERLINK("http://exon.niaid.nih.gov/transcriptome/An_gambiae_male_2006/ST1/links/AGM-7-90-90-asb-142.txt","Contig-142")</f>
        <v>Contig-142</v>
      </c>
      <c r="I190" s="1">
        <v>142</v>
      </c>
      <c r="J190" t="str">
        <f>HYPERLINK("http://exon.niaid.nih.gov/transcriptome/An_gambiae_male_2006/ST1/links/AGM-7-90-90-142-CLU.txt","Contig142")</f>
        <v>Contig142</v>
      </c>
      <c r="K190" t="s">
        <v>595</v>
      </c>
      <c r="R190" s="2" t="str">
        <f>HYPERLINK("http://exon.niaid.nih.gov/transcriptome/An_gambiae_male_2006/ST1/links/AGM-contig_142-AGPROT.txt","ENSANGP00000020311")</f>
        <v>ENSANGP00000020311</v>
      </c>
      <c r="S190" s="1" t="str">
        <f>HYPERLINK("http://www.ensembl.org/Anopheles_gambiae/protview?peptide=ENSANGP00000020311","0.001")</f>
        <v>0.001</v>
      </c>
      <c r="T190" s="1" t="str">
        <f>HYPERLINK("http://www.anobase.org/cgi-bin/uniexcel_new_var6.pl?proteinname=ENSANGP00000020311","0.001")</f>
        <v>0.001</v>
      </c>
      <c r="AC190" s="2" t="str">
        <f>HYPERLINK("http://exon.niaid.nih.gov/transcriptome/An_gambiae_male_2006/ST1/links/AGM-contig_142-NR.txt","hypothetical protein PFB0470w [Plas")</f>
        <v>hypothetical protein PFB0470w [Plas</v>
      </c>
      <c r="AD190" s="1" t="str">
        <f>HYPERLINK("http://www.ncbi.nlm.nih.gov/sutils/blink.cgi?pid=16804993","4E-007")</f>
        <v>4E-007</v>
      </c>
      <c r="AE190" s="1" t="s">
        <v>313</v>
      </c>
      <c r="AF190" s="9" t="s">
        <v>795</v>
      </c>
      <c r="AG190" s="6" t="s">
        <v>511</v>
      </c>
      <c r="AH190" s="6" t="s">
        <v>511</v>
      </c>
      <c r="AJ190" s="6">
        <f>AJ189+1</f>
        <v>41</v>
      </c>
    </row>
    <row r="191" spans="1:36" ht="9.75">
      <c r="A191" t="str">
        <f>HYPERLINK("http://exon.niaid.nih.gov/transcriptome/An_gambiae_male_2006/ST1/links/AGM-contig_146.txt","AGM-contig_146")</f>
        <v>AGM-contig_146</v>
      </c>
      <c r="B191" s="1">
        <v>1</v>
      </c>
      <c r="C191" s="1">
        <v>918</v>
      </c>
      <c r="D191" s="1">
        <f>D190+B191</f>
        <v>44</v>
      </c>
      <c r="E191" s="1">
        <v>1</v>
      </c>
      <c r="F191" s="1">
        <v>54.8</v>
      </c>
      <c r="G191" s="1" t="s">
        <v>260</v>
      </c>
      <c r="H191" t="str">
        <f>HYPERLINK("http://exon.niaid.nih.gov/transcriptome/An_gambiae_male_2006/ST1/links/AGM-7-90-90-asb-146.txt","Contig-146")</f>
        <v>Contig-146</v>
      </c>
      <c r="I191" s="1">
        <v>146</v>
      </c>
      <c r="J191" t="str">
        <f>HYPERLINK("http://exon.niaid.nih.gov/transcriptome/An_gambiae_male_2006/ST1/links/AGM-7-90-90-146-CLU.txt","Contig146")</f>
        <v>Contig146</v>
      </c>
      <c r="K191" t="s">
        <v>599</v>
      </c>
      <c r="L191" s="2" t="str">
        <f>HYPERLINK("http://exon.niaid.nih.gov/transcriptome/An_gambiae_male_2006/ST1/links/AGM-contig_146-AGFRAG.txt","X_Piece#147")</f>
        <v>X_Piece#147</v>
      </c>
      <c r="M191" s="4">
        <v>7E-11</v>
      </c>
      <c r="N191" s="2" t="str">
        <f>HYPERLINK("http://exon.niaid.nih.gov/transcriptome/An_gambiae_male_2006/ST1/links/AGM-contig_146-AG3P.txt","ENSANGP00000019151")</f>
        <v>ENSANGP00000019151</v>
      </c>
      <c r="O191" s="1" t="str">
        <f>HYPERLINK("http://www.anobase.org/cgi-bin/uniexcel_new_var6.pl?proteinname=ENSANGP00000019151","1.E-09")</f>
        <v>1.E-09</v>
      </c>
      <c r="P191" s="2" t="str">
        <f>HYPERLINK("http://exon.niaid.nih.gov/transcriptome/An_gambiae_male_2006/ST1/links/AGM-contig_146-AG5P.txt","ENSANGP00000021482")</f>
        <v>ENSANGP00000021482</v>
      </c>
      <c r="Q191" s="4" t="str">
        <f>HYPERLINK("http://www.anobase.org/cgi-bin/uniexcel_new_var6.pl?proteinname=ENSANGP00000021482","6.E-11")</f>
        <v>6.E-11</v>
      </c>
      <c r="R191" s="2" t="str">
        <f>HYPERLINK("http://exon.niaid.nih.gov/transcriptome/An_gambiae_male_2006/ST1/links/AGM-contig_146-AGPROT.txt","ENSANGP00000027702")</f>
        <v>ENSANGP00000027702</v>
      </c>
      <c r="S191" s="1" t="str">
        <f>HYPERLINK("http://www.ensembl.org/Anopheles_gambiae/protview?peptide=ENSANGP00000027702","0.002")</f>
        <v>0.002</v>
      </c>
      <c r="T191" s="1" t="str">
        <f>HYPERLINK("http://www.anobase.org/cgi-bin/uniexcel_new_var6.pl?proteinname=ENSANGP00000027702","0.002")</f>
        <v>0.002</v>
      </c>
      <c r="AA191" s="2" t="str">
        <f>HYPERLINK("http://exon.niaid.nih.gov/transcriptome/An_gambiae_male_2006/ST1/links/AGM-contig_146-AGNUC.txt","AG-contig_718")</f>
        <v>AG-contig_718</v>
      </c>
      <c r="AB191" s="1">
        <v>3E-08</v>
      </c>
      <c r="AC191" s="2" t="str">
        <f>HYPERLINK("http://exon.niaid.nih.gov/transcriptome/An_gambiae_male_2006/ST1/links/AGM-contig_146-NR.txt","Hypothetical protein HHV6gp101 [Huma")</f>
        <v>Hypothetical protein HHV6gp101 [Huma</v>
      </c>
      <c r="AD191" s="1" t="str">
        <f>HYPERLINK("http://www.ncbi.nlm.nih.gov/sutils/blink.cgi?pid=9628390","8E-022")</f>
        <v>8E-022</v>
      </c>
      <c r="AE191" s="1" t="s">
        <v>314</v>
      </c>
      <c r="AF191" s="9" t="s">
        <v>440</v>
      </c>
      <c r="AG191" s="6" t="s">
        <v>511</v>
      </c>
      <c r="AH191" s="6" t="s">
        <v>511</v>
      </c>
      <c r="AJ191" s="6">
        <f>AJ190+1</f>
        <v>42</v>
      </c>
    </row>
    <row r="192" spans="1:36" ht="9.75">
      <c r="A192" t="str">
        <f>HYPERLINK("http://exon.niaid.nih.gov/transcriptome/An_gambiae_male_2006/ST1/links/AGM-contig_148.txt","AGM-contig_148")</f>
        <v>AGM-contig_148</v>
      </c>
      <c r="B192" s="1">
        <v>1</v>
      </c>
      <c r="C192" s="1">
        <v>847</v>
      </c>
      <c r="D192" s="1">
        <f>D191+B192</f>
        <v>45</v>
      </c>
      <c r="E192" s="1">
        <v>0.7</v>
      </c>
      <c r="F192" s="1">
        <v>46</v>
      </c>
      <c r="G192" s="1" t="s">
        <v>260</v>
      </c>
      <c r="H192" t="str">
        <f>HYPERLINK("http://exon.niaid.nih.gov/transcriptome/An_gambiae_male_2006/ST1/links/AGM-7-90-90-asb-148.txt","Contig-148")</f>
        <v>Contig-148</v>
      </c>
      <c r="I192" s="1">
        <v>148</v>
      </c>
      <c r="J192" t="str">
        <f>HYPERLINK("http://exon.niaid.nih.gov/transcriptome/An_gambiae_male_2006/ST1/links/AGM-7-90-90-148-CLU.txt","Contig148")</f>
        <v>Contig148</v>
      </c>
      <c r="K192" t="s">
        <v>601</v>
      </c>
      <c r="L192" s="2" t="str">
        <f>HYPERLINK("http://exon.niaid.nih.gov/transcriptome/An_gambiae_male_2006/ST1/links/AGM-contig_148-AGFRAG.txt","X_Piece#737")</f>
        <v>X_Piece#737</v>
      </c>
      <c r="M192" s="4">
        <v>2E-08</v>
      </c>
      <c r="N192" s="2" t="str">
        <f>HYPERLINK("http://exon.niaid.nih.gov/transcriptome/An_gambiae_male_2006/ST1/links/AGM-contig_148-AG3P.txt","ENSANGP00000018651")</f>
        <v>ENSANGP00000018651</v>
      </c>
      <c r="O192" s="1" t="str">
        <f>HYPERLINK("http://www.anobase.org/cgi-bin/uniexcel_new_var6.pl?proteinname=ENSANGP00000018651","4.E-09")</f>
        <v>4.E-09</v>
      </c>
      <c r="R192" s="2" t="str">
        <f>HYPERLINK("http://exon.niaid.nih.gov/transcriptome/An_gambiae_male_2006/ST1/links/AGM-contig_148-AGPROT.txt","ENSANGP00000024412")</f>
        <v>ENSANGP00000024412</v>
      </c>
      <c r="S192" s="1" t="str">
        <f>HYPERLINK("http://www.ensembl.org/Anopheles_gambiae/protview?peptide=ENSANGP00000024412","0.002")</f>
        <v>0.002</v>
      </c>
      <c r="T192" s="1" t="str">
        <f>HYPERLINK("http://www.anobase.org/cgi-bin/uniexcel_new_var6.pl?proteinname=ENSANGP00000024412","0.002")</f>
        <v>0.002</v>
      </c>
      <c r="AC192" s="2" t="str">
        <f>HYPERLINK("http://exon.niaid.nih.gov/transcriptome/An_gambiae_male_2006/ST1/links/AGM-contig_148-NR.txt","unnamed protein product [Tetraodon n")</f>
        <v>unnamed protein product [Tetraodon n</v>
      </c>
      <c r="AD192" s="1" t="str">
        <f>HYPERLINK("http://www.ncbi.nlm.nih.gov/sutils/blink.cgi?pid=47210059","4E-004")</f>
        <v>4E-004</v>
      </c>
      <c r="AE192" s="1" t="s">
        <v>314</v>
      </c>
      <c r="AF192" s="9" t="s">
        <v>433</v>
      </c>
      <c r="AG192" s="6" t="s">
        <v>459</v>
      </c>
      <c r="AH192" s="6" t="s">
        <v>511</v>
      </c>
      <c r="AJ192" s="6">
        <f>AJ191+1</f>
        <v>43</v>
      </c>
    </row>
    <row r="193" spans="1:36" ht="9.75">
      <c r="A193" t="str">
        <f>HYPERLINK("http://exon.niaid.nih.gov/transcriptome/An_gambiae_male_2006/ST1/links/AGM-contig_114.txt","AGM-contig_114")</f>
        <v>AGM-contig_114</v>
      </c>
      <c r="B193" s="1">
        <v>1</v>
      </c>
      <c r="C193" s="1">
        <v>734</v>
      </c>
      <c r="D193" s="1">
        <f>D192+B193</f>
        <v>46</v>
      </c>
      <c r="E193" s="1">
        <v>0.3</v>
      </c>
      <c r="F193" s="1">
        <v>52.9</v>
      </c>
      <c r="G193" s="1" t="s">
        <v>260</v>
      </c>
      <c r="H193" t="str">
        <f>HYPERLINK("http://exon.niaid.nih.gov/transcriptome/An_gambiae_male_2006/ST1/links/AGM-7-90-90-asb-114.txt","Contig-114")</f>
        <v>Contig-114</v>
      </c>
      <c r="I193" s="1">
        <v>114</v>
      </c>
      <c r="J193" t="str">
        <f>HYPERLINK("http://exon.niaid.nih.gov/transcriptome/An_gambiae_male_2006/ST1/links/AGM-7-90-90-114-CLU.txt","Contig114")</f>
        <v>Contig114</v>
      </c>
      <c r="K193" t="s">
        <v>567</v>
      </c>
      <c r="R193" s="2" t="str">
        <f>HYPERLINK("http://exon.niaid.nih.gov/transcriptome/An_gambiae_male_2006/ST1/links/AGM-contig_114-AGPROT.txt","ENSANGP00000012048")</f>
        <v>ENSANGP00000012048</v>
      </c>
      <c r="S193" s="1" t="str">
        <f>HYPERLINK("http://www.ensembl.org/Anopheles_gambiae/protview?peptide=ENSANGP00000012048","0.002")</f>
        <v>0.002</v>
      </c>
      <c r="T193" s="1" t="str">
        <f>HYPERLINK("http://www.anobase.org/cgi-bin/uniexcel_new_var6.pl?proteinname=ENSANGP00000012048","0.002")</f>
        <v>0.002</v>
      </c>
      <c r="AC193" s="2" t="str">
        <f>HYPERLINK("http://exon.niaid.nih.gov/transcriptome/An_gambiae_male_2006/ST1/links/AGM-contig_114-NR.txt","unnamed protein product [Homo sapiens]     44   0.003")</f>
        <v>unnamed protein product [Homo sapiens]     44   0.003</v>
      </c>
      <c r="AD193" s="1" t="str">
        <f>HYPERLINK("http://www.ncbi.nlm.nih.gov/sutils/blink.cgi?pid=34529230","0.003")</f>
        <v>0.003</v>
      </c>
      <c r="AE193" s="1" t="s">
        <v>313</v>
      </c>
      <c r="AF193" s="9" t="s">
        <v>374</v>
      </c>
      <c r="AG193" s="6" t="s">
        <v>511</v>
      </c>
      <c r="AH193" s="6" t="s">
        <v>511</v>
      </c>
      <c r="AJ193" s="6">
        <f>AJ192+1</f>
        <v>44</v>
      </c>
    </row>
    <row r="194" spans="1:36" ht="9.75">
      <c r="A194" t="str">
        <f>HYPERLINK("http://exon.niaid.nih.gov/transcriptome/An_gambiae_male_2006/ST1/links/AGM-contig_149.txt","AGM-contig_149")</f>
        <v>AGM-contig_149</v>
      </c>
      <c r="B194" s="1">
        <v>1</v>
      </c>
      <c r="C194" s="1">
        <v>204</v>
      </c>
      <c r="D194" s="1">
        <f>D193+B194</f>
        <v>47</v>
      </c>
      <c r="E194" s="1">
        <v>2</v>
      </c>
      <c r="F194" s="1">
        <v>33.3</v>
      </c>
      <c r="G194" s="1" t="s">
        <v>260</v>
      </c>
      <c r="H194" t="str">
        <f>HYPERLINK("http://exon.niaid.nih.gov/transcriptome/An_gambiae_male_2006/ST1/links/AGM-7-90-90-asb-149.txt","Contig-149")</f>
        <v>Contig-149</v>
      </c>
      <c r="I194" s="1">
        <v>149</v>
      </c>
      <c r="J194" t="str">
        <f>HYPERLINK("http://exon.niaid.nih.gov/transcriptome/An_gambiae_male_2006/ST1/links/AGM-7-90-90-149-CLU.txt","Contig149")</f>
        <v>Contig149</v>
      </c>
      <c r="K194" t="s">
        <v>602</v>
      </c>
      <c r="R194" s="2" t="str">
        <f>HYPERLINK("http://exon.niaid.nih.gov/transcriptome/An_gambiae_male_2006/ST1/links/AGM-contig_149-AGPROT.txt","ENSANGP00000028224")</f>
        <v>ENSANGP00000028224</v>
      </c>
      <c r="S194" s="1" t="str">
        <f>HYPERLINK("http://www.ensembl.org/Anopheles_gambiae/protview?peptide=ENSANGP00000028224","0.002")</f>
        <v>0.002</v>
      </c>
      <c r="T194" s="1" t="str">
        <f>HYPERLINK("http://www.anobase.org/cgi-bin/uniexcel_new_var6.pl?proteinname=ENSANGP00000028224","0.002")</f>
        <v>0.002</v>
      </c>
      <c r="AC194" s="2" t="str">
        <f>HYPERLINK("http://exon.niaid.nih.gov/transcriptome/An_gambiae_male_2006/ST1/links/AGM-contig_149-NR.txt","similar to Snf2-related CBP activat")</f>
        <v>similar to Snf2-related CBP activat</v>
      </c>
      <c r="AD194" s="1" t="str">
        <f>HYPERLINK("http://www.ncbi.nlm.nih.gov/sutils/blink.cgi?pid=34859306","3E-005")</f>
        <v>3E-005</v>
      </c>
      <c r="AE194" s="1" t="s">
        <v>313</v>
      </c>
      <c r="AF194" s="9" t="s">
        <v>369</v>
      </c>
      <c r="AG194" s="6" t="s">
        <v>511</v>
      </c>
      <c r="AH194" s="6" t="s">
        <v>511</v>
      </c>
      <c r="AJ194" s="6">
        <f>AJ193+1</f>
        <v>45</v>
      </c>
    </row>
    <row r="195" spans="1:36" ht="9.75">
      <c r="A195" t="str">
        <f>HYPERLINK("http://exon.niaid.nih.gov/transcriptome/An_gambiae_male_2006/ST1/links/AGM-contig_121.txt","AGM-contig_121")</f>
        <v>AGM-contig_121</v>
      </c>
      <c r="B195" s="1">
        <v>1</v>
      </c>
      <c r="C195" s="1">
        <v>209</v>
      </c>
      <c r="D195" s="1">
        <f>D194+B195</f>
        <v>48</v>
      </c>
      <c r="E195" s="1">
        <v>1.4</v>
      </c>
      <c r="F195" s="1">
        <v>59.3</v>
      </c>
      <c r="G195" s="1" t="s">
        <v>260</v>
      </c>
      <c r="H195" t="str">
        <f>HYPERLINK("http://exon.niaid.nih.gov/transcriptome/An_gambiae_male_2006/ST1/links/AGM-7-90-90-asb-121.txt","Contig-121")</f>
        <v>Contig-121</v>
      </c>
      <c r="I195" s="1">
        <v>121</v>
      </c>
      <c r="J195" t="str">
        <f>HYPERLINK("http://exon.niaid.nih.gov/transcriptome/An_gambiae_male_2006/ST1/links/AGM-7-90-90-121-CLU.txt","Contig121")</f>
        <v>Contig121</v>
      </c>
      <c r="K195" t="s">
        <v>574</v>
      </c>
      <c r="R195" s="2" t="str">
        <f>HYPERLINK("http://exon.niaid.nih.gov/transcriptome/An_gambiae_male_2006/ST1/links/AGM-contig_121-AGPROT.txt","ENSANGP00000025094")</f>
        <v>ENSANGP00000025094</v>
      </c>
      <c r="S195" s="1" t="str">
        <f>HYPERLINK("http://www.ensembl.org/Anopheles_gambiae/protview?peptide=ENSANGP00000025094","0.004")</f>
        <v>0.004</v>
      </c>
      <c r="T195" s="1" t="str">
        <f>HYPERLINK("http://www.anobase.org/cgi-bin/uniexcel_new_var6.pl?proteinname=ENSANGP00000025094","0.004")</f>
        <v>0.004</v>
      </c>
      <c r="AC195" s="2" t="str">
        <f>HYPERLINK("http://exon.niaid.nih.gov/transcriptome/An_gambiae_male_2006/ST1/links/AGM-contig_121-NR.txt","predicted protein [Neurospora crass")</f>
        <v>predicted protein [Neurospora crass</v>
      </c>
      <c r="AD195" s="1" t="str">
        <f>HYPERLINK("http://www.ncbi.nlm.nih.gov/sutils/blink.cgi?pid=32404462","0.005")</f>
        <v>0.005</v>
      </c>
      <c r="AE195" s="1" t="s">
        <v>313</v>
      </c>
      <c r="AF195" s="9" t="s">
        <v>376</v>
      </c>
      <c r="AG195" s="6" t="s">
        <v>511</v>
      </c>
      <c r="AH195" s="6" t="s">
        <v>511</v>
      </c>
      <c r="AJ195" s="6">
        <f>AJ194+1</f>
        <v>46</v>
      </c>
    </row>
    <row r="196" spans="1:36" ht="9.75">
      <c r="A196" t="str">
        <f>HYPERLINK("http://exon.niaid.nih.gov/transcriptome/An_gambiae_male_2006/ST1/links/AGM-contig_127.txt","AGM-contig_127")</f>
        <v>AGM-contig_127</v>
      </c>
      <c r="B196" s="1">
        <v>1</v>
      </c>
      <c r="C196" s="1">
        <v>1277</v>
      </c>
      <c r="D196" s="1">
        <f>D195+B196</f>
        <v>49</v>
      </c>
      <c r="E196" s="1">
        <v>4</v>
      </c>
      <c r="F196" s="1">
        <v>47.2</v>
      </c>
      <c r="G196" s="1" t="s">
        <v>260</v>
      </c>
      <c r="H196" t="str">
        <f>HYPERLINK("http://exon.niaid.nih.gov/transcriptome/An_gambiae_male_2006/ST1/links/AGM-7-90-90-asb-127.txt","Contig-127")</f>
        <v>Contig-127</v>
      </c>
      <c r="I196" s="1">
        <v>127</v>
      </c>
      <c r="J196" t="str">
        <f>HYPERLINK("http://exon.niaid.nih.gov/transcriptome/An_gambiae_male_2006/ST1/links/AGM-7-90-90-127-CLU.txt","Contig127")</f>
        <v>Contig127</v>
      </c>
      <c r="K196" t="s">
        <v>580</v>
      </c>
      <c r="N196" s="2" t="str">
        <f>HYPERLINK("http://exon.niaid.nih.gov/transcriptome/An_gambiae_male_2006/ST1/links/AGM-contig_127-AG3P.txt","ENSANGP00000028341")</f>
        <v>ENSANGP00000028341</v>
      </c>
      <c r="O196" s="1" t="str">
        <f>HYPERLINK("http://www.anobase.org/cgi-bin/uniexcel_new_var6.pl?proteinname=ENSANGP00000028341","6.E-15")</f>
        <v>6.E-15</v>
      </c>
      <c r="P196" s="2" t="str">
        <f>HYPERLINK("http://exon.niaid.nih.gov/transcriptome/An_gambiae_male_2006/ST1/links/AGM-contig_127-AG5P.txt","ENSANGP00000019255")</f>
        <v>ENSANGP00000019255</v>
      </c>
      <c r="Q196" s="4" t="str">
        <f>HYPERLINK("http://www.anobase.org/cgi-bin/uniexcel_new_var6.pl?proteinname=ENSANGP00000019255","6.E-15")</f>
        <v>6.E-15</v>
      </c>
      <c r="R196" s="2" t="str">
        <f>HYPERLINK("http://exon.niaid.nih.gov/transcriptome/An_gambiae_male_2006/ST1/links/AGM-contig_127-AGPROT.txt","ENSANGP00000007490")</f>
        <v>ENSANGP00000007490</v>
      </c>
      <c r="S196" s="1" t="str">
        <f>HYPERLINK("http://www.ensembl.org/Anopheles_gambiae/protview?peptide=ENSANGP00000007490","0.004")</f>
        <v>0.004</v>
      </c>
      <c r="T196" s="1" t="str">
        <f>HYPERLINK("http://www.anobase.org/cgi-bin/uniexcel_new_var6.pl?proteinname=ENSANGP00000007490","0.004")</f>
        <v>0.004</v>
      </c>
      <c r="AC196" s="2" t="str">
        <f>HYPERLINK("http://exon.niaid.nih.gov/transcriptome/An_gambiae_male_2006/ST1/links/AGM-contig_127-NR.txt","pherophorin-dz1 protein [Volvox cart")</f>
        <v>pherophorin-dz1 protein [Volvox cart</v>
      </c>
      <c r="AD196" s="1" t="str">
        <f>HYPERLINK("http://www.ncbi.nlm.nih.gov/sutils/blink.cgi?pid=21322711","0.0")</f>
        <v>0.0</v>
      </c>
      <c r="AE196" s="1" t="s">
        <v>314</v>
      </c>
      <c r="AF196" s="9" t="s">
        <v>849</v>
      </c>
      <c r="AG196" s="6" t="s">
        <v>511</v>
      </c>
      <c r="AH196" s="6" t="s">
        <v>511</v>
      </c>
      <c r="AJ196" s="6">
        <f>AJ195+1</f>
        <v>47</v>
      </c>
    </row>
    <row r="197" spans="1:36" ht="9.75">
      <c r="A197" t="str">
        <f>HYPERLINK("http://exon.niaid.nih.gov/transcriptome/An_gambiae_male_2006/ST1/links/AGM-contig_236.txt","AGM-contig_236")</f>
        <v>AGM-contig_236</v>
      </c>
      <c r="B197" s="1">
        <v>1</v>
      </c>
      <c r="C197" s="1">
        <v>290</v>
      </c>
      <c r="D197" s="1">
        <f>D196+B197</f>
        <v>50</v>
      </c>
      <c r="E197" s="1" t="s">
        <v>209</v>
      </c>
      <c r="F197" s="1">
        <v>40.3</v>
      </c>
      <c r="G197" s="1">
        <v>271</v>
      </c>
      <c r="H197" t="str">
        <f>HYPERLINK("http://exon.niaid.nih.gov/transcriptome/An_gambiae_male_2006/ST1/links/AGM-7-90-90-asb-236.txt","Contig-236")</f>
        <v>Contig-236</v>
      </c>
      <c r="I197" s="1">
        <v>236</v>
      </c>
      <c r="J197" t="str">
        <f>HYPERLINK("http://exon.niaid.nih.gov/transcriptome/An_gambiae_male_2006/ST1/links/AGM-7-90-90-236-CLU.txt","Contig236")</f>
        <v>Contig236</v>
      </c>
      <c r="K197" t="s">
        <v>689</v>
      </c>
      <c r="R197" s="2" t="str">
        <f>HYPERLINK("http://exon.niaid.nih.gov/transcriptome/An_gambiae_male_2006/ST1/links/AGM-contig_236-AGPROT.txt","ENSANGP00000012929")</f>
        <v>ENSANGP00000012929</v>
      </c>
      <c r="S197" s="1" t="str">
        <f>HYPERLINK("http://www.ensembl.org/Anopheles_gambiae/protview?peptide=ENSANGP00000012929","0.004")</f>
        <v>0.004</v>
      </c>
      <c r="T197" s="1" t="str">
        <f>HYPERLINK("http://www.anobase.org/cgi-bin/uniexcel_new_var6.pl?proteinname=ENSANGP00000012929","0.004")</f>
        <v>0.004</v>
      </c>
      <c r="AC197" s="2" t="str">
        <f>HYPERLINK("http://exon.niaid.nih.gov/transcriptome/An_gambiae_male_2006/ST1/links/AGM-contig_236-NR.txt","serine/arginine repetitive matrix 2")</f>
        <v>serine/arginine repetitive matrix 2</v>
      </c>
      <c r="AD197" s="1" t="str">
        <f>HYPERLINK("http://www.ncbi.nlm.nih.gov/sutils/blink.cgi?pid=30424862","0.001")</f>
        <v>0.001</v>
      </c>
      <c r="AE197" s="1" t="s">
        <v>313</v>
      </c>
      <c r="AF197" s="9" t="s">
        <v>438</v>
      </c>
      <c r="AG197" s="6" t="s">
        <v>511</v>
      </c>
      <c r="AH197" s="6" t="s">
        <v>511</v>
      </c>
      <c r="AJ197" s="6">
        <f>AJ196+1</f>
        <v>48</v>
      </c>
    </row>
    <row r="198" spans="1:36" ht="9.75">
      <c r="A198" t="str">
        <f>HYPERLINK("http://exon.niaid.nih.gov/transcriptome/An_gambiae_male_2006/ST1/links/AGM-contig_116.txt","AGM-contig_116")</f>
        <v>AGM-contig_116</v>
      </c>
      <c r="B198" s="1">
        <v>1</v>
      </c>
      <c r="C198" s="1">
        <v>833</v>
      </c>
      <c r="D198" s="1">
        <f>D197+B198</f>
        <v>51</v>
      </c>
      <c r="E198" s="1">
        <v>0.6</v>
      </c>
      <c r="F198" s="1">
        <v>56.9</v>
      </c>
      <c r="G198" s="1" t="s">
        <v>260</v>
      </c>
      <c r="H198" t="str">
        <f>HYPERLINK("http://exon.niaid.nih.gov/transcriptome/An_gambiae_male_2006/ST1/links/AGM-7-90-90-asb-116.txt","Contig-116")</f>
        <v>Contig-116</v>
      </c>
      <c r="I198" s="1">
        <v>116</v>
      </c>
      <c r="J198" t="str">
        <f>HYPERLINK("http://exon.niaid.nih.gov/transcriptome/An_gambiae_male_2006/ST1/links/AGM-7-90-90-116-CLU.txt","Contig116")</f>
        <v>Contig116</v>
      </c>
      <c r="K198" t="s">
        <v>569</v>
      </c>
      <c r="R198" s="2" t="str">
        <f>HYPERLINK("http://exon.niaid.nih.gov/transcriptome/An_gambiae_male_2006/ST1/links/AGM-contig_116-AGPROT.txt","ENSANGP00000024412")</f>
        <v>ENSANGP00000024412</v>
      </c>
      <c r="S198" s="1" t="str">
        <f>HYPERLINK("http://www.ensembl.org/Anopheles_gambiae/protview?peptide=ENSANGP00000024412","0.004")</f>
        <v>0.004</v>
      </c>
      <c r="T198" s="1" t="str">
        <f>HYPERLINK("http://www.anobase.org/cgi-bin/uniexcel_new_var6.pl?proteinname=ENSANGP00000024412","0.004")</f>
        <v>0.004</v>
      </c>
      <c r="AC198" s="2" t="str">
        <f>HYPERLINK("http://exon.niaid.nih.gov/transcriptome/An_gambiae_male_2006/ST1/links/AGM-contig_116-NR.txt","hypothetical protein PB404290.00.0 [")</f>
        <v>hypothetical protein PB404290.00.0 [</v>
      </c>
      <c r="AD198" s="1" t="str">
        <f>HYPERLINK("http://www.ncbi.nlm.nih.gov/sutils/blink.cgi?pid=56486252","2E-004")</f>
        <v>2E-004</v>
      </c>
      <c r="AE198" s="1" t="s">
        <v>313</v>
      </c>
      <c r="AF198" s="9" t="s">
        <v>428</v>
      </c>
      <c r="AG198" s="6" t="s">
        <v>511</v>
      </c>
      <c r="AH198" s="6" t="s">
        <v>511</v>
      </c>
      <c r="AJ198" s="6">
        <f>AJ197+1</f>
        <v>49</v>
      </c>
    </row>
    <row r="199" spans="1:36" ht="9.75">
      <c r="A199" t="str">
        <f>HYPERLINK("http://exon.niaid.nih.gov/transcriptome/An_gambiae_male_2006/ST1/links/AGM-contig_130.txt","AGM-contig_130")</f>
        <v>AGM-contig_130</v>
      </c>
      <c r="B199" s="1">
        <v>1</v>
      </c>
      <c r="C199" s="1">
        <v>586</v>
      </c>
      <c r="D199" s="1">
        <f>D198+B199</f>
        <v>52</v>
      </c>
      <c r="E199" s="1">
        <v>0.7</v>
      </c>
      <c r="F199" s="1">
        <v>49.1</v>
      </c>
      <c r="G199" s="1">
        <v>567</v>
      </c>
      <c r="H199" t="str">
        <f>HYPERLINK("http://exon.niaid.nih.gov/transcriptome/An_gambiae_male_2006/ST1/links/AGM-7-90-90-asb-130.txt","Contig-130")</f>
        <v>Contig-130</v>
      </c>
      <c r="I199" s="1">
        <v>130</v>
      </c>
      <c r="J199" t="str">
        <f>HYPERLINK("http://exon.niaid.nih.gov/transcriptome/An_gambiae_male_2006/ST1/links/AGM-7-90-90-130-CLU.txt","Contig130")</f>
        <v>Contig130</v>
      </c>
      <c r="K199" t="s">
        <v>583</v>
      </c>
      <c r="R199" s="2" t="str">
        <f>HYPERLINK("http://exon.niaid.nih.gov/transcriptome/An_gambiae_male_2006/ST1/links/AGM-contig_130-AGPROT.txt","ENSANGP00000027702")</f>
        <v>ENSANGP00000027702</v>
      </c>
      <c r="S199" s="1" t="str">
        <f>HYPERLINK("http://www.ensembl.org/Anopheles_gambiae/protview?peptide=ENSANGP00000027702","0.012")</f>
        <v>0.012</v>
      </c>
      <c r="T199" s="1" t="str">
        <f>HYPERLINK("http://www.anobase.org/cgi-bin/uniexcel_new_var6.pl?proteinname=ENSANGP00000027702","0.012")</f>
        <v>0.012</v>
      </c>
      <c r="AC199" s="2" t="str">
        <f>HYPERLINK("http://exon.niaid.nih.gov/transcriptome/An_gambiae_male_2006/ST1/links/AGM-contig_130-NR.txt","unnamed protein product [Homo sapiens]     53   4e-006")</f>
        <v>unnamed protein product [Homo sapiens]     53   4e-006</v>
      </c>
      <c r="AD199" s="1" t="str">
        <f>HYPERLINK("http://www.ncbi.nlm.nih.gov/sutils/blink.cgi?pid=34534585","4E-006")</f>
        <v>4E-006</v>
      </c>
      <c r="AE199" s="1" t="s">
        <v>313</v>
      </c>
      <c r="AF199" s="9" t="s">
        <v>797</v>
      </c>
      <c r="AG199" s="6" t="s">
        <v>511</v>
      </c>
      <c r="AH199" s="6" t="s">
        <v>511</v>
      </c>
      <c r="AJ199" s="6">
        <f>AJ198+1</f>
        <v>50</v>
      </c>
    </row>
    <row r="200" spans="1:36" ht="9.75">
      <c r="A200" t="str">
        <f>HYPERLINK("http://exon.niaid.nih.gov/transcriptome/An_gambiae_male_2006/ST1/links/AGM-contig_110.txt","AGM-contig_110")</f>
        <v>AGM-contig_110</v>
      </c>
      <c r="B200" s="1">
        <v>1</v>
      </c>
      <c r="C200" s="1">
        <v>635</v>
      </c>
      <c r="D200" s="1">
        <f>D199+B200</f>
        <v>53</v>
      </c>
      <c r="E200" s="1">
        <v>0.5</v>
      </c>
      <c r="F200" s="1">
        <v>47.7</v>
      </c>
      <c r="G200" s="1">
        <v>616</v>
      </c>
      <c r="H200" t="str">
        <f>HYPERLINK("http://exon.niaid.nih.gov/transcriptome/An_gambiae_male_2006/ST1/links/AGM-7-90-90-asb-110.txt","Contig-110")</f>
        <v>Contig-110</v>
      </c>
      <c r="I200" s="1">
        <v>110</v>
      </c>
      <c r="J200" t="str">
        <f>HYPERLINK("http://exon.niaid.nih.gov/transcriptome/An_gambiae_male_2006/ST1/links/AGM-7-90-90-110-CLU.txt","Contig110")</f>
        <v>Contig110</v>
      </c>
      <c r="K200" t="s">
        <v>563</v>
      </c>
      <c r="R200" s="2" t="str">
        <f>HYPERLINK("http://exon.niaid.nih.gov/transcriptome/An_gambiae_male_2006/ST1/links/AGM-contig_110-AGPROT.txt","ENSANGP00000025827")</f>
        <v>ENSANGP00000025827</v>
      </c>
      <c r="S200" s="1" t="str">
        <f>HYPERLINK("http://www.ensembl.org/Anopheles_gambiae/protview?peptide=ENSANGP00000025827","0.014")</f>
        <v>0.014</v>
      </c>
      <c r="T200" s="1" t="str">
        <f>HYPERLINK("http://www.anobase.org/cgi-bin/uniexcel_new_var6.pl?proteinname=ENSANGP00000025827","0.014")</f>
        <v>0.014</v>
      </c>
      <c r="AC200" s="2" t="str">
        <f>HYPERLINK("http://exon.niaid.nih.gov/transcriptome/An_gambiae_male_2006/ST1/links/AGM-contig_110-NR.txt","unnamed protein product [Homo sapiens]     56   7e-007")</f>
        <v>unnamed protein product [Homo sapiens]     56   7e-007</v>
      </c>
      <c r="AD200" s="1" t="str">
        <f>HYPERLINK("http://www.ncbi.nlm.nih.gov/sutils/blink.cgi?pid=34535778","7E-007")</f>
        <v>7E-007</v>
      </c>
      <c r="AE200" s="1" t="s">
        <v>314</v>
      </c>
      <c r="AF200" s="9" t="s">
        <v>792</v>
      </c>
      <c r="AG200" s="6" t="s">
        <v>511</v>
      </c>
      <c r="AH200" s="6" t="s">
        <v>511</v>
      </c>
      <c r="AJ200" s="6">
        <f>AJ199+1</f>
        <v>51</v>
      </c>
    </row>
    <row r="201" spans="1:36" ht="9.75">
      <c r="A201" t="str">
        <f>HYPERLINK("http://exon.niaid.nih.gov/transcriptome/An_gambiae_male_2006/ST1/links/AGM-contig_128.txt","AGM-contig_128")</f>
        <v>AGM-contig_128</v>
      </c>
      <c r="B201" s="1">
        <v>1</v>
      </c>
      <c r="C201" s="1">
        <v>1043</v>
      </c>
      <c r="D201" s="1">
        <f>D200+B201</f>
        <v>54</v>
      </c>
      <c r="E201" s="1">
        <v>1.5</v>
      </c>
      <c r="F201" s="1">
        <v>46</v>
      </c>
      <c r="G201" s="1">
        <v>660</v>
      </c>
      <c r="H201" t="str">
        <f>HYPERLINK("http://exon.niaid.nih.gov/transcriptome/An_gambiae_male_2006/ST1/links/AGM-7-90-90-asb-128.txt","Contig-128")</f>
        <v>Contig-128</v>
      </c>
      <c r="I201" s="1">
        <v>128</v>
      </c>
      <c r="J201" t="str">
        <f>HYPERLINK("http://exon.niaid.nih.gov/transcriptome/An_gambiae_male_2006/ST1/links/AGM-7-90-90-128-CLU.txt","Contig128")</f>
        <v>Contig128</v>
      </c>
      <c r="K201" t="s">
        <v>581</v>
      </c>
      <c r="L201" s="2" t="str">
        <f>HYPERLINK("http://exon.niaid.nih.gov/transcriptome/An_gambiae_male_2006/ST1/links/AGM-contig_128-AGFRAG.txt","2R_Piece#962")</f>
        <v>2R_Piece#962</v>
      </c>
      <c r="M201" s="4">
        <v>2E-08</v>
      </c>
      <c r="P201" s="2" t="str">
        <f>HYPERLINK("http://exon.niaid.nih.gov/transcriptome/An_gambiae_male_2006/ST1/links/AGM-contig_128-AG5P.txt","ENSANGP00000010611")</f>
        <v>ENSANGP00000010611</v>
      </c>
      <c r="Q201" s="4" t="str">
        <f>HYPERLINK("http://www.anobase.org/cgi-bin/uniexcel_new_var6.pl?proteinname=ENSANGP00000010611","4.E-09")</f>
        <v>4.E-09</v>
      </c>
      <c r="R201" s="2" t="str">
        <f>HYPERLINK("http://exon.niaid.nih.gov/transcriptome/An_gambiae_male_2006/ST1/links/AGM-contig_128-AGPROT.txt","ENSANGP00000027702")</f>
        <v>ENSANGP00000027702</v>
      </c>
      <c r="S201" s="1" t="str">
        <f>HYPERLINK("http://www.ensembl.org/Anopheles_gambiae/protview?peptide=ENSANGP00000027702","0.022")</f>
        <v>0.022</v>
      </c>
      <c r="T201" s="1" t="str">
        <f>HYPERLINK("http://www.anobase.org/cgi-bin/uniexcel_new_var6.pl?proteinname=ENSANGP00000027702","0.022")</f>
        <v>0.022</v>
      </c>
      <c r="AC201" s="2" t="str">
        <f>HYPERLINK("http://exon.niaid.nih.gov/transcriptome/An_gambiae_male_2006/ST1/links/AGM-contig_128-NR.txt","pherophorin-dz1 protein [Volvox cart")</f>
        <v>pherophorin-dz1 protein [Volvox cart</v>
      </c>
      <c r="AD201" s="1" t="str">
        <f>HYPERLINK("http://www.ncbi.nlm.nih.gov/sutils/blink.cgi?pid=21322711","0.0")</f>
        <v>0.0</v>
      </c>
      <c r="AE201" s="1" t="s">
        <v>313</v>
      </c>
      <c r="AF201" s="9" t="s">
        <v>18</v>
      </c>
      <c r="AG201" s="6" t="s">
        <v>511</v>
      </c>
      <c r="AH201" s="6" t="s">
        <v>511</v>
      </c>
      <c r="AJ201" s="6">
        <f>AJ200+1</f>
        <v>52</v>
      </c>
    </row>
    <row r="202" spans="1:36" ht="9.75">
      <c r="A202" t="str">
        <f>HYPERLINK("http://exon.niaid.nih.gov/transcriptome/An_gambiae_male_2006/ST1/links/AGM-contig_135.txt","AGM-contig_135")</f>
        <v>AGM-contig_135</v>
      </c>
      <c r="B202" s="1">
        <v>1</v>
      </c>
      <c r="C202" s="1">
        <v>684</v>
      </c>
      <c r="D202" s="1">
        <f>D201+B202</f>
        <v>55</v>
      </c>
      <c r="E202" s="1">
        <v>1.9</v>
      </c>
      <c r="F202" s="1">
        <v>46.8</v>
      </c>
      <c r="G202" s="1" t="s">
        <v>260</v>
      </c>
      <c r="H202" t="str">
        <f>HYPERLINK("http://exon.niaid.nih.gov/transcriptome/An_gambiae_male_2006/ST1/links/AGM-7-90-90-asb-135.txt","Contig-135")</f>
        <v>Contig-135</v>
      </c>
      <c r="I202" s="1">
        <v>135</v>
      </c>
      <c r="J202" t="str">
        <f>HYPERLINK("http://exon.niaid.nih.gov/transcriptome/An_gambiae_male_2006/ST1/links/AGM-7-90-90-135-CLU.txt","Contig135")</f>
        <v>Contig135</v>
      </c>
      <c r="K202" t="s">
        <v>588</v>
      </c>
      <c r="L202" s="2" t="str">
        <f>HYPERLINK("http://exon.niaid.nih.gov/transcriptome/An_gambiae_male_2006/ST1/links/AGM-contig_135-AGFRAG.txt","X_Piece#737")</f>
        <v>X_Piece#737</v>
      </c>
      <c r="M202" s="4">
        <v>2E-07</v>
      </c>
      <c r="R202" s="2" t="str">
        <f>HYPERLINK("http://exon.niaid.nih.gov/transcriptome/An_gambiae_male_2006/ST1/links/AGM-contig_135-AGPROT.txt","ENSANGP00000028399")</f>
        <v>ENSANGP00000028399</v>
      </c>
      <c r="S202" s="1" t="str">
        <f>HYPERLINK("http://www.ensembl.org/Anopheles_gambiae/protview?peptide=ENSANGP00000028399","0.027")</f>
        <v>0.027</v>
      </c>
      <c r="T202" s="1" t="str">
        <f>HYPERLINK("http://www.anobase.org/cgi-bin/uniexcel_new_var6.pl?proteinname=ENSANGP00000028399","0.027")</f>
        <v>0.027</v>
      </c>
      <c r="AC202" s="2" t="str">
        <f>HYPERLINK("http://exon.niaid.nih.gov/transcriptome/An_gambiae_male_2006/ST1/links/AGM-contig_135-NR.txt","unnamed protein product [Homo sapiens]     44   0.005")</f>
        <v>unnamed protein product [Homo sapiens]     44   0.005</v>
      </c>
      <c r="AD202" s="1" t="str">
        <f>HYPERLINK("http://www.ncbi.nlm.nih.gov/sutils/blink.cgi?pid=34535355","0.005")</f>
        <v>0.005</v>
      </c>
      <c r="AE202" s="1" t="s">
        <v>313</v>
      </c>
      <c r="AF202" s="9" t="s">
        <v>833</v>
      </c>
      <c r="AG202" s="6" t="s">
        <v>511</v>
      </c>
      <c r="AH202" s="6" t="s">
        <v>511</v>
      </c>
      <c r="AJ202" s="6">
        <f>AJ201+1</f>
        <v>53</v>
      </c>
    </row>
    <row r="203" spans="1:40" ht="9.75">
      <c r="A203" t="str">
        <f>HYPERLINK("http://exon.niaid.nih.gov/transcriptome/An_gambiae_male_2006/ST1/links/AGM-contig_144.txt","AGM-contig_144")</f>
        <v>AGM-contig_144</v>
      </c>
      <c r="B203" s="1">
        <v>1</v>
      </c>
      <c r="C203" s="1">
        <v>855</v>
      </c>
      <c r="D203" s="1">
        <f>D202+B203</f>
        <v>56</v>
      </c>
      <c r="E203" s="1">
        <v>2.9</v>
      </c>
      <c r="F203" s="1">
        <v>59.9</v>
      </c>
      <c r="G203" s="1">
        <v>161</v>
      </c>
      <c r="H203" t="str">
        <f>HYPERLINK("http://exon.niaid.nih.gov/transcriptome/An_gambiae_male_2006/ST1/links/AGM-7-90-90-asb-144.txt","Contig-144")</f>
        <v>Contig-144</v>
      </c>
      <c r="I203" s="1">
        <v>144</v>
      </c>
      <c r="J203" t="str">
        <f>HYPERLINK("http://exon.niaid.nih.gov/transcriptome/An_gambiae_male_2006/ST1/links/AGM-7-90-90-144-CLU.txt","Contig144")</f>
        <v>Contig144</v>
      </c>
      <c r="K203" t="s">
        <v>597</v>
      </c>
      <c r="L203" s="2" t="str">
        <f>HYPERLINK("http://exon.niaid.nih.gov/transcriptome/An_gambiae_male_2006/ST1/links/AGM-contig_144-AGFRAG.txt","UNKN_Piece#1693")</f>
        <v>UNKN_Piece#1693</v>
      </c>
      <c r="M203" s="4">
        <v>2E-11</v>
      </c>
      <c r="R203" s="2" t="str">
        <f>HYPERLINK("http://exon.niaid.nih.gov/transcriptome/An_gambiae_male_2006/ST1/links/AGM-contig_144-AGPROT.txt","ENSANGP00000023744")</f>
        <v>ENSANGP00000023744</v>
      </c>
      <c r="S203" s="1" t="str">
        <f>HYPERLINK("http://www.ensembl.org/Anopheles_gambiae/protview?peptide=ENSANGP00000023744","0.029")</f>
        <v>0.029</v>
      </c>
      <c r="T203" s="1" t="str">
        <f>HYPERLINK("http://www.anobase.org/cgi-bin/uniexcel_new_var6.pl?proteinname=ENSANGP00000023744","0.029")</f>
        <v>0.029</v>
      </c>
      <c r="AC203" s="2" t="str">
        <f>HYPERLINK("http://exon.niaid.nih.gov/transcriptome/An_gambiae_male_2006/ST1/links/AGM-contig_144-NR.txt","unnamed protein product [Mus musculus]     59   2e-007")</f>
        <v>unnamed protein product [Mus musculus]     59   2e-007</v>
      </c>
      <c r="AD203" s="1" t="str">
        <f>HYPERLINK("http://www.ncbi.nlm.nih.gov/sutils/blink.cgi?pid=26333733","2E-007")</f>
        <v>2E-007</v>
      </c>
      <c r="AE203" s="1" t="s">
        <v>314</v>
      </c>
      <c r="AF203" s="9" t="s">
        <v>318</v>
      </c>
      <c r="AG203" s="6" t="s">
        <v>511</v>
      </c>
      <c r="AH203" s="6" t="s">
        <v>511</v>
      </c>
      <c r="AJ203" s="6">
        <f>AJ202+1</f>
        <v>54</v>
      </c>
      <c r="AM203" s="2" t="str">
        <f>HYPERLINK("http://exon.niaid.nih.gov/transcriptome/An_gambiae_male_2006/ST1/links/RRNA/AGM-contig_144-RRNA.txt","P.falciparum 5S rRNA gene, clone N2                56   4e-008")</f>
        <v>P.falciparum 5S rRNA gene, clone N2                56   4e-008</v>
      </c>
      <c r="AN203" s="4">
        <v>4E-08</v>
      </c>
    </row>
    <row r="204" spans="1:36" ht="9.75">
      <c r="A204" t="str">
        <f>HYPERLINK("http://exon.niaid.nih.gov/transcriptome/An_gambiae_male_2006/ST1/links/AGM-contig_120.txt","AGM-contig_120")</f>
        <v>AGM-contig_120</v>
      </c>
      <c r="B204" s="1">
        <v>1</v>
      </c>
      <c r="C204" s="1">
        <v>645</v>
      </c>
      <c r="D204" s="1">
        <f>D203+B204</f>
        <v>57</v>
      </c>
      <c r="E204" s="1">
        <v>5.6</v>
      </c>
      <c r="F204" s="1">
        <v>57.1</v>
      </c>
      <c r="G204" s="1" t="s">
        <v>260</v>
      </c>
      <c r="H204" t="str">
        <f>HYPERLINK("http://exon.niaid.nih.gov/transcriptome/An_gambiae_male_2006/ST1/links/AGM-7-90-90-asb-120.txt","Contig-120")</f>
        <v>Contig-120</v>
      </c>
      <c r="I204" s="1">
        <v>120</v>
      </c>
      <c r="J204" t="str">
        <f>HYPERLINK("http://exon.niaid.nih.gov/transcriptome/An_gambiae_male_2006/ST1/links/AGM-7-90-90-120-CLU.txt","Contig120")</f>
        <v>Contig120</v>
      </c>
      <c r="K204" t="s">
        <v>573</v>
      </c>
      <c r="L204" s="2" t="str">
        <f>HYPERLINK("http://exon.niaid.nih.gov/transcriptome/An_gambiae_male_2006/ST1/links/AGM-contig_120-AGFRAG.txt","UNKN_Piece#1377")</f>
        <v>UNKN_Piece#1377</v>
      </c>
      <c r="M204" s="4">
        <v>5E-11</v>
      </c>
      <c r="N204" s="2" t="str">
        <f>HYPERLINK("http://exon.niaid.nih.gov/transcriptome/An_gambiae_male_2006/ST1/links/AGM-contig_120-AG3P.txt","ENSANGP00000003582")</f>
        <v>ENSANGP00000003582</v>
      </c>
      <c r="O204" s="1" t="str">
        <f>HYPERLINK("http://www.anobase.org/cgi-bin/uniexcel_new_var6.pl?proteinname=ENSANGP00000003582","1.E-11")</f>
        <v>1.E-11</v>
      </c>
      <c r="P204" s="2" t="str">
        <f>HYPERLINK("http://exon.niaid.nih.gov/transcriptome/An_gambiae_male_2006/ST1/links/AGM-contig_120-AG5P.txt","ENSANGP00000026783")</f>
        <v>ENSANGP00000026783</v>
      </c>
      <c r="Q204" s="4" t="str">
        <f>HYPERLINK("http://www.anobase.org/cgi-bin/uniexcel_new_var6.pl?proteinname=ENSANGP00000026783","1.E-11")</f>
        <v>1.E-11</v>
      </c>
      <c r="R204" s="2" t="str">
        <f>HYPERLINK("http://exon.niaid.nih.gov/transcriptome/An_gambiae_male_2006/ST1/links/AGM-contig_120-AGPROT.txt","ENSANGP00000020915")</f>
        <v>ENSANGP00000020915</v>
      </c>
      <c r="S204" s="1" t="str">
        <f>HYPERLINK("http://www.ensembl.org/Anopheles_gambiae/protview?peptide=ENSANGP00000020915","0.042")</f>
        <v>0.042</v>
      </c>
      <c r="T204" s="1" t="str">
        <f>HYPERLINK("http://www.anobase.org/cgi-bin/uniexcel_new_var6.pl?proteinname=ENSANGP00000020915","0.042")</f>
        <v>0.042</v>
      </c>
      <c r="AC204" s="2" t="str">
        <f>HYPERLINK("http://exon.niaid.nih.gov/transcriptome/An_gambiae_male_2006/ST1/links/AGM-contig_120-NR.txt","hypothetical protein PF14_0390 [Pla")</f>
        <v>hypothetical protein PF14_0390 [Pla</v>
      </c>
      <c r="AD204" s="1" t="str">
        <f>HYPERLINK("http://www.ncbi.nlm.nih.gov/sutils/blink.cgi?pid=23509612","1E-004")</f>
        <v>1E-004</v>
      </c>
      <c r="AE204" s="1" t="s">
        <v>314</v>
      </c>
      <c r="AF204" s="9" t="s">
        <v>851</v>
      </c>
      <c r="AG204" s="6" t="s">
        <v>459</v>
      </c>
      <c r="AH204" s="6" t="s">
        <v>511</v>
      </c>
      <c r="AJ204" s="6">
        <f>AJ203+1</f>
        <v>55</v>
      </c>
    </row>
    <row r="205" spans="1:36" ht="9.75">
      <c r="A205" t="str">
        <f>HYPERLINK("http://exon.niaid.nih.gov/transcriptome/An_gambiae_male_2006/ST1/links/AGM-contig_29.txt","AGM-contig_29")</f>
        <v>AGM-contig_29</v>
      </c>
      <c r="B205" s="1">
        <v>1</v>
      </c>
      <c r="C205" s="1">
        <v>688</v>
      </c>
      <c r="D205" s="1">
        <f>D204+B205</f>
        <v>58</v>
      </c>
      <c r="E205" s="1">
        <v>0.9</v>
      </c>
      <c r="F205" s="1">
        <v>63.1</v>
      </c>
      <c r="G205" s="1">
        <v>34</v>
      </c>
      <c r="H205" t="str">
        <f>HYPERLINK("http://exon.niaid.nih.gov/transcriptome/An_gambiae_male_2006/ST1/links/AGM-7-90-90-asb-29.txt","Contig-29")</f>
        <v>Contig-29</v>
      </c>
      <c r="I205" s="1">
        <v>29</v>
      </c>
      <c r="J205" t="str">
        <f>HYPERLINK("http://exon.niaid.nih.gov/transcriptome/An_gambiae_male_2006/ST1/links/AGM-7-90-90-29-CLU.txt","Contig29")</f>
        <v>Contig29</v>
      </c>
      <c r="K205" t="s">
        <v>238</v>
      </c>
      <c r="R205" s="2" t="str">
        <f>HYPERLINK("http://exon.niaid.nih.gov/transcriptome/An_gambiae_male_2006/ST1/links/AGM-contig_29-AGPROT.txt","ENSANGP00000025467")</f>
        <v>ENSANGP00000025467</v>
      </c>
      <c r="S205" s="1" t="str">
        <f>HYPERLINK("http://www.ensembl.org/Anopheles_gambiae/protview?peptide=ENSANGP00000025467","0.051")</f>
        <v>0.051</v>
      </c>
      <c r="T205" s="1" t="str">
        <f>HYPERLINK("http://www.anobase.org/cgi-bin/uniexcel_new_var6.pl?proteinname=ENSANGP00000025467","0.051")</f>
        <v>0.051</v>
      </c>
      <c r="AC205" s="2" t="str">
        <f>HYPERLINK("http://exon.niaid.nih.gov/transcriptome/An_gambiae_male_2006/ST1/links/AGM-contig_29-NR.txt","unnamed protein product [Debaryomyce")</f>
        <v>unnamed protein product [Debaryomyce</v>
      </c>
      <c r="AD205" s="1" t="str">
        <f>HYPERLINK("http://www.ncbi.nlm.nih.gov/sutils/blink.cgi?pid=49655771","0.065")</f>
        <v>0.065</v>
      </c>
      <c r="AE205" s="1" t="s">
        <v>313</v>
      </c>
      <c r="AF205" s="9" t="s">
        <v>323</v>
      </c>
      <c r="AG205" s="6" t="s">
        <v>511</v>
      </c>
      <c r="AH205" s="6" t="s">
        <v>511</v>
      </c>
      <c r="AJ205" s="6">
        <f>AJ204+1</f>
        <v>56</v>
      </c>
    </row>
    <row r="206" spans="1:36" ht="9.75">
      <c r="A206" t="str">
        <f>HYPERLINK("http://exon.niaid.nih.gov/transcriptome/An_gambiae_male_2006/ST1/links/AGM-contig_108.txt","AGM-contig_108")</f>
        <v>AGM-contig_108</v>
      </c>
      <c r="B206" s="1">
        <v>1</v>
      </c>
      <c r="C206" s="1">
        <v>563</v>
      </c>
      <c r="D206" s="1">
        <f>D205+B206</f>
        <v>59</v>
      </c>
      <c r="E206" s="1">
        <v>3.6</v>
      </c>
      <c r="F206" s="1">
        <v>55.6</v>
      </c>
      <c r="G206" s="1" t="s">
        <v>260</v>
      </c>
      <c r="H206" t="str">
        <f>HYPERLINK("http://exon.niaid.nih.gov/transcriptome/An_gambiae_male_2006/ST1/links/AGM-7-90-90-asb-108.txt","Contig-108")</f>
        <v>Contig-108</v>
      </c>
      <c r="I206" s="1">
        <v>108</v>
      </c>
      <c r="J206" t="str">
        <f>HYPERLINK("http://exon.niaid.nih.gov/transcriptome/An_gambiae_male_2006/ST1/links/AGM-7-90-90-108-CLU.txt","Contig108")</f>
        <v>Contig108</v>
      </c>
      <c r="K206" t="s">
        <v>561</v>
      </c>
      <c r="R206" s="2" t="str">
        <f>HYPERLINK("http://exon.niaid.nih.gov/transcriptome/An_gambiae_male_2006/ST1/links/AGM-contig_108-AGPROT.txt","ENSANGP00000010156")</f>
        <v>ENSANGP00000010156</v>
      </c>
      <c r="S206" s="1" t="str">
        <f>HYPERLINK("http://www.ensembl.org/Anopheles_gambiae/protview?peptide=ENSANGP00000010156","0.057")</f>
        <v>0.057</v>
      </c>
      <c r="T206" s="1" t="str">
        <f>HYPERLINK("http://www.anobase.org/cgi-bin/uniexcel_new_var6.pl?proteinname=ENSANGP00000010156","0.057")</f>
        <v>0.057</v>
      </c>
      <c r="AC206" s="2" t="str">
        <f>HYPERLINK("http://exon.niaid.nih.gov/transcriptome/An_gambiae_male_2006/ST1/links/AGM-contig_108-NR.txt","hypothetical protein PB404290.00.0 [")</f>
        <v>hypothetical protein PB404290.00.0 [</v>
      </c>
      <c r="AD206" s="1" t="str">
        <f>HYPERLINK("http://www.ncbi.nlm.nih.gov/sutils/blink.cgi?pid=56486252","0.002")</f>
        <v>0.002</v>
      </c>
      <c r="AE206" s="1" t="s">
        <v>313</v>
      </c>
      <c r="AF206" s="9" t="s">
        <v>439</v>
      </c>
      <c r="AG206" s="6" t="s">
        <v>511</v>
      </c>
      <c r="AH206" s="6" t="s">
        <v>511</v>
      </c>
      <c r="AJ206" s="6">
        <f>AJ205+1</f>
        <v>57</v>
      </c>
    </row>
    <row r="207" spans="1:36" ht="9.75">
      <c r="A207" t="str">
        <f>HYPERLINK("http://exon.niaid.nih.gov/transcriptome/An_gambiae_male_2006/ST1/links/AGM-contig_363.txt","AGM-contig_363")</f>
        <v>AGM-contig_363</v>
      </c>
      <c r="B207" s="1">
        <v>1</v>
      </c>
      <c r="C207" s="1">
        <v>287</v>
      </c>
      <c r="D207" s="1">
        <f>D206+B207</f>
        <v>60</v>
      </c>
      <c r="E207" s="1">
        <v>0.3</v>
      </c>
      <c r="F207" s="1">
        <v>61.7</v>
      </c>
      <c r="G207" s="1">
        <v>268</v>
      </c>
      <c r="H207" t="str">
        <f>HYPERLINK("http://exon.niaid.nih.gov/transcriptome/An_gambiae_male_2006/ST1/links/AGM-7-90-90-asb-363.txt","Contig-363")</f>
        <v>Contig-363</v>
      </c>
      <c r="I207" s="1">
        <v>363</v>
      </c>
      <c r="J207" t="str">
        <f>HYPERLINK("http://exon.niaid.nih.gov/transcriptome/An_gambiae_male_2006/ST1/links/AGM-7-90-90-363-CLU.txt","Contig363")</f>
        <v>Contig363</v>
      </c>
      <c r="K207" t="s">
        <v>303</v>
      </c>
      <c r="L207" s="2" t="str">
        <f>HYPERLINK("http://exon.niaid.nih.gov/transcriptome/An_gambiae_male_2006/ST1/links/AGM-contig_363-AGFRAG.txt","3R_Piece#1073")</f>
        <v>3R_Piece#1073</v>
      </c>
      <c r="M207" s="4">
        <v>1E-144</v>
      </c>
      <c r="N207" s="2" t="str">
        <f>HYPERLINK("http://exon.niaid.nih.gov/transcriptome/An_gambiae_male_2006/ST1/links/AGM-contig_363-AG3P.txt","ENSANGP00000018651")</f>
        <v>ENSANGP00000018651</v>
      </c>
      <c r="O207" s="1" t="str">
        <f>HYPERLINK("http://www.anobase.org/cgi-bin/uniexcel_new_var6.pl?proteinname=ENSANGP00000018651","1.E-09")</f>
        <v>1.E-09</v>
      </c>
      <c r="P207" s="2" t="str">
        <f>HYPERLINK("http://exon.niaid.nih.gov/transcriptome/An_gambiae_male_2006/ST1/links/AGM-contig_363-AG5P.txt","ENSANGP00000010638")</f>
        <v>ENSANGP00000010638</v>
      </c>
      <c r="Q207" s="4" t="str">
        <f>HYPERLINK("http://www.anobase.org/cgi-bin/uniexcel_new_var6.pl?proteinname=ENSANGP00000010638","1.E-144")</f>
        <v>1.E-144</v>
      </c>
      <c r="R207" s="2" t="str">
        <f>HYPERLINK("http://exon.niaid.nih.gov/transcriptome/An_gambiae_male_2006/ST1/links/AGM-contig_363-AGPROT.txt","ENSANGP00000000270")</f>
        <v>ENSANGP00000000270</v>
      </c>
      <c r="S207" s="1" t="str">
        <f>HYPERLINK("http://www.ensembl.org/Anopheles_gambiae/protview?peptide=ENSANGP00000000270","0.069")</f>
        <v>0.069</v>
      </c>
      <c r="T207" s="1" t="str">
        <f>HYPERLINK("http://www.anobase.org/cgi-bin/uniexcel_new_var6.pl?proteinname=ENSANGP00000000270","0.069")</f>
        <v>0.069</v>
      </c>
      <c r="U207" s="2" t="str">
        <f>HYPERLINK("http://exon.niaid.nih.gov/transcriptome/An_gambiae_male_2006/ST1/links/AGCDS/AGM-contig_363-AGCDS.txt","ENSANGT00000010638")</f>
        <v>ENSANGT00000010638</v>
      </c>
      <c r="V207" s="1">
        <v>5E-46</v>
      </c>
      <c r="AC207" s="2" t="str">
        <f>HYPERLINK("http://exon.niaid.nih.gov/transcriptome/An_gambiae_male_2006/ST1/links/AGM-contig_363-NR.txt","predicted protein [Magnaporthe grisea")</f>
        <v>predicted protein [Magnaporthe grisea</v>
      </c>
      <c r="AD207" s="1" t="str">
        <f>HYPERLINK("http://www.ncbi.nlm.nih.gov/sutils/blink.cgi?pid=38110272","6E-004")</f>
        <v>6E-004</v>
      </c>
      <c r="AE207" s="1" t="s">
        <v>313</v>
      </c>
      <c r="AF207" s="9" t="s">
        <v>434</v>
      </c>
      <c r="AG207" s="6" t="s">
        <v>459</v>
      </c>
      <c r="AH207" s="6" t="s">
        <v>511</v>
      </c>
      <c r="AJ207" s="6">
        <f>AJ206+1</f>
        <v>58</v>
      </c>
    </row>
    <row r="208" spans="1:36" ht="9.75">
      <c r="A208" t="str">
        <f>HYPERLINK("http://exon.niaid.nih.gov/transcriptome/An_gambiae_male_2006/ST1/links/AGM-contig_65.txt","AGM-contig_65")</f>
        <v>AGM-contig_65</v>
      </c>
      <c r="B208" s="1">
        <v>2</v>
      </c>
      <c r="C208" s="1">
        <v>189</v>
      </c>
      <c r="D208" s="1">
        <f>D207+B208</f>
        <v>62</v>
      </c>
      <c r="E208" s="1">
        <v>0.5</v>
      </c>
      <c r="F208" s="1">
        <v>63</v>
      </c>
      <c r="G208" s="1">
        <v>170</v>
      </c>
      <c r="H208" t="str">
        <f>HYPERLINK("http://exon.niaid.nih.gov/transcriptome/An_gambiae_male_2006/ST1/links/AGM-7-90-90-asb-65.txt","Contig-65")</f>
        <v>Contig-65</v>
      </c>
      <c r="I208" s="1">
        <v>65</v>
      </c>
      <c r="J208" t="str">
        <f>HYPERLINK("http://exon.niaid.nih.gov/transcriptome/An_gambiae_male_2006/ST1/links/AGM-7-90-90-65-CLU.txt","Contig65")</f>
        <v>Contig65</v>
      </c>
      <c r="K208" t="s">
        <v>518</v>
      </c>
      <c r="L208" s="2" t="str">
        <f>HYPERLINK("http://exon.niaid.nih.gov/transcriptome/An_gambiae_male_2006/ST1/links/AGM-contig_65-AGFRAG.txt","2R_Piece#748")</f>
        <v>2R_Piece#748</v>
      </c>
      <c r="M208" s="4">
        <v>6E-60</v>
      </c>
      <c r="N208" s="2" t="str">
        <f>HYPERLINK("http://exon.niaid.nih.gov/transcriptome/An_gambiae_male_2006/ST1/links/AGM-contig_65-AG3P.txt","ENSANGP00000027982")</f>
        <v>ENSANGP00000027982</v>
      </c>
      <c r="O208" s="1" t="str">
        <f>HYPERLINK("http://www.anobase.org/cgi-bin/uniexcel_new_var6.pl?proteinname=ENSANGP00000027982","1.E-60")</f>
        <v>1.E-60</v>
      </c>
      <c r="R208" s="2" t="str">
        <f>HYPERLINK("http://exon.niaid.nih.gov/transcriptome/An_gambiae_male_2006/ST1/links/AGM-contig_65-AGPROT.txt","ENSANGP00000022893")</f>
        <v>ENSANGP00000022893</v>
      </c>
      <c r="S208" s="1" t="str">
        <f>HYPERLINK("http://www.ensembl.org/Anopheles_gambiae/protview?peptide=ENSANGP00000022893","0.11")</f>
        <v>0.11</v>
      </c>
      <c r="T208" s="1" t="str">
        <f>HYPERLINK("http://www.anobase.org/cgi-bin/uniexcel_new_var6.pl?proteinname=ENSANGP00000022893","0.11")</f>
        <v>0.11</v>
      </c>
      <c r="AC208" s="2" t="str">
        <f>HYPERLINK("http://exon.niaid.nih.gov/transcriptome/An_gambiae_male_2006/ST1/links/AGM-contig_65-NR.txt","unnamed protein product [Homo sapiens]     46   3e-004")</f>
        <v>unnamed protein product [Homo sapiens]     46   3e-004</v>
      </c>
      <c r="AD208" s="1" t="str">
        <f>HYPERLINK("http://www.ncbi.nlm.nih.gov/sutils/blink.cgi?pid=21754932","3E-004")</f>
        <v>3E-004</v>
      </c>
      <c r="AE208" s="1" t="s">
        <v>314</v>
      </c>
      <c r="AF208" s="9" t="s">
        <v>430</v>
      </c>
      <c r="AG208" s="6" t="s">
        <v>511</v>
      </c>
      <c r="AH208" s="6" t="s">
        <v>511</v>
      </c>
      <c r="AI208" s="6" t="s">
        <v>260</v>
      </c>
      <c r="AJ208" s="6">
        <f>AJ207+1</f>
        <v>59</v>
      </c>
    </row>
    <row r="209" spans="1:36" ht="9.75">
      <c r="A209" t="str">
        <f>HYPERLINK("http://exon.niaid.nih.gov/transcriptome/An_gambiae_male_2006/ST1/links/AGM-contig_289.txt","AGM-contig_289")</f>
        <v>AGM-contig_289</v>
      </c>
      <c r="B209" s="1">
        <v>1</v>
      </c>
      <c r="C209" s="1">
        <v>213</v>
      </c>
      <c r="D209" s="1">
        <f>D208+B209</f>
        <v>63</v>
      </c>
      <c r="E209" s="1" t="s">
        <v>209</v>
      </c>
      <c r="F209" s="1">
        <v>48.8</v>
      </c>
      <c r="G209" s="1">
        <v>194</v>
      </c>
      <c r="H209" t="str">
        <f>HYPERLINK("http://exon.niaid.nih.gov/transcriptome/An_gambiae_male_2006/ST1/links/AGM-7-90-90-asb-289.txt","Contig-289")</f>
        <v>Contig-289</v>
      </c>
      <c r="I209" s="1">
        <v>289</v>
      </c>
      <c r="J209" t="str">
        <f>HYPERLINK("http://exon.niaid.nih.gov/transcriptome/An_gambiae_male_2006/ST1/links/AGM-7-90-90-289-CLU.txt","Contig289")</f>
        <v>Contig289</v>
      </c>
      <c r="K209" t="s">
        <v>156</v>
      </c>
      <c r="L209" s="2" t="str">
        <f>HYPERLINK("http://exon.niaid.nih.gov/transcriptome/An_gambiae_male_2006/ST1/links/AGM-contig_289-AGFRAG.txt","2L_Piece#846")</f>
        <v>2L_Piece#846</v>
      </c>
      <c r="M209" s="4">
        <v>2E-51</v>
      </c>
      <c r="R209" s="2" t="str">
        <f>HYPERLINK("http://exon.niaid.nih.gov/transcriptome/An_gambiae_male_2006/ST1/links/AGM-contig_289-AGPROT.txt","ENSANGP00000012125")</f>
        <v>ENSANGP00000012125</v>
      </c>
      <c r="S209" s="1" t="str">
        <f>HYPERLINK("http://www.ensembl.org/Anopheles_gambiae/protview?peptide=ENSANGP00000012125","0.12")</f>
        <v>0.12</v>
      </c>
      <c r="T209" s="1" t="str">
        <f>HYPERLINK("http://www.anobase.org/cgi-bin/uniexcel_new_var6.pl?proteinname=ENSANGP00000012125","0.12")</f>
        <v>0.12</v>
      </c>
      <c r="AC209" s="2" t="str">
        <f>HYPERLINK("http://exon.niaid.nih.gov/transcriptome/An_gambiae_male_2006/ST1/links/AGM-contig_289-NR.txt","oxidoreductase, Gfo/Idh/MocA family")</f>
        <v>oxidoreductase, Gfo/Idh/MocA family</v>
      </c>
      <c r="AD209" s="1" t="str">
        <f>HYPERLINK("http://www.ncbi.nlm.nih.gov/sutils/blink.cgi?pid=23499875","8.5")</f>
        <v>8.5</v>
      </c>
      <c r="AE209" s="1" t="s">
        <v>314</v>
      </c>
      <c r="AF209" s="9" t="s">
        <v>339</v>
      </c>
      <c r="AG209" s="6" t="s">
        <v>511</v>
      </c>
      <c r="AH209" s="6" t="s">
        <v>511</v>
      </c>
      <c r="AJ209" s="6">
        <f>AJ208+1</f>
        <v>60</v>
      </c>
    </row>
    <row r="210" spans="1:36" ht="9.75">
      <c r="A210" t="str">
        <f>HYPERLINK("http://exon.niaid.nih.gov/transcriptome/An_gambiae_male_2006/ST1/links/AGM-contig_71.txt","AGM-contig_71")</f>
        <v>AGM-contig_71</v>
      </c>
      <c r="B210" s="1">
        <v>2</v>
      </c>
      <c r="C210" s="1">
        <v>141</v>
      </c>
      <c r="D210" s="1">
        <f>D209+B210</f>
        <v>65</v>
      </c>
      <c r="E210" s="1" t="s">
        <v>209</v>
      </c>
      <c r="F210" s="1">
        <v>53.9</v>
      </c>
      <c r="G210" s="1">
        <v>122</v>
      </c>
      <c r="H210" t="str">
        <f>HYPERLINK("http://exon.niaid.nih.gov/transcriptome/An_gambiae_male_2006/ST1/links/AGM-7-90-90-asb-71.txt","Contig-71")</f>
        <v>Contig-71</v>
      </c>
      <c r="I210" s="1">
        <v>71</v>
      </c>
      <c r="J210" t="str">
        <f>HYPERLINK("http://exon.niaid.nih.gov/transcriptome/An_gambiae_male_2006/ST1/links/AGM-7-90-90-71-CLU.txt","Contig71")</f>
        <v>Contig71</v>
      </c>
      <c r="K210" t="s">
        <v>524</v>
      </c>
      <c r="R210" s="2" t="str">
        <f>HYPERLINK("http://exon.niaid.nih.gov/transcriptome/An_gambiae_male_2006/ST1/links/AGM-contig_71-AGPROT.txt","ENSANGP00000015653")</f>
        <v>ENSANGP00000015653</v>
      </c>
      <c r="S210" s="1" t="str">
        <f>HYPERLINK("http://www.ensembl.org/Anopheles_gambiae/protview?peptide=ENSANGP00000015653","0.12")</f>
        <v>0.12</v>
      </c>
      <c r="T210" s="1" t="str">
        <f>HYPERLINK("http://www.anobase.org/cgi-bin/uniexcel_new_var6.pl?proteinname=ENSANGP00000015653","0.12")</f>
        <v>0.12</v>
      </c>
      <c r="AG210" s="6" t="s">
        <v>511</v>
      </c>
      <c r="AH210" s="6" t="s">
        <v>511</v>
      </c>
      <c r="AJ210" s="6">
        <f>AJ209+1</f>
        <v>61</v>
      </c>
    </row>
    <row r="211" spans="1:36" ht="9.75">
      <c r="A211" t="str">
        <f>HYPERLINK("http://exon.niaid.nih.gov/transcriptome/An_gambiae_male_2006/ST1/links/AGM-contig_126.txt","AGM-contig_126")</f>
        <v>AGM-contig_126</v>
      </c>
      <c r="B211" s="1">
        <v>1</v>
      </c>
      <c r="C211" s="1">
        <v>1041</v>
      </c>
      <c r="D211" s="1">
        <f>D210+B211</f>
        <v>66</v>
      </c>
      <c r="E211" s="1">
        <v>1.5</v>
      </c>
      <c r="F211" s="1">
        <v>61.7</v>
      </c>
      <c r="G211" s="1">
        <v>124</v>
      </c>
      <c r="H211" t="str">
        <f>HYPERLINK("http://exon.niaid.nih.gov/transcriptome/An_gambiae_male_2006/ST1/links/AGM-7-90-90-asb-126.txt","Contig-126")</f>
        <v>Contig-126</v>
      </c>
      <c r="I211" s="1">
        <v>126</v>
      </c>
      <c r="J211" t="str">
        <f>HYPERLINK("http://exon.niaid.nih.gov/transcriptome/An_gambiae_male_2006/ST1/links/AGM-7-90-90-126-CLU.txt","Contig126")</f>
        <v>Contig126</v>
      </c>
      <c r="K211" t="s">
        <v>579</v>
      </c>
      <c r="L211" s="2" t="str">
        <f>HYPERLINK("http://exon.niaid.nih.gov/transcriptome/An_gambiae_male_2006/ST1/links/AGM-contig_126-AGFRAG.txt","2R_Piece#2415")</f>
        <v>2R_Piece#2415</v>
      </c>
      <c r="M211" s="4">
        <v>8E-08</v>
      </c>
      <c r="N211" s="2" t="str">
        <f>HYPERLINK("http://exon.niaid.nih.gov/transcriptome/An_gambiae_male_2006/ST1/links/AGM-contig_126-AG3P.txt","ENSANGP00000023541")</f>
        <v>ENSANGP00000023541</v>
      </c>
      <c r="O211" s="1" t="str">
        <f>HYPERLINK("http://www.anobase.org/cgi-bin/uniexcel_new_var6.pl?proteinname=ENSANGP00000023541","4.E-12")</f>
        <v>4.E-12</v>
      </c>
      <c r="P211" s="2" t="str">
        <f>HYPERLINK("http://exon.niaid.nih.gov/transcriptome/An_gambiae_male_2006/ST1/links/AGM-contig_126-AG5P.txt","ENSANGP00000017440")</f>
        <v>ENSANGP00000017440</v>
      </c>
      <c r="Q211" s="4" t="str">
        <f>HYPERLINK("http://www.anobase.org/cgi-bin/uniexcel_new_var6.pl?proteinname=ENSANGP00000017440","2.E-11")</f>
        <v>2.E-11</v>
      </c>
      <c r="R211" s="2" t="str">
        <f>HYPERLINK("http://exon.niaid.nih.gov/transcriptome/An_gambiae_male_2006/ST1/links/AGM-contig_126-AGPROT.txt","ENSANGP00000024412")</f>
        <v>ENSANGP00000024412</v>
      </c>
      <c r="S211" s="1" t="str">
        <f>HYPERLINK("http://www.ensembl.org/Anopheles_gambiae/protview?peptide=ENSANGP00000024412","0.14")</f>
        <v>0.14</v>
      </c>
      <c r="T211" s="1" t="str">
        <f>HYPERLINK("http://www.anobase.org/cgi-bin/uniexcel_new_var6.pl?proteinname=ENSANGP00000024412","0.14")</f>
        <v>0.14</v>
      </c>
      <c r="AA211" s="2" t="str">
        <f>HYPERLINK("http://exon.niaid.nih.gov/transcriptome/An_gambiae_male_2006/ST1/links/AGM-contig_126-AGNUC.txt","AG-contig_384")</f>
        <v>AG-contig_384</v>
      </c>
      <c r="AB211" s="1">
        <v>4E-14</v>
      </c>
      <c r="AC211" s="2" t="str">
        <f>HYPERLINK("http://exon.niaid.nih.gov/transcriptome/An_gambiae_male_2006/ST1/links/AGM-contig_126-NR.txt","hypothetical protein Y50E8A.i - Caenorhab")</f>
        <v>hypothetical protein Y50E8A.i - Caenorhab</v>
      </c>
      <c r="AD211" s="1" t="str">
        <f>HYPERLINK("http://www.ncbi.nlm.nih.gov/sutils/blink.cgi?pid=7510076","6E-012")</f>
        <v>6E-012</v>
      </c>
      <c r="AE211" s="1" t="s">
        <v>313</v>
      </c>
      <c r="AF211" s="9" t="s">
        <v>99</v>
      </c>
      <c r="AG211" s="6" t="s">
        <v>511</v>
      </c>
      <c r="AH211" s="6" t="s">
        <v>511</v>
      </c>
      <c r="AJ211" s="6">
        <f>AJ210+1</f>
        <v>62</v>
      </c>
    </row>
    <row r="212" spans="1:36" ht="9.75">
      <c r="A212" t="str">
        <f>HYPERLINK("http://exon.niaid.nih.gov/transcriptome/An_gambiae_male_2006/ST1/links/AGM-contig_113.txt","AGM-contig_113")</f>
        <v>AGM-contig_113</v>
      </c>
      <c r="B212" s="1">
        <v>1</v>
      </c>
      <c r="C212" s="1">
        <v>727</v>
      </c>
      <c r="D212" s="1">
        <f>D211+B212</f>
        <v>67</v>
      </c>
      <c r="E212" s="1">
        <v>1.7</v>
      </c>
      <c r="F212" s="1">
        <v>45.5</v>
      </c>
      <c r="G212" s="1">
        <v>626</v>
      </c>
      <c r="H212" t="str">
        <f>HYPERLINK("http://exon.niaid.nih.gov/transcriptome/An_gambiae_male_2006/ST1/links/AGM-7-90-90-asb-113.txt","Contig-113")</f>
        <v>Contig-113</v>
      </c>
      <c r="I212" s="1">
        <v>113</v>
      </c>
      <c r="J212" t="str">
        <f>HYPERLINK("http://exon.niaid.nih.gov/transcriptome/An_gambiae_male_2006/ST1/links/AGM-7-90-90-113-CLU.txt","Contig113")</f>
        <v>Contig113</v>
      </c>
      <c r="K212" t="s">
        <v>566</v>
      </c>
      <c r="R212" s="2" t="str">
        <f>HYPERLINK("http://exon.niaid.nih.gov/transcriptome/An_gambiae_male_2006/ST1/links/AGM-contig_113-AGPROT.txt","ENSANGP00000028402")</f>
        <v>ENSANGP00000028402</v>
      </c>
      <c r="S212" s="1" t="str">
        <f>HYPERLINK("http://www.ensembl.org/Anopheles_gambiae/protview?peptide=ENSANGP00000028402","0.15")</f>
        <v>0.15</v>
      </c>
      <c r="T212" s="1" t="str">
        <f>HYPERLINK("http://www.anobase.org/cgi-bin/uniexcel_new_var6.pl?proteinname=ENSANGP00000028402","0.15")</f>
        <v>0.15</v>
      </c>
      <c r="AC212" s="2" t="str">
        <f>HYPERLINK("http://exon.niaid.nih.gov/transcriptome/An_gambiae_male_2006/ST1/links/AGM-contig_113-NR.txt","histone 2B [Asparagus officinalis] &gt;gn")</f>
        <v>histone 2B [Asparagus officinalis] &gt;gn</v>
      </c>
      <c r="AD212" s="1" t="str">
        <f>HYPERLINK("http://www.ncbi.nlm.nih.gov/sutils/blink.cgi?pid=563329","0.81")</f>
        <v>0.81</v>
      </c>
      <c r="AE212" s="1" t="s">
        <v>314</v>
      </c>
      <c r="AF212" s="9" t="s">
        <v>124</v>
      </c>
      <c r="AG212" s="6" t="s">
        <v>511</v>
      </c>
      <c r="AH212" s="6" t="s">
        <v>511</v>
      </c>
      <c r="AJ212" s="6">
        <f>AJ211+1</f>
        <v>63</v>
      </c>
    </row>
    <row r="213" spans="1:36" ht="9.75">
      <c r="A213" t="str">
        <f>HYPERLINK("http://exon.niaid.nih.gov/transcriptome/An_gambiae_male_2006/ST1/links/AGM-contig_151.txt","AGM-contig_151")</f>
        <v>AGM-contig_151</v>
      </c>
      <c r="B213" s="1">
        <v>1</v>
      </c>
      <c r="C213" s="1">
        <v>619</v>
      </c>
      <c r="D213" s="1">
        <f>D212+B213</f>
        <v>68</v>
      </c>
      <c r="E213" s="1">
        <v>0.3</v>
      </c>
      <c r="F213" s="1">
        <v>57.2</v>
      </c>
      <c r="G213" s="1">
        <v>84</v>
      </c>
      <c r="H213" t="str">
        <f>HYPERLINK("http://exon.niaid.nih.gov/transcriptome/An_gambiae_male_2006/ST1/links/AGM-7-90-90-asb-151.txt","Contig-151")</f>
        <v>Contig-151</v>
      </c>
      <c r="I213" s="1">
        <v>151</v>
      </c>
      <c r="J213" t="str">
        <f>HYPERLINK("http://exon.niaid.nih.gov/transcriptome/An_gambiae_male_2006/ST1/links/AGM-7-90-90-151-CLU.txt","Contig151")</f>
        <v>Contig151</v>
      </c>
      <c r="K213" t="s">
        <v>604</v>
      </c>
      <c r="L213" s="2" t="str">
        <f>HYPERLINK("http://exon.niaid.nih.gov/transcriptome/An_gambiae_male_2006/ST1/links/AGM-contig_151-AGFRAG.txt","2R_Piece#1141")</f>
        <v>2R_Piece#1141</v>
      </c>
      <c r="M213" s="4">
        <v>7E-07</v>
      </c>
      <c r="R213" s="2" t="str">
        <f>HYPERLINK("http://exon.niaid.nih.gov/transcriptome/An_gambiae_male_2006/ST1/links/AGM-contig_151-AGPROT.txt","ENSANGP00000025094")</f>
        <v>ENSANGP00000025094</v>
      </c>
      <c r="S213" s="1" t="str">
        <f>HYPERLINK("http://www.ensembl.org/Anopheles_gambiae/protview?peptide=ENSANGP00000025094","0.15")</f>
        <v>0.15</v>
      </c>
      <c r="T213" s="1" t="str">
        <f>HYPERLINK("http://www.anobase.org/cgi-bin/uniexcel_new_var6.pl?proteinname=ENSANGP00000025094","0.15")</f>
        <v>0.15</v>
      </c>
      <c r="AC213" s="2" t="str">
        <f>HYPERLINK("http://exon.niaid.nih.gov/transcriptome/An_gambiae_male_2006/ST1/links/AGM-contig_151-NR.txt","P0514G12.26 [Oryza sativa (japonica")</f>
        <v>P0514G12.26 [Oryza sativa (japonica</v>
      </c>
      <c r="AD213" s="1" t="str">
        <f>HYPERLINK("http://www.ncbi.nlm.nih.gov/sutils/blink.cgi?pid=34897812","7E-006")</f>
        <v>7E-006</v>
      </c>
      <c r="AE213" s="1" t="s">
        <v>314</v>
      </c>
      <c r="AF213" s="9" t="s">
        <v>121</v>
      </c>
      <c r="AG213" s="6" t="s">
        <v>511</v>
      </c>
      <c r="AH213" s="6" t="s">
        <v>511</v>
      </c>
      <c r="AJ213" s="6">
        <f>AJ212+1</f>
        <v>64</v>
      </c>
    </row>
    <row r="214" spans="1:36" ht="9.75">
      <c r="A214" t="str">
        <f>HYPERLINK("http://exon.niaid.nih.gov/transcriptome/An_gambiae_male_2006/ST1/links/AGM-contig_81.txt","AGM-contig_81")</f>
        <v>AGM-contig_81</v>
      </c>
      <c r="B214" s="1">
        <v>2</v>
      </c>
      <c r="C214" s="1">
        <v>343</v>
      </c>
      <c r="D214" s="1">
        <f>D213+B214</f>
        <v>70</v>
      </c>
      <c r="E214" s="1">
        <v>0.3</v>
      </c>
      <c r="F214" s="1">
        <v>59.5</v>
      </c>
      <c r="G214" s="1">
        <v>324</v>
      </c>
      <c r="H214" t="str">
        <f>HYPERLINK("http://exon.niaid.nih.gov/transcriptome/An_gambiae_male_2006/ST1/links/AGM-7-90-90-asb-81.txt","Contig-81")</f>
        <v>Contig-81</v>
      </c>
      <c r="I214" s="1">
        <v>81</v>
      </c>
      <c r="J214" t="str">
        <f>HYPERLINK("http://exon.niaid.nih.gov/transcriptome/An_gambiae_male_2006/ST1/links/AGM-7-90-90-81-CLU.txt","Contig81")</f>
        <v>Contig81</v>
      </c>
      <c r="K214" t="s">
        <v>534</v>
      </c>
      <c r="L214" s="2" t="str">
        <f>HYPERLINK("http://exon.niaid.nih.gov/transcriptome/An_gambiae_male_2006/ST1/links/AGM-contig_81-AGFRAG.txt","2L_Piece#1821")</f>
        <v>2L_Piece#1821</v>
      </c>
      <c r="M214" s="4">
        <v>1E-139</v>
      </c>
      <c r="N214" s="2" t="str">
        <f>HYPERLINK("http://exon.niaid.nih.gov/transcriptome/An_gambiae_male_2006/ST1/links/AGM-contig_81-AG3P.txt","ENSANGP00000018376")</f>
        <v>ENSANGP00000018376</v>
      </c>
      <c r="O214" s="1" t="str">
        <f>HYPERLINK("http://www.anobase.org/cgi-bin/uniexcel_new_var6.pl?proteinname=ENSANGP00000018376","1.E-139")</f>
        <v>1.E-139</v>
      </c>
      <c r="R214" s="2" t="str">
        <f>HYPERLINK("http://exon.niaid.nih.gov/transcriptome/An_gambiae_male_2006/ST1/links/AGM-contig_81-AGPROT.txt","ENSANGP00000014718")</f>
        <v>ENSANGP00000014718</v>
      </c>
      <c r="S214" s="1" t="str">
        <f>HYPERLINK("http://www.ensembl.org/Anopheles_gambiae/protview?peptide=ENSANGP00000014718","0.16")</f>
        <v>0.16</v>
      </c>
      <c r="T214" s="1" t="str">
        <f>HYPERLINK("http://www.anobase.org/cgi-bin/uniexcel_new_var6.pl?proteinname=ENSANGP00000014718","0.16")</f>
        <v>0.16</v>
      </c>
      <c r="AA214" s="2" t="str">
        <f>HYPERLINK("http://exon.niaid.nih.gov/transcriptome/An_gambiae_male_2006/ST1/links/AGM-contig_81-AGNUC.txt","AG-contig_220")</f>
        <v>AG-contig_220</v>
      </c>
      <c r="AB214" s="1">
        <v>1E-153</v>
      </c>
      <c r="AC214" s="2" t="str">
        <f>HYPERLINK("http://exon.niaid.nih.gov/transcriptome/An_gambiae_male_2006/ST1/links/AGM-contig_81-NR.txt","hypothetical protein [Plasmodium fa")</f>
        <v>hypothetical protein [Plasmodium fa</v>
      </c>
      <c r="AD214" s="1" t="str">
        <f>HYPERLINK("http://www.ncbi.nlm.nih.gov/sutils/blink.cgi?pid=23619403","0.79")</f>
        <v>0.79</v>
      </c>
      <c r="AE214" s="1" t="s">
        <v>314</v>
      </c>
      <c r="AF214" s="9" t="s">
        <v>783</v>
      </c>
      <c r="AG214" s="6" t="s">
        <v>53</v>
      </c>
      <c r="AH214" s="6" t="s">
        <v>511</v>
      </c>
      <c r="AI214" s="6" t="s">
        <v>417</v>
      </c>
      <c r="AJ214" s="6">
        <f>AJ213+1</f>
        <v>65</v>
      </c>
    </row>
    <row r="215" spans="1:36" ht="9.75">
      <c r="A215" t="str">
        <f>HYPERLINK("http://exon.niaid.nih.gov/transcriptome/An_gambiae_male_2006/ST1/links/AGM-contig_111.txt","AGM-contig_111")</f>
        <v>AGM-contig_111</v>
      </c>
      <c r="B215" s="1">
        <v>1</v>
      </c>
      <c r="C215" s="1">
        <v>666</v>
      </c>
      <c r="D215" s="1">
        <f>D214+B215</f>
        <v>71</v>
      </c>
      <c r="E215" s="1">
        <v>2</v>
      </c>
      <c r="F215" s="1">
        <v>68.6</v>
      </c>
      <c r="G215" s="1" t="s">
        <v>260</v>
      </c>
      <c r="H215" t="str">
        <f>HYPERLINK("http://exon.niaid.nih.gov/transcriptome/An_gambiae_male_2006/ST1/links/AGM-7-90-90-asb-111.txt","Contig-111")</f>
        <v>Contig-111</v>
      </c>
      <c r="I215" s="1">
        <v>111</v>
      </c>
      <c r="J215" t="str">
        <f>HYPERLINK("http://exon.niaid.nih.gov/transcriptome/An_gambiae_male_2006/ST1/links/AGM-7-90-90-111-CLU.txt","Contig111")</f>
        <v>Contig111</v>
      </c>
      <c r="K215" t="s">
        <v>564</v>
      </c>
      <c r="R215" s="2" t="str">
        <f>HYPERLINK("http://exon.niaid.nih.gov/transcriptome/An_gambiae_male_2006/ST1/links/AGM-contig_111-AGPROT.txt","ENSANGP00000026657")</f>
        <v>ENSANGP00000026657</v>
      </c>
      <c r="S215" s="1" t="str">
        <f>HYPERLINK("http://www.ensembl.org/Anopheles_gambiae/protview?peptide=ENSANGP00000026657","0.17")</f>
        <v>0.17</v>
      </c>
      <c r="T215" s="1" t="str">
        <f>HYPERLINK("http://www.anobase.org/cgi-bin/uniexcel_new_var6.pl?proteinname=ENSANGP00000026657","0.17")</f>
        <v>0.17</v>
      </c>
      <c r="AC215" s="2" t="str">
        <f>HYPERLINK("http://exon.niaid.nih.gov/transcriptome/An_gambiae_male_2006/ST1/links/AGM-contig_111-NR.txt","hypothetical protein AN6280.2 [Asperg")</f>
        <v>hypothetical protein AN6280.2 [Asperg</v>
      </c>
      <c r="AD215" s="1" t="str">
        <f>HYPERLINK("http://www.ncbi.nlm.nih.gov/sutils/blink.cgi?pid=40739474","0.054")</f>
        <v>0.054</v>
      </c>
      <c r="AE215" s="1" t="s">
        <v>314</v>
      </c>
      <c r="AF215" s="9" t="s">
        <v>477</v>
      </c>
      <c r="AG215" s="6" t="s">
        <v>511</v>
      </c>
      <c r="AH215" s="6" t="s">
        <v>511</v>
      </c>
      <c r="AJ215" s="6">
        <f>AJ214+1</f>
        <v>66</v>
      </c>
    </row>
    <row r="216" spans="1:36" ht="9.75">
      <c r="A216" t="str">
        <f>HYPERLINK("http://exon.niaid.nih.gov/transcriptome/An_gambiae_male_2006/ST1/links/AGM-contig_235.txt","AGM-contig_235")</f>
        <v>AGM-contig_235</v>
      </c>
      <c r="B216" s="1">
        <v>1</v>
      </c>
      <c r="C216" s="1">
        <v>105</v>
      </c>
      <c r="D216" s="1">
        <f>D215+B216</f>
        <v>72</v>
      </c>
      <c r="E216" s="1" t="s">
        <v>209</v>
      </c>
      <c r="F216" s="1">
        <v>66.7</v>
      </c>
      <c r="G216" s="1">
        <v>86</v>
      </c>
      <c r="H216" t="str">
        <f>HYPERLINK("http://exon.niaid.nih.gov/transcriptome/An_gambiae_male_2006/ST1/links/AGM-7-90-90-asb-235.txt","Contig-235")</f>
        <v>Contig-235</v>
      </c>
      <c r="I216" s="1">
        <v>235</v>
      </c>
      <c r="J216" t="str">
        <f>HYPERLINK("http://exon.niaid.nih.gov/transcriptome/An_gambiae_male_2006/ST1/links/AGM-7-90-90-235-CLU.txt","Contig235")</f>
        <v>Contig235</v>
      </c>
      <c r="K216" t="s">
        <v>688</v>
      </c>
      <c r="L216" s="2" t="str">
        <f>HYPERLINK("http://exon.niaid.nih.gov/transcriptome/An_gambiae_male_2006/ST1/links/AGM-contig_235-AGFRAG.txt","2R_Piece#1303")</f>
        <v>2R_Piece#1303</v>
      </c>
      <c r="M216" s="4">
        <v>6E-31</v>
      </c>
      <c r="R216" s="2" t="str">
        <f>HYPERLINK("http://exon.niaid.nih.gov/transcriptome/An_gambiae_male_2006/ST1/links/AGM-contig_235-AGPROT.txt","ENSANGP00000025094")</f>
        <v>ENSANGP00000025094</v>
      </c>
      <c r="S216" s="1" t="str">
        <f>HYPERLINK("http://www.ensembl.org/Anopheles_gambiae/protview?peptide=ENSANGP00000025094","0.35")</f>
        <v>0.35</v>
      </c>
      <c r="T216" s="1" t="str">
        <f>HYPERLINK("http://www.anobase.org/cgi-bin/uniexcel_new_var6.pl?proteinname=ENSANGP00000025094","0.35")</f>
        <v>0.35</v>
      </c>
      <c r="AC216" s="2" t="str">
        <f>HYPERLINK("http://exon.niaid.nih.gov/transcriptome/An_gambiae_male_2006/ST1/links/AGM-contig_235-NR.txt","Yjr115wp [Saccharomyces cerevisiae] ")</f>
        <v>Yjr115wp [Saccharomyces cerevisiae] </v>
      </c>
      <c r="AD216" s="1" t="str">
        <f>HYPERLINK("http://www.ncbi.nlm.nih.gov/sutils/blink.cgi?pid=6322575","0.95")</f>
        <v>0.95</v>
      </c>
      <c r="AE216" s="1" t="s">
        <v>313</v>
      </c>
      <c r="AF216" s="9" t="s">
        <v>126</v>
      </c>
      <c r="AG216" s="6" t="s">
        <v>511</v>
      </c>
      <c r="AH216" s="6" t="s">
        <v>511</v>
      </c>
      <c r="AJ216" s="6">
        <f>AJ215+1</f>
        <v>67</v>
      </c>
    </row>
    <row r="217" spans="1:36" ht="9.75">
      <c r="A217" t="str">
        <f>HYPERLINK("http://exon.niaid.nih.gov/transcriptome/An_gambiae_male_2006/ST1/links/AGM-contig_153.txt","AGM-contig_153")</f>
        <v>AGM-contig_153</v>
      </c>
      <c r="B217" s="1">
        <v>1</v>
      </c>
      <c r="C217" s="1">
        <v>914</v>
      </c>
      <c r="D217" s="1">
        <f>D216+B217</f>
        <v>73</v>
      </c>
      <c r="E217" s="1">
        <v>3.2</v>
      </c>
      <c r="F217" s="1">
        <v>50.3</v>
      </c>
      <c r="G217" s="1" t="s">
        <v>260</v>
      </c>
      <c r="H217" t="str">
        <f>HYPERLINK("http://exon.niaid.nih.gov/transcriptome/An_gambiae_male_2006/ST1/links/AGM-7-90-90-asb-153.txt","Contig-153")</f>
        <v>Contig-153</v>
      </c>
      <c r="I217" s="1">
        <v>153</v>
      </c>
      <c r="J217" t="str">
        <f>HYPERLINK("http://exon.niaid.nih.gov/transcriptome/An_gambiae_male_2006/ST1/links/AGM-7-90-90-153-CLU.txt","Contig153")</f>
        <v>Contig153</v>
      </c>
      <c r="K217" t="s">
        <v>606</v>
      </c>
      <c r="L217" s="2" t="str">
        <f>HYPERLINK("http://exon.niaid.nih.gov/transcriptome/An_gambiae_male_2006/ST1/links/AGM-contig_153-AGFRAG.txt","2L_Piece#1441")</f>
        <v>2L_Piece#1441</v>
      </c>
      <c r="M217" s="4">
        <v>7E-11</v>
      </c>
      <c r="R217" s="2" t="str">
        <f>HYPERLINK("http://exon.niaid.nih.gov/transcriptome/An_gambiae_male_2006/ST1/links/AGM-contig_153-AGPROT.txt","ENSANGP00000025094")</f>
        <v>ENSANGP00000025094</v>
      </c>
      <c r="S217" s="1" t="str">
        <f>HYPERLINK("http://www.ensembl.org/Anopheles_gambiae/protview?peptide=ENSANGP00000025094","0.35")</f>
        <v>0.35</v>
      </c>
      <c r="T217" s="1" t="str">
        <f>HYPERLINK("http://www.anobase.org/cgi-bin/uniexcel_new_var6.pl?proteinname=ENSANGP00000025094","0.35")</f>
        <v>0.35</v>
      </c>
      <c r="AC217" s="2" t="str">
        <f>HYPERLINK("http://exon.niaid.nih.gov/transcriptome/An_gambiae_male_2006/ST1/links/AGM-contig_153-NR.txt","unnamed protein product [Tetraodon n")</f>
        <v>unnamed protein product [Tetraodon n</v>
      </c>
      <c r="AD217" s="1" t="str">
        <f>HYPERLINK("http://www.ncbi.nlm.nih.gov/sutils/blink.cgi?pid=47218447","0.064")</f>
        <v>0.064</v>
      </c>
      <c r="AE217" s="1" t="s">
        <v>313</v>
      </c>
      <c r="AF217" s="9" t="s">
        <v>478</v>
      </c>
      <c r="AG217" s="6" t="s">
        <v>511</v>
      </c>
      <c r="AH217" s="6" t="s">
        <v>511</v>
      </c>
      <c r="AJ217" s="6">
        <f>AJ216+1</f>
        <v>68</v>
      </c>
    </row>
    <row r="218" spans="1:36" ht="9.75">
      <c r="A218" t="str">
        <f>HYPERLINK("http://exon.niaid.nih.gov/transcriptome/An_gambiae_male_2006/ST1/links/AGM-contig_257.txt","AGM-contig_257")</f>
        <v>AGM-contig_257</v>
      </c>
      <c r="B218" s="1">
        <v>1</v>
      </c>
      <c r="C218" s="1">
        <v>272</v>
      </c>
      <c r="D218" s="1">
        <f>D217+B218</f>
        <v>74</v>
      </c>
      <c r="E218" s="1" t="s">
        <v>209</v>
      </c>
      <c r="F218" s="1">
        <v>51.1</v>
      </c>
      <c r="G218" s="1">
        <v>253</v>
      </c>
      <c r="H218" t="str">
        <f>HYPERLINK("http://exon.niaid.nih.gov/transcriptome/An_gambiae_male_2006/ST1/links/AGM-7-90-90-asb-257.txt","Contig-257")</f>
        <v>Contig-257</v>
      </c>
      <c r="I218" s="1">
        <v>257</v>
      </c>
      <c r="J218" t="str">
        <f>HYPERLINK("http://exon.niaid.nih.gov/transcriptome/An_gambiae_male_2006/ST1/links/AGM-7-90-90-257-CLU.txt","Contig257")</f>
        <v>Contig257</v>
      </c>
      <c r="K218" t="s">
        <v>710</v>
      </c>
      <c r="L218" s="2" t="str">
        <f>HYPERLINK("http://exon.niaid.nih.gov/transcriptome/An_gambiae_male_2006/ST1/links/AGM-contig_257-AGFRAG.txt","3R_Piece#556")</f>
        <v>3R_Piece#556</v>
      </c>
      <c r="M218" s="4">
        <v>1E-107</v>
      </c>
      <c r="P218" s="2" t="str">
        <f>HYPERLINK("http://exon.niaid.nih.gov/transcriptome/An_gambiae_male_2006/ST1/links/AGM-contig_257-AG5P.txt","ENSANGP00000027543")</f>
        <v>ENSANGP00000027543</v>
      </c>
      <c r="Q218" s="4" t="str">
        <f>HYPERLINK("http://www.anobase.org/cgi-bin/uniexcel_new_var6.pl?proteinname=ENSANGP00000027543","1.E-107")</f>
        <v>1.E-107</v>
      </c>
      <c r="R218" s="2" t="str">
        <f>HYPERLINK("http://exon.niaid.nih.gov/transcriptome/An_gambiae_male_2006/ST1/links/AGM-contig_257-AGPROT.txt","ENSANGP00000006830")</f>
        <v>ENSANGP00000006830</v>
      </c>
      <c r="S218" s="1" t="str">
        <f>HYPERLINK("http://www.ensembl.org/Anopheles_gambiae/protview?peptide=ENSANGP00000006830","0.35")</f>
        <v>0.35</v>
      </c>
      <c r="T218" s="1" t="str">
        <f>HYPERLINK("http://www.anobase.org/cgi-bin/uniexcel_new_var6.pl?proteinname=ENSANGP00000006830","0.35")</f>
        <v>0.35</v>
      </c>
      <c r="AC218" s="2" t="str">
        <f>HYPERLINK("http://exon.niaid.nih.gov/transcriptome/An_gambiae_male_2006/ST1/links/AGM-contig_257-NR.txt","CD2 surface antigen                           35   0.46")</f>
        <v>CD2 surface antigen                           35   0.46</v>
      </c>
      <c r="AD218" s="1" t="str">
        <f>HYPERLINK("http://www.ncbi.nlm.nih.gov/sutils/blink.cgi?pid=180094","0.46")</f>
        <v>0.46</v>
      </c>
      <c r="AE218" s="1" t="s">
        <v>314</v>
      </c>
      <c r="AF218" s="9" t="s">
        <v>781</v>
      </c>
      <c r="AG218" s="6" t="s">
        <v>511</v>
      </c>
      <c r="AH218" s="6" t="s">
        <v>511</v>
      </c>
      <c r="AJ218" s="6">
        <f>AJ217+1</f>
        <v>69</v>
      </c>
    </row>
    <row r="219" spans="1:38" ht="9.75">
      <c r="A219" t="str">
        <f>HYPERLINK("http://exon.niaid.nih.gov/transcriptome/An_gambiae_male_2006/ST1/links/AGM-contig_129.txt","AGM-contig_129")</f>
        <v>AGM-contig_129</v>
      </c>
      <c r="B219" s="1">
        <v>1</v>
      </c>
      <c r="C219" s="1">
        <v>286</v>
      </c>
      <c r="D219" s="1">
        <f>D218+B219</f>
        <v>75</v>
      </c>
      <c r="E219" s="1">
        <v>1</v>
      </c>
      <c r="F219" s="1">
        <v>73.1</v>
      </c>
      <c r="G219" s="1" t="s">
        <v>260</v>
      </c>
      <c r="H219" t="str">
        <f>HYPERLINK("http://exon.niaid.nih.gov/transcriptome/An_gambiae_male_2006/ST1/links/AGM-7-90-90-asb-129.txt","Contig-129")</f>
        <v>Contig-129</v>
      </c>
      <c r="I219" s="1">
        <v>129</v>
      </c>
      <c r="J219" t="str">
        <f>HYPERLINK("http://exon.niaid.nih.gov/transcriptome/An_gambiae_male_2006/ST1/links/AGM-7-90-90-129-CLU.txt","Contig129")</f>
        <v>Contig129</v>
      </c>
      <c r="K219" t="s">
        <v>582</v>
      </c>
      <c r="N219" s="2" t="str">
        <f>HYPERLINK("http://exon.niaid.nih.gov/transcriptome/An_gambiae_male_2006/ST1/links/AGM-contig_129-AG3P.txt","ENSANGP00000004731")</f>
        <v>ENSANGP00000004731</v>
      </c>
      <c r="O219" s="1" t="str">
        <f>HYPERLINK("http://www.anobase.org/cgi-bin/uniexcel_new_var6.pl?proteinname=ENSANGP00000004731","3.E-13")</f>
        <v>3.E-13</v>
      </c>
      <c r="P219" s="2" t="str">
        <f>HYPERLINK("http://exon.niaid.nih.gov/transcriptome/An_gambiae_male_2006/ST1/links/AGM-contig_129-AG5P.txt","ENSANGP00000017440")</f>
        <v>ENSANGP00000017440</v>
      </c>
      <c r="Q219" s="4" t="str">
        <f>HYPERLINK("http://www.anobase.org/cgi-bin/uniexcel_new_var6.pl?proteinname=ENSANGP00000017440","3.E-13")</f>
        <v>3.E-13</v>
      </c>
      <c r="R219" s="2" t="str">
        <f>HYPERLINK("http://exon.niaid.nih.gov/transcriptome/An_gambiae_male_2006/ST1/links/AGM-contig_129-AGPROT.txt","ENSANGP00000024607")</f>
        <v>ENSANGP00000024607</v>
      </c>
      <c r="S219" s="1" t="str">
        <f>HYPERLINK("http://www.ensembl.org/Anopheles_gambiae/protview?peptide=ENSANGP00000024607","0.37")</f>
        <v>0.37</v>
      </c>
      <c r="T219" s="1" t="str">
        <f>HYPERLINK("http://www.anobase.org/cgi-bin/uniexcel_new_var6.pl?proteinname=ENSANGP00000024607","0.37")</f>
        <v>0.37</v>
      </c>
      <c r="AA219" s="2" t="str">
        <f>HYPERLINK("http://exon.niaid.nih.gov/transcriptome/An_gambiae_male_2006/ST1/links/AGM-contig_129-AGNUC.txt","AG-contig_384")</f>
        <v>AG-contig_384</v>
      </c>
      <c r="AB219" s="1">
        <v>5E-17</v>
      </c>
      <c r="AC219" s="2" t="str">
        <f>HYPERLINK("http://exon.niaid.nih.gov/transcriptome/An_gambiae_male_2006/ST1/links/AGM-contig_129-NR.txt","unnamed protein product [Yarrowia li")</f>
        <v>unnamed protein product [Yarrowia li</v>
      </c>
      <c r="AD219" s="1" t="str">
        <f>HYPERLINK("http://www.ncbi.nlm.nih.gov/sutils/blink.cgi?pid=49647997","2E-006")</f>
        <v>2E-006</v>
      </c>
      <c r="AE219" s="1" t="s">
        <v>313</v>
      </c>
      <c r="AF219" s="9" t="s">
        <v>794</v>
      </c>
      <c r="AG219" s="6" t="s">
        <v>511</v>
      </c>
      <c r="AH219" s="6" t="s">
        <v>511</v>
      </c>
      <c r="AJ219" s="6">
        <f>AJ218+1</f>
        <v>70</v>
      </c>
      <c r="AK219" s="2" t="str">
        <f>HYPERLINK("http://exon.niaid.nih.gov/transcriptome/An_gambiae_male_2006/ST1/links/MIT-PLA/AGM-contig_129-MIT-PLA.txt","Apteryx haastii mitochondrion")</f>
        <v>Apteryx haastii mitochondrion</v>
      </c>
      <c r="AL219" s="4" t="str">
        <f>HYPERLINK("http://www.ncbi.nlm.nih.gov/sutils/blink.cgi?pid=14039508","4E-010")</f>
        <v>4E-010</v>
      </c>
    </row>
    <row r="220" spans="1:36" ht="9.75">
      <c r="A220" t="str">
        <f>HYPERLINK("http://exon.niaid.nih.gov/transcriptome/An_gambiae_male_2006/ST1/links/AGM-contig_200.txt","AGM-contig_200")</f>
        <v>AGM-contig_200</v>
      </c>
      <c r="B220" s="1">
        <v>1</v>
      </c>
      <c r="C220" s="1">
        <v>245</v>
      </c>
      <c r="D220" s="1">
        <f>D219+B220</f>
        <v>76</v>
      </c>
      <c r="E220" s="1">
        <v>0.8</v>
      </c>
      <c r="F220" s="1">
        <v>55.1</v>
      </c>
      <c r="G220" s="1">
        <v>226</v>
      </c>
      <c r="H220" t="str">
        <f>HYPERLINK("http://exon.niaid.nih.gov/transcriptome/An_gambiae_male_2006/ST1/links/AGM-7-90-90-asb-200.txt","Contig-200")</f>
        <v>Contig-200</v>
      </c>
      <c r="I220" s="1">
        <v>200</v>
      </c>
      <c r="J220" t="str">
        <f>HYPERLINK("http://exon.niaid.nih.gov/transcriptome/An_gambiae_male_2006/ST1/links/AGM-7-90-90-200-CLU.txt","Contig200")</f>
        <v>Contig200</v>
      </c>
      <c r="K220" t="s">
        <v>653</v>
      </c>
      <c r="L220" s="2" t="str">
        <f>HYPERLINK("http://exon.niaid.nih.gov/transcriptome/An_gambiae_male_2006/ST1/links/AGM-contig_200-AGFRAG.txt","X_Piece#326")</f>
        <v>X_Piece#326</v>
      </c>
      <c r="M220" s="4">
        <v>1E-110</v>
      </c>
      <c r="R220" s="2" t="str">
        <f>HYPERLINK("http://exon.niaid.nih.gov/transcriptome/An_gambiae_male_2006/ST1/links/AGM-contig_200-AGPROT.txt","ENSANGP00000017717")</f>
        <v>ENSANGP00000017717</v>
      </c>
      <c r="S220" s="1" t="str">
        <f>HYPERLINK("http://www.ensembl.org/Anopheles_gambiae/protview?peptide=ENSANGP00000017717","0.38")</f>
        <v>0.38</v>
      </c>
      <c r="T220" s="1" t="str">
        <f>HYPERLINK("http://www.anobase.org/cgi-bin/uniexcel_new_var6.pl?proteinname=ENSANGP00000017717","0.38")</f>
        <v>0.38</v>
      </c>
      <c r="AC220" s="2" t="str">
        <f>HYPERLINK("http://exon.niaid.nih.gov/transcriptome/An_gambiae_male_2006/ST1/links/AGM-contig_200-NR.txt","ENSANGP00000020786 [Anopheles gambiae]    62   4e-009")</f>
        <v>ENSANGP00000020786 [Anopheles gambiae]    62   4e-009</v>
      </c>
      <c r="AD220" s="1" t="str">
        <f>HYPERLINK("http://www.ncbi.nlm.nih.gov/sutils/blink.cgi?pid=31203341","4E-009")</f>
        <v>4E-009</v>
      </c>
      <c r="AE220" s="1" t="s">
        <v>313</v>
      </c>
      <c r="AF220" s="9" t="s">
        <v>105</v>
      </c>
      <c r="AG220" s="6" t="s">
        <v>743</v>
      </c>
      <c r="AH220" s="6" t="s">
        <v>511</v>
      </c>
      <c r="AJ220" s="6">
        <f>AJ219+1</f>
        <v>71</v>
      </c>
    </row>
    <row r="221" spans="1:36" ht="9.75">
      <c r="A221" t="str">
        <f>HYPERLINK("http://exon.niaid.nih.gov/transcriptome/An_gambiae_male_2006/ST1/links/AGM-contig_265.txt","AGM-contig_265")</f>
        <v>AGM-contig_265</v>
      </c>
      <c r="B221" s="1">
        <v>1</v>
      </c>
      <c r="C221" s="1">
        <v>387</v>
      </c>
      <c r="D221" s="1">
        <f>D220+B221</f>
        <v>77</v>
      </c>
      <c r="E221" s="1" t="s">
        <v>209</v>
      </c>
      <c r="F221" s="1">
        <v>57.1</v>
      </c>
      <c r="G221" s="1">
        <v>368</v>
      </c>
      <c r="H221" t="str">
        <f>HYPERLINK("http://exon.niaid.nih.gov/transcriptome/An_gambiae_male_2006/ST1/links/AGM-7-90-90-asb-265.txt","Contig-265")</f>
        <v>Contig-265</v>
      </c>
      <c r="I221" s="1">
        <v>265</v>
      </c>
      <c r="J221" t="str">
        <f>HYPERLINK("http://exon.niaid.nih.gov/transcriptome/An_gambiae_male_2006/ST1/links/AGM-7-90-90-265-CLU.txt","Contig265")</f>
        <v>Contig265</v>
      </c>
      <c r="K221" t="s">
        <v>718</v>
      </c>
      <c r="L221" s="2" t="str">
        <f>HYPERLINK("http://exon.niaid.nih.gov/transcriptome/An_gambiae_male_2006/ST1/links/AGM-contig_265-AGFRAG.txt","2R_Piece#618")</f>
        <v>2R_Piece#618</v>
      </c>
      <c r="M221" s="4">
        <v>1E-143</v>
      </c>
      <c r="R221" s="2" t="str">
        <f>HYPERLINK("http://exon.niaid.nih.gov/transcriptome/An_gambiae_male_2006/ST1/links/AGM-contig_265-AGPROT.txt","ENSANGP00000025798")</f>
        <v>ENSANGP00000025798</v>
      </c>
      <c r="S221" s="1" t="str">
        <f>HYPERLINK("http://www.ensembl.org/Anopheles_gambiae/protview?peptide=ENSANGP00000025798","0.39")</f>
        <v>0.39</v>
      </c>
      <c r="T221" s="1" t="str">
        <f>HYPERLINK("http://www.anobase.org/cgi-bin/uniexcel_new_var6.pl?proteinname=ENSANGP00000025798","0.39")</f>
        <v>0.39</v>
      </c>
      <c r="AC221" s="2" t="str">
        <f>HYPERLINK("http://exon.niaid.nih.gov/transcriptome/An_gambiae_male_2006/ST1/links/AGM-contig_265-NR.txt","unnamed protein product [Tetraodon n")</f>
        <v>unnamed protein product [Tetraodon n</v>
      </c>
      <c r="AD221" s="1" t="str">
        <f>HYPERLINK("http://www.ncbi.nlm.nih.gov/sutils/blink.cgi?pid=47210676","0.30")</f>
        <v>0.30</v>
      </c>
      <c r="AE221" s="1" t="s">
        <v>313</v>
      </c>
      <c r="AF221" s="9" t="s">
        <v>731</v>
      </c>
      <c r="AG221" s="6" t="s">
        <v>511</v>
      </c>
      <c r="AH221" s="6" t="s">
        <v>511</v>
      </c>
      <c r="AJ221" s="6">
        <f>AJ220+1</f>
        <v>72</v>
      </c>
    </row>
    <row r="222" spans="1:36" ht="9.75">
      <c r="A222" t="str">
        <f>HYPERLINK("http://exon.niaid.nih.gov/transcriptome/An_gambiae_male_2006/ST1/links/AGM-contig_95.txt","AGM-contig_95")</f>
        <v>AGM-contig_95</v>
      </c>
      <c r="B222" s="1">
        <v>2</v>
      </c>
      <c r="C222" s="1">
        <v>175</v>
      </c>
      <c r="D222" s="1">
        <f>D221+B222</f>
        <v>79</v>
      </c>
      <c r="E222" s="1">
        <v>6.3</v>
      </c>
      <c r="F222" s="1">
        <v>48.6</v>
      </c>
      <c r="G222" s="1">
        <v>156</v>
      </c>
      <c r="H222" t="str">
        <f>HYPERLINK("http://exon.niaid.nih.gov/transcriptome/An_gambiae_male_2006/ST1/links/AGM-7-90-90-asb-95.txt","Contig-95")</f>
        <v>Contig-95</v>
      </c>
      <c r="I222" s="1">
        <v>95</v>
      </c>
      <c r="J222" t="str">
        <f>HYPERLINK("http://exon.niaid.nih.gov/transcriptome/An_gambiae_male_2006/ST1/links/AGM-7-90-90-95-CLU.txt","Contig95")</f>
        <v>Contig95</v>
      </c>
      <c r="K222" t="s">
        <v>548</v>
      </c>
      <c r="R222" s="2" t="str">
        <f>HYPERLINK("http://exon.niaid.nih.gov/transcriptome/An_gambiae_male_2006/ST1/links/AGM-contig_95-AGPROT.txt","ENSANGP00000025590")</f>
        <v>ENSANGP00000025590</v>
      </c>
      <c r="S222" s="1" t="str">
        <f>HYPERLINK("http://www.ensembl.org/Anopheles_gambiae/protview?peptide=ENSANGP00000025590","0.41")</f>
        <v>0.41</v>
      </c>
      <c r="T222" s="1" t="str">
        <f>HYPERLINK("http://www.anobase.org/cgi-bin/uniexcel_new_var6.pl?proteinname=ENSANGP00000025590","0.41")</f>
        <v>0.41</v>
      </c>
      <c r="AC222" s="2" t="str">
        <f>HYPERLINK("http://exon.niaid.nih.gov/transcriptome/An_gambiae_male_2006/ST1/links/AGM-contig_95-NR.txt","hypothetical protein TTHA1224 [Ther")</f>
        <v>hypothetical protein TTHA1224 [Ther</v>
      </c>
      <c r="AD222" s="1" t="str">
        <f>HYPERLINK("http://www.ncbi.nlm.nih.gov/sutils/blink.cgi?pid=55981193","6.5")</f>
        <v>6.5</v>
      </c>
      <c r="AE222" s="1" t="s">
        <v>314</v>
      </c>
      <c r="AF222" s="9" t="s">
        <v>334</v>
      </c>
      <c r="AG222" s="6" t="s">
        <v>511</v>
      </c>
      <c r="AH222" s="6" t="s">
        <v>511</v>
      </c>
      <c r="AJ222" s="6">
        <f>AJ221+1</f>
        <v>73</v>
      </c>
    </row>
    <row r="223" spans="1:36" ht="9.75">
      <c r="A223" t="str">
        <f>HYPERLINK("http://exon.niaid.nih.gov/transcriptome/An_gambiae_male_2006/ST1/links/AGM-contig_272.txt","AGM-contig_272")</f>
        <v>AGM-contig_272</v>
      </c>
      <c r="B223" s="1">
        <v>1</v>
      </c>
      <c r="C223" s="1">
        <v>247</v>
      </c>
      <c r="D223" s="1">
        <f>D222+B223</f>
        <v>80</v>
      </c>
      <c r="E223" s="1">
        <v>2</v>
      </c>
      <c r="F223" s="1">
        <v>59.9</v>
      </c>
      <c r="G223" s="1">
        <v>228</v>
      </c>
      <c r="H223" t="str">
        <f>HYPERLINK("http://exon.niaid.nih.gov/transcriptome/An_gambiae_male_2006/ST1/links/AGM-7-90-90-asb-272.txt","Contig-272")</f>
        <v>Contig-272</v>
      </c>
      <c r="I223" s="1">
        <v>272</v>
      </c>
      <c r="J223" t="str">
        <f>HYPERLINK("http://exon.niaid.nih.gov/transcriptome/An_gambiae_male_2006/ST1/links/AGM-7-90-90-272-CLU.txt","Contig272")</f>
        <v>Contig272</v>
      </c>
      <c r="K223" t="s">
        <v>725</v>
      </c>
      <c r="L223" s="2" t="str">
        <f>HYPERLINK("http://exon.niaid.nih.gov/transcriptome/An_gambiae_male_2006/ST1/links/AGM-contig_272-AGFRAG.txt","2R_Piece#1004")</f>
        <v>2R_Piece#1004</v>
      </c>
      <c r="M223" s="4">
        <v>1E-101</v>
      </c>
      <c r="N223" s="2" t="str">
        <f>HYPERLINK("http://exon.niaid.nih.gov/transcriptome/An_gambiae_male_2006/ST1/links/AGM-contig_272-AG3P.txt","ENSANGP00000027847")</f>
        <v>ENSANGP00000027847</v>
      </c>
      <c r="O223" s="1" t="str">
        <f>HYPERLINK("http://www.anobase.org/cgi-bin/uniexcel_new_var6.pl?proteinname=ENSANGP00000027847","1.E-101")</f>
        <v>1.E-101</v>
      </c>
      <c r="R223" s="2" t="str">
        <f>HYPERLINK("http://exon.niaid.nih.gov/transcriptome/An_gambiae_male_2006/ST1/links/AGM-contig_272-AGPROT.txt","ENSANGP00000010873")</f>
        <v>ENSANGP00000010873</v>
      </c>
      <c r="S223" s="1" t="str">
        <f>HYPERLINK("http://www.ensembl.org/Anopheles_gambiae/protview?peptide=ENSANGP00000010873","0.50")</f>
        <v>0.50</v>
      </c>
      <c r="T223" s="1" t="str">
        <f>HYPERLINK("http://www.anobase.org/cgi-bin/uniexcel_new_var6.pl?proteinname=ENSANGP00000010873","0.50")</f>
        <v>0.50</v>
      </c>
      <c r="AC223" s="2" t="str">
        <f>HYPERLINK("http://exon.niaid.nih.gov/transcriptome/An_gambiae_male_2006/ST1/links/AGM-contig_272-NR.txt","hypothetical protein [Plasmodium fa")</f>
        <v>hypothetical protein [Plasmodium fa</v>
      </c>
      <c r="AD223" s="1" t="str">
        <f>HYPERLINK("http://www.ncbi.nlm.nih.gov/sutils/blink.cgi?pid=23613642","1.7")</f>
        <v>1.7</v>
      </c>
      <c r="AE223" s="1" t="s">
        <v>313</v>
      </c>
      <c r="AF223" s="9" t="s">
        <v>131</v>
      </c>
      <c r="AG223" s="6" t="s">
        <v>511</v>
      </c>
      <c r="AH223" s="6" t="s">
        <v>511</v>
      </c>
      <c r="AJ223" s="6">
        <f>AJ222+1</f>
        <v>74</v>
      </c>
    </row>
    <row r="224" spans="1:36" ht="9.75">
      <c r="A224" t="str">
        <f>HYPERLINK("http://exon.niaid.nih.gov/transcriptome/An_gambiae_male_2006/ST1/links/AGM-contig_124.txt","AGM-contig_124")</f>
        <v>AGM-contig_124</v>
      </c>
      <c r="B224" s="1">
        <v>1</v>
      </c>
      <c r="C224" s="1">
        <v>1093</v>
      </c>
      <c r="D224" s="1">
        <f>D223+B224</f>
        <v>81</v>
      </c>
      <c r="E224" s="1">
        <v>3.8</v>
      </c>
      <c r="F224" s="1">
        <v>57.1</v>
      </c>
      <c r="G224" s="1" t="s">
        <v>260</v>
      </c>
      <c r="H224" t="str">
        <f>HYPERLINK("http://exon.niaid.nih.gov/transcriptome/An_gambiae_male_2006/ST1/links/AGM-7-90-90-asb-124.txt","Contig-124")</f>
        <v>Contig-124</v>
      </c>
      <c r="I224" s="1">
        <v>124</v>
      </c>
      <c r="J224" t="str">
        <f>HYPERLINK("http://exon.niaid.nih.gov/transcriptome/An_gambiae_male_2006/ST1/links/AGM-7-90-90-124-CLU.txt","Contig124")</f>
        <v>Contig124</v>
      </c>
      <c r="K224" t="s">
        <v>577</v>
      </c>
      <c r="R224" s="2" t="str">
        <f>HYPERLINK("http://exon.niaid.nih.gov/transcriptome/An_gambiae_male_2006/ST1/links/AGM-contig_124-AGPROT.txt","ENSANGP00000012929")</f>
        <v>ENSANGP00000012929</v>
      </c>
      <c r="S224" s="1" t="str">
        <f>HYPERLINK("http://www.ensembl.org/Anopheles_gambiae/protview?peptide=ENSANGP00000012929","0.58")</f>
        <v>0.58</v>
      </c>
      <c r="T224" s="1" t="str">
        <f>HYPERLINK("http://www.anobase.org/cgi-bin/uniexcel_new_var6.pl?proteinname=ENSANGP00000012929","0.58")</f>
        <v>0.58</v>
      </c>
      <c r="AC224" s="2" t="str">
        <f>HYPERLINK("http://exon.niaid.nih.gov/transcriptome/An_gambiae_male_2006/ST1/links/AGM-contig_124-NR.txt","cryptopsoridial mucin, large thr stre")</f>
        <v>cryptopsoridial mucin, large thr stre</v>
      </c>
      <c r="AD224" s="1" t="str">
        <f>HYPERLINK("http://www.ncbi.nlm.nih.gov/sutils/blink.cgi?pid=46229571","7.9")</f>
        <v>7.9</v>
      </c>
      <c r="AE224" s="1" t="s">
        <v>313</v>
      </c>
      <c r="AF224" s="9" t="s">
        <v>343</v>
      </c>
      <c r="AG224" s="6" t="s">
        <v>511</v>
      </c>
      <c r="AH224" s="6" t="s">
        <v>511</v>
      </c>
      <c r="AJ224" s="6">
        <f>AJ223+1</f>
        <v>75</v>
      </c>
    </row>
    <row r="225" spans="1:36" ht="9.75">
      <c r="A225" t="str">
        <f>HYPERLINK("http://exon.niaid.nih.gov/transcriptome/An_gambiae_male_2006/ST1/links/AGM-contig_317.txt","AGM-contig_317")</f>
        <v>AGM-contig_317</v>
      </c>
      <c r="B225" s="1">
        <v>1</v>
      </c>
      <c r="C225" s="1">
        <v>346</v>
      </c>
      <c r="D225" s="1">
        <f>D224+B225</f>
        <v>82</v>
      </c>
      <c r="E225" s="1" t="s">
        <v>209</v>
      </c>
      <c r="F225" s="1">
        <v>69.7</v>
      </c>
      <c r="G225" s="1">
        <v>327</v>
      </c>
      <c r="H225" t="str">
        <f>HYPERLINK("http://exon.niaid.nih.gov/transcriptome/An_gambiae_male_2006/ST1/links/AGM-7-90-90-asb-317.txt","Contig-317")</f>
        <v>Contig-317</v>
      </c>
      <c r="I225" s="1">
        <v>317</v>
      </c>
      <c r="J225" t="str">
        <f>HYPERLINK("http://exon.niaid.nih.gov/transcriptome/An_gambiae_male_2006/ST1/links/AGM-7-90-90-317-CLU.txt","Contig317")</f>
        <v>Contig317</v>
      </c>
      <c r="K225" t="s">
        <v>184</v>
      </c>
      <c r="L225" s="2" t="str">
        <f>HYPERLINK("http://exon.niaid.nih.gov/transcriptome/An_gambiae_male_2006/ST1/links/AGM-contig_317-AGFRAG.txt","2L_Piece#312")</f>
        <v>2L_Piece#312</v>
      </c>
      <c r="M225" s="4">
        <v>1E-166</v>
      </c>
      <c r="N225" s="2" t="str">
        <f>HYPERLINK("http://exon.niaid.nih.gov/transcriptome/An_gambiae_male_2006/ST1/links/AGM-contig_317-AG3P.txt","ENSANGP00000015228")</f>
        <v>ENSANGP00000015228</v>
      </c>
      <c r="O225" s="1" t="str">
        <f>HYPERLINK("http://www.anobase.org/cgi-bin/uniexcel_new_var6.pl?proteinname=ENSANGP00000015228","1.E-166")</f>
        <v>1.E-166</v>
      </c>
      <c r="R225" s="2" t="str">
        <f>HYPERLINK("http://exon.niaid.nih.gov/transcriptome/An_gambiae_male_2006/ST1/links/AGM-contig_317-AGPROT.txt","ENSANGP00000022295")</f>
        <v>ENSANGP00000022295</v>
      </c>
      <c r="S225" s="1" t="str">
        <f>HYPERLINK("http://www.ensembl.org/Anopheles_gambiae/protview?peptide=ENSANGP00000022295","0.59")</f>
        <v>0.59</v>
      </c>
      <c r="T225" s="1" t="str">
        <f>HYPERLINK("http://www.anobase.org/cgi-bin/uniexcel_new_var6.pl?proteinname=ENSANGP00000022295","0.59")</f>
        <v>0.59</v>
      </c>
      <c r="AC225" s="2" t="str">
        <f>HYPERLINK("http://exon.niaid.nih.gov/transcriptome/An_gambiae_male_2006/ST1/links/AGM-contig_317-NR.txt","NADH dehydrogenase subunit 4 [Mirza c")</f>
        <v>NADH dehydrogenase subunit 4 [Mirza c</v>
      </c>
      <c r="AD225" s="1" t="str">
        <f>HYPERLINK("http://www.ncbi.nlm.nih.gov/sutils/blink.cgi?pid=14587521","1.2")</f>
        <v>1.2</v>
      </c>
      <c r="AE225" s="1" t="s">
        <v>314</v>
      </c>
      <c r="AF225" s="9" t="s">
        <v>129</v>
      </c>
      <c r="AG225" s="6" t="s">
        <v>511</v>
      </c>
      <c r="AH225" s="6" t="s">
        <v>511</v>
      </c>
      <c r="AI225" s="6" t="s">
        <v>260</v>
      </c>
      <c r="AJ225" s="6">
        <f>AJ224+1</f>
        <v>76</v>
      </c>
    </row>
    <row r="226" spans="1:36" ht="9.75">
      <c r="A226" t="str">
        <f>HYPERLINK("http://exon.niaid.nih.gov/transcriptome/An_gambiae_male_2006/ST1/links/AGM-contig_122.txt","AGM-contig_122")</f>
        <v>AGM-contig_122</v>
      </c>
      <c r="B226" s="1">
        <v>1</v>
      </c>
      <c r="C226" s="1">
        <v>679</v>
      </c>
      <c r="D226" s="1">
        <f>D225+B226</f>
        <v>83</v>
      </c>
      <c r="E226" s="1">
        <v>3.8</v>
      </c>
      <c r="F226" s="1">
        <v>50.7</v>
      </c>
      <c r="G226" s="1">
        <v>660</v>
      </c>
      <c r="H226" t="str">
        <f>HYPERLINK("http://exon.niaid.nih.gov/transcriptome/An_gambiae_male_2006/ST1/links/AGM-7-90-90-asb-122.txt","Contig-122")</f>
        <v>Contig-122</v>
      </c>
      <c r="I226" s="1">
        <v>122</v>
      </c>
      <c r="J226" t="str">
        <f>HYPERLINK("http://exon.niaid.nih.gov/transcriptome/An_gambiae_male_2006/ST1/links/AGM-7-90-90-122-CLU.txt","Contig122")</f>
        <v>Contig122</v>
      </c>
      <c r="K226" t="s">
        <v>575</v>
      </c>
      <c r="R226" s="2" t="str">
        <f>HYPERLINK("http://exon.niaid.nih.gov/transcriptome/An_gambiae_male_2006/ST1/links/AGM-contig_122-AGPROT.txt","ENSANGP00000016714")</f>
        <v>ENSANGP00000016714</v>
      </c>
      <c r="S226" s="1" t="str">
        <f>HYPERLINK("http://www.ensembl.org/Anopheles_gambiae/protview?peptide=ENSANGP00000016714","0.85")</f>
        <v>0.85</v>
      </c>
      <c r="T226" s="1" t="str">
        <f>HYPERLINK("http://www.anobase.org/cgi-bin/uniexcel_new_var6.pl?proteinname=ENSANGP00000016714","0.85")</f>
        <v>0.85</v>
      </c>
      <c r="AC226" s="2" t="str">
        <f>HYPERLINK("http://exon.niaid.nih.gov/transcriptome/An_gambiae_male_2006/ST1/links/AGM-contig_122-NR.txt","unnamed protein product [Homo sapiens]     36   0.92")</f>
        <v>unnamed protein product [Homo sapiens]     36   0.92</v>
      </c>
      <c r="AD226" s="1" t="str">
        <f>HYPERLINK("http://www.ncbi.nlm.nih.gov/sutils/blink.cgi?pid=34535279","0.92")</f>
        <v>0.92</v>
      </c>
      <c r="AE226" s="1" t="s">
        <v>313</v>
      </c>
      <c r="AF226" s="9" t="s">
        <v>125</v>
      </c>
      <c r="AG226" s="6" t="s">
        <v>511</v>
      </c>
      <c r="AH226" s="6" t="s">
        <v>511</v>
      </c>
      <c r="AJ226" s="6">
        <f>AJ225+1</f>
        <v>77</v>
      </c>
    </row>
    <row r="227" spans="1:36" ht="9.75">
      <c r="A227" t="str">
        <f>HYPERLINK("http://exon.niaid.nih.gov/transcriptome/An_gambiae_male_2006/ST1/links/AGM-contig_157.txt","AGM-contig_157")</f>
        <v>AGM-contig_157</v>
      </c>
      <c r="B227" s="1">
        <v>1</v>
      </c>
      <c r="C227" s="1">
        <v>138</v>
      </c>
      <c r="D227" s="1">
        <f>D226+B227</f>
        <v>84</v>
      </c>
      <c r="E227" s="1" t="s">
        <v>209</v>
      </c>
      <c r="F227" s="1">
        <v>58.7</v>
      </c>
      <c r="G227" s="1">
        <v>120</v>
      </c>
      <c r="H227" t="str">
        <f>HYPERLINK("http://exon.niaid.nih.gov/transcriptome/An_gambiae_male_2006/ST1/links/AGM-7-90-90-asb-157.txt","Contig-157")</f>
        <v>Contig-157</v>
      </c>
      <c r="I227" s="1">
        <v>157</v>
      </c>
      <c r="J227" t="str">
        <f>HYPERLINK("http://exon.niaid.nih.gov/transcriptome/An_gambiae_male_2006/ST1/links/AGM-7-90-90-157-CLU.txt","Contig157")</f>
        <v>Contig157</v>
      </c>
      <c r="K227" t="s">
        <v>610</v>
      </c>
      <c r="L227" s="2" t="str">
        <f>HYPERLINK("http://exon.niaid.nih.gov/transcriptome/An_gambiae_male_2006/ST1/links/AGM-contig_157-AGFRAG.txt","2R_Piece#1881")</f>
        <v>2R_Piece#1881</v>
      </c>
      <c r="M227" s="4">
        <v>2E-22</v>
      </c>
      <c r="N227" s="2" t="str">
        <f>HYPERLINK("http://exon.niaid.nih.gov/transcriptome/An_gambiae_male_2006/ST1/links/AGM-contig_157-AG3P.txt","ENSANGP00000017920")</f>
        <v>ENSANGP00000017920</v>
      </c>
      <c r="O227" s="1" t="str">
        <f>HYPERLINK("http://www.anobase.org/cgi-bin/uniexcel_new_var6.pl?proteinname=ENSANGP00000017920","4.E-23")</f>
        <v>4.E-23</v>
      </c>
      <c r="R227" s="2" t="str">
        <f>HYPERLINK("http://exon.niaid.nih.gov/transcriptome/An_gambiae_male_2006/ST1/links/AGM-contig_157-AGPROT.txt","ENSANGP00000021198")</f>
        <v>ENSANGP00000021198</v>
      </c>
      <c r="S227" s="1" t="str">
        <f>HYPERLINK("http://www.ensembl.org/Anopheles_gambiae/protview?peptide=ENSANGP00000021198","0.94")</f>
        <v>0.94</v>
      </c>
      <c r="T227" s="1" t="str">
        <f>HYPERLINK("http://www.anobase.org/cgi-bin/uniexcel_new_var6.pl?proteinname=ENSANGP00000021198","0.94")</f>
        <v>0.94</v>
      </c>
      <c r="AG227" s="6" t="s">
        <v>511</v>
      </c>
      <c r="AH227" s="6" t="s">
        <v>511</v>
      </c>
      <c r="AJ227" s="6">
        <f>AJ226+1</f>
        <v>78</v>
      </c>
    </row>
    <row r="228" spans="1:36" ht="9.75">
      <c r="A228" t="str">
        <f>HYPERLINK("http://exon.niaid.nih.gov/transcriptome/An_gambiae_male_2006/ST1/links/AGM-contig_231.txt","AGM-contig_231")</f>
        <v>AGM-contig_231</v>
      </c>
      <c r="B228" s="1">
        <v>1</v>
      </c>
      <c r="C228" s="1">
        <v>276</v>
      </c>
      <c r="D228" s="1">
        <f>D227+B228</f>
        <v>85</v>
      </c>
      <c r="E228" s="1">
        <v>0.4</v>
      </c>
      <c r="F228" s="1">
        <v>60.1</v>
      </c>
      <c r="G228" s="1">
        <v>257</v>
      </c>
      <c r="H228" t="str">
        <f>HYPERLINK("http://exon.niaid.nih.gov/transcriptome/An_gambiae_male_2006/ST1/links/AGM-7-90-90-asb-231.txt","Contig-231")</f>
        <v>Contig-231</v>
      </c>
      <c r="I228" s="1">
        <v>231</v>
      </c>
      <c r="J228" t="str">
        <f>HYPERLINK("http://exon.niaid.nih.gov/transcriptome/An_gambiae_male_2006/ST1/links/AGM-7-90-90-231-CLU.txt","Contig231")</f>
        <v>Contig231</v>
      </c>
      <c r="K228" t="s">
        <v>684</v>
      </c>
      <c r="L228" s="2" t="str">
        <f>HYPERLINK("http://exon.niaid.nih.gov/transcriptome/An_gambiae_male_2006/ST1/links/AGM-contig_231-AGFRAG.txt","X_Piece#578")</f>
        <v>X_Piece#578</v>
      </c>
      <c r="M228" s="4">
        <v>1E-99</v>
      </c>
      <c r="N228" s="2" t="str">
        <f>HYPERLINK("http://exon.niaid.nih.gov/transcriptome/An_gambiae_male_2006/ST1/links/AGM-contig_231-AG3P.txt","ENSANGP00000021350")</f>
        <v>ENSANGP00000021350</v>
      </c>
      <c r="O228" s="1" t="str">
        <f>HYPERLINK("http://www.anobase.org/cgi-bin/uniexcel_new_var6.pl?proteinname=ENSANGP00000021350","1.E-100")</f>
        <v>1.E-100</v>
      </c>
      <c r="P228" s="2" t="str">
        <f>HYPERLINK("http://exon.niaid.nih.gov/transcriptome/An_gambiae_male_2006/ST1/links/AGM-contig_231-AG5P.txt","ENSANGP00000021343")</f>
        <v>ENSANGP00000021343</v>
      </c>
      <c r="Q228" s="4" t="str">
        <f>HYPERLINK("http://www.anobase.org/cgi-bin/uniexcel_new_var6.pl?proteinname=ENSANGP00000021343","1.E-100")</f>
        <v>1.E-100</v>
      </c>
      <c r="R228" s="2" t="str">
        <f>HYPERLINK("http://exon.niaid.nih.gov/transcriptome/An_gambiae_male_2006/ST1/links/AGM-contig_231-AGPROT.txt","ENSANGP00000009284")</f>
        <v>ENSANGP00000009284</v>
      </c>
      <c r="S228" s="1" t="str">
        <f>HYPERLINK("http://www.ensembl.org/Anopheles_gambiae/protview?peptide=ENSANGP00000009284","1.0")</f>
        <v>1.0</v>
      </c>
      <c r="T228" s="1" t="str">
        <f>HYPERLINK("http://www.anobase.org/cgi-bin/uniexcel_new_var6.pl?proteinname=ENSANGP00000009284","1.0")</f>
        <v>1.0</v>
      </c>
      <c r="AA228" s="2" t="str">
        <f>HYPERLINK("http://exon.niaid.nih.gov/transcriptome/An_gambiae_male_2006/ST1/links/AGM-contig_231-AGNUC.txt","AG-contig_467")</f>
        <v>AG-contig_467</v>
      </c>
      <c r="AB228" s="1">
        <v>1E-142</v>
      </c>
      <c r="AG228" s="6" t="s">
        <v>511</v>
      </c>
      <c r="AH228" s="6" t="s">
        <v>511</v>
      </c>
      <c r="AJ228" s="6">
        <f>AJ227+1</f>
        <v>79</v>
      </c>
    </row>
    <row r="229" spans="1:36" ht="9.75">
      <c r="A229" t="str">
        <f>HYPERLINK("http://exon.niaid.nih.gov/transcriptome/An_gambiae_male_2006/ST1/links/AGM-contig_117.txt","AGM-contig_117")</f>
        <v>AGM-contig_117</v>
      </c>
      <c r="B229" s="1">
        <v>1</v>
      </c>
      <c r="C229" s="1">
        <v>203</v>
      </c>
      <c r="D229" s="1">
        <f>D228+B229</f>
        <v>86</v>
      </c>
      <c r="E229" s="1">
        <v>3.4</v>
      </c>
      <c r="F229" s="1">
        <v>48.8</v>
      </c>
      <c r="G229" s="1" t="s">
        <v>260</v>
      </c>
      <c r="H229" t="str">
        <f>HYPERLINK("http://exon.niaid.nih.gov/transcriptome/An_gambiae_male_2006/ST1/links/AGM-7-90-90-asb-117.txt","Contig-117")</f>
        <v>Contig-117</v>
      </c>
      <c r="I229" s="1">
        <v>117</v>
      </c>
      <c r="J229" t="str">
        <f>HYPERLINK("http://exon.niaid.nih.gov/transcriptome/An_gambiae_male_2006/ST1/links/AGM-7-90-90-117-CLU.txt","Contig117")</f>
        <v>Contig117</v>
      </c>
      <c r="K229" t="s">
        <v>570</v>
      </c>
      <c r="R229" s="2" t="str">
        <f>HYPERLINK("http://exon.niaid.nih.gov/transcriptome/An_gambiae_male_2006/ST1/links/AGM-contig_117-AGPROT.txt","ENSANGP00000026500")</f>
        <v>ENSANGP00000026500</v>
      </c>
      <c r="S229" s="1" t="str">
        <f>HYPERLINK("http://www.ensembl.org/Anopheles_gambiae/protview?peptide=ENSANGP00000026500","1.00")</f>
        <v>1.00</v>
      </c>
      <c r="T229" s="1" t="str">
        <f>HYPERLINK("http://www.anobase.org/cgi-bin/uniexcel_new_var6.pl?proteinname=ENSANGP00000026500","1.00")</f>
        <v>1.00</v>
      </c>
      <c r="AG229" s="6" t="s">
        <v>511</v>
      </c>
      <c r="AH229" s="6" t="s">
        <v>511</v>
      </c>
      <c r="AJ229" s="6">
        <f>AJ228+1</f>
        <v>80</v>
      </c>
    </row>
    <row r="230" spans="1:36" ht="9.75">
      <c r="A230" t="str">
        <f>HYPERLINK("http://exon.niaid.nih.gov/transcriptome/An_gambiae_male_2006/ST1/links/AGM-contig_271.txt","AGM-contig_271")</f>
        <v>AGM-contig_271</v>
      </c>
      <c r="B230" s="1">
        <v>1</v>
      </c>
      <c r="C230" s="1">
        <v>415</v>
      </c>
      <c r="D230" s="1">
        <f>D229+B230</f>
        <v>87</v>
      </c>
      <c r="E230" s="1" t="s">
        <v>209</v>
      </c>
      <c r="F230" s="1">
        <v>64.8</v>
      </c>
      <c r="G230" s="1">
        <v>396</v>
      </c>
      <c r="H230" t="str">
        <f>HYPERLINK("http://exon.niaid.nih.gov/transcriptome/An_gambiae_male_2006/ST1/links/AGM-7-90-90-asb-271.txt","Contig-271")</f>
        <v>Contig-271</v>
      </c>
      <c r="I230" s="1">
        <v>271</v>
      </c>
      <c r="J230" t="str">
        <f>HYPERLINK("http://exon.niaid.nih.gov/transcriptome/An_gambiae_male_2006/ST1/links/AGM-7-90-90-271-CLU.txt","Contig271")</f>
        <v>Contig271</v>
      </c>
      <c r="K230" t="s">
        <v>724</v>
      </c>
      <c r="L230" s="2" t="str">
        <f>HYPERLINK("http://exon.niaid.nih.gov/transcriptome/An_gambiae_male_2006/ST1/links/AGM-contig_271-AGFRAG.txt","3L_Piece#1399")</f>
        <v>3L_Piece#1399</v>
      </c>
      <c r="M230" s="4">
        <v>0</v>
      </c>
      <c r="N230" s="2" t="str">
        <f>HYPERLINK("http://exon.niaid.nih.gov/transcriptome/An_gambiae_male_2006/ST1/links/AGM-contig_271-AG3P.txt","ENSANGP00000028342")</f>
        <v>ENSANGP00000028342</v>
      </c>
      <c r="O230" s="1" t="str">
        <f>HYPERLINK("http://www.anobase.org/cgi-bin/uniexcel_new_var6.pl?proteinname=ENSANGP00000028342","0.E+00")</f>
        <v>0.E+00</v>
      </c>
      <c r="P230" s="2" t="str">
        <f>HYPERLINK("http://exon.niaid.nih.gov/transcriptome/An_gambiae_male_2006/ST1/links/AGM-contig_271-AG5P.txt","ENSANGP00000019943")</f>
        <v>ENSANGP00000019943</v>
      </c>
      <c r="Q230" s="4" t="str">
        <f>HYPERLINK("http://www.anobase.org/cgi-bin/uniexcel_new_var6.pl?proteinname=ENSANGP00000019943","1.E-104")</f>
        <v>1.E-104</v>
      </c>
      <c r="R230" s="2" t="str">
        <f>HYPERLINK("http://exon.niaid.nih.gov/transcriptome/An_gambiae_male_2006/ST1/links/AGM-contig_271-AGPROT.txt","ENSANGP00000010917")</f>
        <v>ENSANGP00000010917</v>
      </c>
      <c r="S230" s="1" t="str">
        <f>HYPERLINK("http://www.ensembl.org/Anopheles_gambiae/protview?peptide=ENSANGP00000010917","1.3")</f>
        <v>1.3</v>
      </c>
      <c r="T230" s="1" t="str">
        <f>HYPERLINK("http://www.anobase.org/cgi-bin/uniexcel_new_var6.pl?proteinname=ENSANGP00000010917","1.3")</f>
        <v>1.3</v>
      </c>
      <c r="AC230" s="2" t="str">
        <f>HYPERLINK("http://exon.niaid.nih.gov/transcriptome/An_gambiae_male_2006/ST1/links/AGM-contig_271-NR.txt","rhoptry protein-related [Plasmodium y")</f>
        <v>rhoptry protein-related [Plasmodium y</v>
      </c>
      <c r="AD230" s="1" t="str">
        <f>HYPERLINK("http://www.ncbi.nlm.nih.gov/sutils/blink.cgi?pid=23488974","2.9")</f>
        <v>2.9</v>
      </c>
      <c r="AE230" s="1" t="s">
        <v>313</v>
      </c>
      <c r="AF230" s="9" t="s">
        <v>132</v>
      </c>
      <c r="AG230" s="6" t="s">
        <v>511</v>
      </c>
      <c r="AH230" s="6" t="s">
        <v>511</v>
      </c>
      <c r="AJ230" s="6">
        <f>AJ229+1</f>
        <v>81</v>
      </c>
    </row>
    <row r="231" spans="1:36" ht="9.75">
      <c r="A231" t="str">
        <f>HYPERLINK("http://exon.niaid.nih.gov/transcriptome/An_gambiae_male_2006/ST1/links/AGM-contig_307.txt","AGM-contig_307")</f>
        <v>AGM-contig_307</v>
      </c>
      <c r="B231" s="1">
        <v>1</v>
      </c>
      <c r="C231" s="1">
        <v>146</v>
      </c>
      <c r="D231" s="1">
        <f>D230+B231</f>
        <v>88</v>
      </c>
      <c r="E231" s="1" t="s">
        <v>209</v>
      </c>
      <c r="F231" s="1">
        <v>54.8</v>
      </c>
      <c r="G231" s="1">
        <v>127</v>
      </c>
      <c r="H231" t="str">
        <f>HYPERLINK("http://exon.niaid.nih.gov/transcriptome/An_gambiae_male_2006/ST1/links/AGM-7-90-90-asb-307.txt","Contig-307")</f>
        <v>Contig-307</v>
      </c>
      <c r="I231" s="1">
        <v>307</v>
      </c>
      <c r="J231" t="str">
        <f>HYPERLINK("http://exon.niaid.nih.gov/transcriptome/An_gambiae_male_2006/ST1/links/AGM-7-90-90-307-CLU.txt","Contig307")</f>
        <v>Contig307</v>
      </c>
      <c r="K231" t="s">
        <v>174</v>
      </c>
      <c r="L231" s="2" t="str">
        <f>HYPERLINK("http://exon.niaid.nih.gov/transcriptome/An_gambiae_male_2006/ST1/links/AGM-contig_307-AGFRAG.txt","3R_Piece#344")</f>
        <v>3R_Piece#344</v>
      </c>
      <c r="M231" s="4">
        <v>2E-53</v>
      </c>
      <c r="R231" s="2" t="str">
        <f>HYPERLINK("http://exon.niaid.nih.gov/transcriptome/An_gambiae_male_2006/ST1/links/AGM-contig_307-AGPROT.txt","ENSANGP00000017646")</f>
        <v>ENSANGP00000017646</v>
      </c>
      <c r="S231" s="1" t="str">
        <f>HYPERLINK("http://www.ensembl.org/Anopheles_gambiae/protview?peptide=ENSANGP00000017646","1.3")</f>
        <v>1.3</v>
      </c>
      <c r="T231" s="1" t="str">
        <f>HYPERLINK("http://www.anobase.org/cgi-bin/uniexcel_new_var6.pl?proteinname=ENSANGP00000017646","1.3")</f>
        <v>1.3</v>
      </c>
      <c r="AG231" s="6" t="s">
        <v>511</v>
      </c>
      <c r="AH231" s="6" t="s">
        <v>511</v>
      </c>
      <c r="AJ231" s="6">
        <f>AJ230+1</f>
        <v>82</v>
      </c>
    </row>
    <row r="232" spans="1:36" ht="9.75">
      <c r="A232" t="str">
        <f>HYPERLINK("http://exon.niaid.nih.gov/transcriptome/An_gambiae_male_2006/ST1/links/AGM-contig_86.txt","AGM-contig_86")</f>
        <v>AGM-contig_86</v>
      </c>
      <c r="B232" s="1">
        <v>2</v>
      </c>
      <c r="C232" s="1">
        <v>243</v>
      </c>
      <c r="D232" s="1">
        <f>D231+B232</f>
        <v>90</v>
      </c>
      <c r="E232" s="1" t="s">
        <v>209</v>
      </c>
      <c r="F232" s="1">
        <v>48.1</v>
      </c>
      <c r="G232" s="1">
        <v>224</v>
      </c>
      <c r="H232" t="str">
        <f>HYPERLINK("http://exon.niaid.nih.gov/transcriptome/An_gambiae_male_2006/ST1/links/AGM-7-90-90-asb-86.txt","Contig-86")</f>
        <v>Contig-86</v>
      </c>
      <c r="I232" s="1">
        <v>86</v>
      </c>
      <c r="J232" t="str">
        <f>HYPERLINK("http://exon.niaid.nih.gov/transcriptome/An_gambiae_male_2006/ST1/links/AGM-7-90-90-86-CLU.txt","Contig86")</f>
        <v>Contig86</v>
      </c>
      <c r="K232" t="s">
        <v>539</v>
      </c>
      <c r="R232" s="2" t="str">
        <f>HYPERLINK("http://exon.niaid.nih.gov/transcriptome/An_gambiae_male_2006/ST1/links/AGM-contig_86-AGPROT.txt","ENSANGP00000007008")</f>
        <v>ENSANGP00000007008</v>
      </c>
      <c r="S232" s="1" t="str">
        <f>HYPERLINK("http://www.ensembl.org/Anopheles_gambiae/protview?peptide=ENSANGP00000007008","1.4")</f>
        <v>1.4</v>
      </c>
      <c r="T232" s="1" t="str">
        <f>HYPERLINK("http://www.anobase.org/cgi-bin/uniexcel_new_var6.pl?proteinname=ENSANGP00000007008","1.4")</f>
        <v>1.4</v>
      </c>
      <c r="AC232" s="2" t="str">
        <f>HYPERLINK("http://exon.niaid.nih.gov/transcriptome/An_gambiae_male_2006/ST1/links/AGM-contig_86-NR.txt","putative salivary protein [Culicoides")</f>
        <v>putative salivary protein [Culicoides</v>
      </c>
      <c r="AD232" s="1" t="str">
        <f>HYPERLINK("http://www.ncbi.nlm.nih.gov/sutils/blink.cgi?pid=51557703","0.002")</f>
        <v>0.002</v>
      </c>
      <c r="AE232" s="1" t="s">
        <v>313</v>
      </c>
      <c r="AF232" s="9" t="s">
        <v>436</v>
      </c>
      <c r="AG232" s="6" t="s">
        <v>511</v>
      </c>
      <c r="AH232" s="6" t="s">
        <v>511</v>
      </c>
      <c r="AJ232" s="6">
        <f>AJ231+1</f>
        <v>83</v>
      </c>
    </row>
    <row r="233" spans="1:36" ht="9.75">
      <c r="A233" t="str">
        <f>HYPERLINK("http://exon.niaid.nih.gov/transcriptome/An_gambiae_male_2006/ST1/links/AGM-contig_195.txt","AGM-contig_195")</f>
        <v>AGM-contig_195</v>
      </c>
      <c r="B233" s="1">
        <v>1</v>
      </c>
      <c r="C233" s="1">
        <v>111</v>
      </c>
      <c r="D233" s="1">
        <f>D232+B233</f>
        <v>91</v>
      </c>
      <c r="E233" s="1" t="s">
        <v>209</v>
      </c>
      <c r="F233" s="1">
        <v>61.3</v>
      </c>
      <c r="G233" s="1">
        <v>92</v>
      </c>
      <c r="H233" t="str">
        <f>HYPERLINK("http://exon.niaid.nih.gov/transcriptome/An_gambiae_male_2006/ST1/links/AGM-7-90-90-asb-195.txt","Contig-195")</f>
        <v>Contig-195</v>
      </c>
      <c r="I233" s="1">
        <v>195</v>
      </c>
      <c r="J233" t="str">
        <f>HYPERLINK("http://exon.niaid.nih.gov/transcriptome/An_gambiae_male_2006/ST1/links/AGM-7-90-90-195-CLU.txt","Contig195")</f>
        <v>Contig195</v>
      </c>
      <c r="K233" t="s">
        <v>648</v>
      </c>
      <c r="L233" s="2" t="str">
        <f>HYPERLINK("http://exon.niaid.nih.gov/transcriptome/An_gambiae_male_2006/ST1/links/AGM-contig_195-AGFRAG.txt","2R_Piece#1136")</f>
        <v>2R_Piece#1136</v>
      </c>
      <c r="M233" s="4">
        <v>4E-26</v>
      </c>
      <c r="R233" s="2" t="str">
        <f>HYPERLINK("http://exon.niaid.nih.gov/transcriptome/An_gambiae_male_2006/ST1/links/AGM-contig_195-AGPROT.txt","ENSANGP00000020315")</f>
        <v>ENSANGP00000020315</v>
      </c>
      <c r="S233" s="1" t="str">
        <f>HYPERLINK("http://www.ensembl.org/Anopheles_gambiae/protview?peptide=ENSANGP00000020315","1.4")</f>
        <v>1.4</v>
      </c>
      <c r="T233" s="1" t="str">
        <f>HYPERLINK("http://www.anobase.org/cgi-bin/uniexcel_new_var6.pl?proteinname=ENSANGP00000020315","1.4")</f>
        <v>1.4</v>
      </c>
      <c r="AG233" s="6" t="s">
        <v>511</v>
      </c>
      <c r="AH233" s="6" t="s">
        <v>511</v>
      </c>
      <c r="AJ233" s="6">
        <f>AJ232+1</f>
        <v>84</v>
      </c>
    </row>
    <row r="234" spans="1:36" ht="9.75">
      <c r="A234" t="str">
        <f>HYPERLINK("http://exon.niaid.nih.gov/transcriptome/An_gambiae_male_2006/ST1/links/AGM-contig_284.txt","AGM-contig_284")</f>
        <v>AGM-contig_284</v>
      </c>
      <c r="B234" s="1">
        <v>1</v>
      </c>
      <c r="C234" s="1">
        <v>210</v>
      </c>
      <c r="D234" s="1">
        <f>D233+B234</f>
        <v>92</v>
      </c>
      <c r="E234" s="1" t="s">
        <v>209</v>
      </c>
      <c r="F234" s="1">
        <v>66.7</v>
      </c>
      <c r="G234" s="1">
        <v>191</v>
      </c>
      <c r="H234" t="str">
        <f>HYPERLINK("http://exon.niaid.nih.gov/transcriptome/An_gambiae_male_2006/ST1/links/AGM-7-90-90-asb-284.txt","Contig-284")</f>
        <v>Contig-284</v>
      </c>
      <c r="I234" s="1">
        <v>284</v>
      </c>
      <c r="J234" t="str">
        <f>HYPERLINK("http://exon.niaid.nih.gov/transcriptome/An_gambiae_male_2006/ST1/links/AGM-7-90-90-284-CLU.txt","Contig284")</f>
        <v>Contig284</v>
      </c>
      <c r="K234" t="s">
        <v>151</v>
      </c>
      <c r="L234" s="2" t="str">
        <f>HYPERLINK("http://exon.niaid.nih.gov/transcriptome/An_gambiae_male_2006/ST1/links/AGM-contig_284-AGFRAG.txt","X_Piece#295")</f>
        <v>X_Piece#295</v>
      </c>
      <c r="M234" s="4">
        <v>3E-90</v>
      </c>
      <c r="R234" s="2" t="str">
        <f>HYPERLINK("http://exon.niaid.nih.gov/transcriptome/An_gambiae_male_2006/ST1/links/AGM-contig_284-AGPROT.txt","ENSANGP00000004332")</f>
        <v>ENSANGP00000004332</v>
      </c>
      <c r="S234" s="1" t="str">
        <f>HYPERLINK("http://www.ensembl.org/Anopheles_gambiae/protview?peptide=ENSANGP00000004332","1.5")</f>
        <v>1.5</v>
      </c>
      <c r="T234" s="1" t="str">
        <f>HYPERLINK("http://www.anobase.org/cgi-bin/uniexcel_new_var6.pl?proteinname=ENSANGP00000004332","1.5")</f>
        <v>1.5</v>
      </c>
      <c r="AG234" s="6" t="s">
        <v>511</v>
      </c>
      <c r="AH234" s="6" t="s">
        <v>511</v>
      </c>
      <c r="AJ234" s="6">
        <f>AJ233+1</f>
        <v>85</v>
      </c>
    </row>
    <row r="235" spans="1:36" ht="9.75">
      <c r="A235" t="str">
        <f>HYPERLINK("http://exon.niaid.nih.gov/transcriptome/An_gambiae_male_2006/ST1/links/AGM-contig_211.txt","AGM-contig_211")</f>
        <v>AGM-contig_211</v>
      </c>
      <c r="B235" s="1">
        <v>1</v>
      </c>
      <c r="C235" s="1">
        <v>301</v>
      </c>
      <c r="D235" s="1">
        <f>D234+B235</f>
        <v>93</v>
      </c>
      <c r="E235" s="1" t="s">
        <v>209</v>
      </c>
      <c r="F235" s="1">
        <v>62.1</v>
      </c>
      <c r="G235" s="1">
        <v>282</v>
      </c>
      <c r="H235" t="str">
        <f>HYPERLINK("http://exon.niaid.nih.gov/transcriptome/An_gambiae_male_2006/ST1/links/AGM-7-90-90-asb-211.txt","Contig-211")</f>
        <v>Contig-211</v>
      </c>
      <c r="I235" s="1">
        <v>211</v>
      </c>
      <c r="J235" t="str">
        <f>HYPERLINK("http://exon.niaid.nih.gov/transcriptome/An_gambiae_male_2006/ST1/links/AGM-7-90-90-211-CLU.txt","Contig211")</f>
        <v>Contig211</v>
      </c>
      <c r="K235" t="s">
        <v>664</v>
      </c>
      <c r="L235" s="2" t="str">
        <f>HYPERLINK("http://exon.niaid.nih.gov/transcriptome/An_gambiae_male_2006/ST1/links/AGM-contig_211-AGFRAG.txt","2L_Piece#409")</f>
        <v>2L_Piece#409</v>
      </c>
      <c r="M235" s="4">
        <v>1E-147</v>
      </c>
      <c r="N235" s="2" t="str">
        <f>HYPERLINK("http://exon.niaid.nih.gov/transcriptome/An_gambiae_male_2006/ST1/links/AGM-contig_211-AG3P.txt","ENSANGP00000024640")</f>
        <v>ENSANGP00000024640</v>
      </c>
      <c r="O235" s="1" t="str">
        <f>HYPERLINK("http://www.anobase.org/cgi-bin/uniexcel_new_var6.pl?proteinname=ENSANGP00000024640","1.E-147")</f>
        <v>1.E-147</v>
      </c>
      <c r="R235" s="2" t="str">
        <f>HYPERLINK("http://exon.niaid.nih.gov/transcriptome/An_gambiae_male_2006/ST1/links/AGM-contig_211-AGPROT.txt","ENSANGP00000015165")</f>
        <v>ENSANGP00000015165</v>
      </c>
      <c r="S235" s="1" t="str">
        <f>HYPERLINK("http://www.ensembl.org/Anopheles_gambiae/protview?peptide=ENSANGP00000015165","1.7")</f>
        <v>1.7</v>
      </c>
      <c r="T235" s="1" t="str">
        <f>HYPERLINK("http://www.anobase.org/cgi-bin/uniexcel_new_var6.pl?proteinname=ENSANGP00000015165","1.7")</f>
        <v>1.7</v>
      </c>
      <c r="AC235" s="2" t="str">
        <f>HYPERLINK("http://exon.niaid.nih.gov/transcriptome/An_gambiae_male_2006/ST1/links/AGM-contig_211-NR.txt","cg1 protein, putative [Plasmodium ch")</f>
        <v>cg1 protein, putative [Plasmodium ch</v>
      </c>
      <c r="AD235" s="1" t="str">
        <f>HYPERLINK("http://www.ncbi.nlm.nih.gov/sutils/blink.cgi?pid=56523935","1.0")</f>
        <v>1.0</v>
      </c>
      <c r="AE235" s="1" t="s">
        <v>313</v>
      </c>
      <c r="AF235" s="9" t="s">
        <v>786</v>
      </c>
      <c r="AG235" s="6" t="s">
        <v>511</v>
      </c>
      <c r="AH235" s="6" t="s">
        <v>511</v>
      </c>
      <c r="AJ235" s="6">
        <f>AJ234+1</f>
        <v>86</v>
      </c>
    </row>
    <row r="236" spans="1:36" ht="9.75">
      <c r="A236" t="str">
        <f>HYPERLINK("http://exon.niaid.nih.gov/transcriptome/An_gambiae_male_2006/ST1/links/AGM-contig_362.txt","AGM-contig_362")</f>
        <v>AGM-contig_362</v>
      </c>
      <c r="B236" s="1">
        <v>1</v>
      </c>
      <c r="C236" s="1">
        <v>205</v>
      </c>
      <c r="D236" s="1">
        <f>D235+B236</f>
        <v>94</v>
      </c>
      <c r="E236" s="1" t="s">
        <v>209</v>
      </c>
      <c r="F236" s="1">
        <v>63.9</v>
      </c>
      <c r="G236" s="1">
        <v>186</v>
      </c>
      <c r="H236" t="str">
        <f>HYPERLINK("http://exon.niaid.nih.gov/transcriptome/An_gambiae_male_2006/ST1/links/AGM-7-90-90-asb-362.txt","Contig-362")</f>
        <v>Contig-362</v>
      </c>
      <c r="I236" s="1">
        <v>362</v>
      </c>
      <c r="J236" t="str">
        <f>HYPERLINK("http://exon.niaid.nih.gov/transcriptome/An_gambiae_male_2006/ST1/links/AGM-7-90-90-362-CLU.txt","Contig362")</f>
        <v>Contig362</v>
      </c>
      <c r="K236" t="s">
        <v>302</v>
      </c>
      <c r="L236" s="2" t="str">
        <f>HYPERLINK("http://exon.niaid.nih.gov/transcriptome/An_gambiae_male_2006/ST1/links/AGM-contig_362-AGFRAG.txt","2R_Piece#839")</f>
        <v>2R_Piece#839</v>
      </c>
      <c r="M236" s="4">
        <v>6E-82</v>
      </c>
      <c r="N236" s="2" t="str">
        <f>HYPERLINK("http://exon.niaid.nih.gov/transcriptome/An_gambiae_male_2006/ST1/links/AGM-contig_362-AG3P.txt","ENSANGP00000014883")</f>
        <v>ENSANGP00000014883</v>
      </c>
      <c r="O236" s="1" t="str">
        <f>HYPERLINK("http://www.anobase.org/cgi-bin/uniexcel_new_var6.pl?proteinname=ENSANGP00000014883","1.E-82")</f>
        <v>1.E-82</v>
      </c>
      <c r="R236" s="2" t="str">
        <f>HYPERLINK("http://exon.niaid.nih.gov/transcriptome/An_gambiae_male_2006/ST1/links/AGM-contig_362-AGPROT.txt","ENSANGP00000002945")</f>
        <v>ENSANGP00000002945</v>
      </c>
      <c r="S236" s="1" t="str">
        <f>HYPERLINK("http://www.ensembl.org/Anopheles_gambiae/protview?peptide=ENSANGP00000002945","1.8")</f>
        <v>1.8</v>
      </c>
      <c r="T236" s="1" t="str">
        <f>HYPERLINK("http://www.anobase.org/cgi-bin/uniexcel_new_var6.pl?proteinname=ENSANGP00000002945","1.8")</f>
        <v>1.8</v>
      </c>
      <c r="AC236" s="2" t="str">
        <f>HYPERLINK("http://exon.niaid.nih.gov/transcriptome/An_gambiae_male_2006/ST1/links/AGM-contig_362-NR.txt","transposase [uncultured bacterium] ")</f>
        <v>transposase [uncultured bacterium] </v>
      </c>
      <c r="AD236" s="1" t="str">
        <f>HYPERLINK("http://www.ncbi.nlm.nih.gov/sutils/blink.cgi?pid=53793909","5.0")</f>
        <v>5.0</v>
      </c>
      <c r="AE236" s="1" t="s">
        <v>314</v>
      </c>
      <c r="AF236" s="9" t="s">
        <v>802</v>
      </c>
      <c r="AG236" s="6" t="s">
        <v>511</v>
      </c>
      <c r="AH236" s="6" t="s">
        <v>511</v>
      </c>
      <c r="AI236" s="6" t="s">
        <v>260</v>
      </c>
      <c r="AJ236" s="6">
        <f>AJ235+1</f>
        <v>87</v>
      </c>
    </row>
    <row r="237" spans="1:36" ht="9.75">
      <c r="A237" t="str">
        <f>HYPERLINK("http://exon.niaid.nih.gov/transcriptome/An_gambiae_male_2006/ST1/links/AGM-contig_80.txt","AGM-contig_80")</f>
        <v>AGM-contig_80</v>
      </c>
      <c r="B237" s="1">
        <v>2</v>
      </c>
      <c r="C237" s="1">
        <v>291</v>
      </c>
      <c r="D237" s="1">
        <f>D236+B237</f>
        <v>96</v>
      </c>
      <c r="E237" s="1" t="s">
        <v>209</v>
      </c>
      <c r="F237" s="1">
        <v>48.5</v>
      </c>
      <c r="G237" s="1">
        <v>272</v>
      </c>
      <c r="H237" t="str">
        <f>HYPERLINK("http://exon.niaid.nih.gov/transcriptome/An_gambiae_male_2006/ST1/links/AGM-7-90-90-asb-80.txt","Contig-80")</f>
        <v>Contig-80</v>
      </c>
      <c r="I237" s="1">
        <v>80</v>
      </c>
      <c r="J237" t="str">
        <f>HYPERLINK("http://exon.niaid.nih.gov/transcriptome/An_gambiae_male_2006/ST1/links/AGM-7-90-90-80-CLU.txt","Contig80")</f>
        <v>Contig80</v>
      </c>
      <c r="K237" t="s">
        <v>533</v>
      </c>
      <c r="L237" s="2" t="str">
        <f>HYPERLINK("http://exon.niaid.nih.gov/transcriptome/An_gambiae_male_2006/ST1/links/AGM-contig_80-AGFRAG.txt","3R_Piece#283")</f>
        <v>3R_Piece#283</v>
      </c>
      <c r="M237" s="4">
        <v>1E-142</v>
      </c>
      <c r="P237" s="2" t="str">
        <f>HYPERLINK("http://exon.niaid.nih.gov/transcriptome/An_gambiae_male_2006/ST1/links/AGM-contig_80-AG5P.txt","ENSANGP00000025849")</f>
        <v>ENSANGP00000025849</v>
      </c>
      <c r="Q237" s="4" t="str">
        <f>HYPERLINK("http://www.anobase.org/cgi-bin/uniexcel_new_var6.pl?proteinname=ENSANGP00000025849","1.E-134")</f>
        <v>1.E-134</v>
      </c>
      <c r="R237" s="2" t="str">
        <f>HYPERLINK("http://exon.niaid.nih.gov/transcriptome/An_gambiae_male_2006/ST1/links/AGM-contig_80-AGPROT.txt","ENSANGP00000017111")</f>
        <v>ENSANGP00000017111</v>
      </c>
      <c r="S237" s="1" t="str">
        <f>HYPERLINK("http://www.ensembl.org/Anopheles_gambiae/protview?peptide=ENSANGP00000017111","1.8")</f>
        <v>1.8</v>
      </c>
      <c r="T237" s="1" t="str">
        <f>HYPERLINK("http://www.anobase.org/cgi-bin/uniexcel_new_var6.pl?proteinname=ENSANGP00000017111","1.8")</f>
        <v>1.8</v>
      </c>
      <c r="AC237" s="2" t="str">
        <f>HYPERLINK("http://exon.niaid.nih.gov/transcriptome/An_gambiae_male_2006/ST1/links/AGM-contig_80-NR.txt","COG0009: Putative translation fac")</f>
        <v>COG0009: Putative translation fac</v>
      </c>
      <c r="AD237" s="1" t="str">
        <f>HYPERLINK("http://www.ncbi.nlm.nih.gov/sutils/blink.cgi?pid=23012172","0.78")</f>
        <v>0.78</v>
      </c>
      <c r="AE237" s="1" t="s">
        <v>314</v>
      </c>
      <c r="AF237" s="9" t="s">
        <v>784</v>
      </c>
      <c r="AG237" s="6" t="s">
        <v>511</v>
      </c>
      <c r="AH237" s="6" t="s">
        <v>511</v>
      </c>
      <c r="AJ237" s="6">
        <f>AJ236+1</f>
        <v>88</v>
      </c>
    </row>
    <row r="238" spans="1:36" ht="9.75">
      <c r="A238" t="str">
        <f>HYPERLINK("http://exon.niaid.nih.gov/transcriptome/An_gambiae_male_2006/ST1/links/AGM-contig_106.txt","AGM-contig_106")</f>
        <v>AGM-contig_106</v>
      </c>
      <c r="B238" s="1">
        <v>1</v>
      </c>
      <c r="C238" s="1">
        <v>530</v>
      </c>
      <c r="D238" s="1">
        <f>D237+B238</f>
        <v>97</v>
      </c>
      <c r="E238" s="1">
        <v>1.5</v>
      </c>
      <c r="F238" s="1">
        <v>65.1</v>
      </c>
      <c r="G238" s="1" t="s">
        <v>260</v>
      </c>
      <c r="H238" t="str">
        <f>HYPERLINK("http://exon.niaid.nih.gov/transcriptome/An_gambiae_male_2006/ST1/links/AGM-7-90-90-asb-106.txt","Contig-106")</f>
        <v>Contig-106</v>
      </c>
      <c r="I238" s="1">
        <v>106</v>
      </c>
      <c r="J238" t="str">
        <f>HYPERLINK("http://exon.niaid.nih.gov/transcriptome/An_gambiae_male_2006/ST1/links/AGM-7-90-90-106-CLU.txt","Contig106")</f>
        <v>Contig106</v>
      </c>
      <c r="K238" t="s">
        <v>559</v>
      </c>
      <c r="R238" s="2" t="str">
        <f>HYPERLINK("http://exon.niaid.nih.gov/transcriptome/An_gambiae_male_2006/ST1/links/AGM-contig_106-AGPROT.txt","ENSANGP00000004731")</f>
        <v>ENSANGP00000004731</v>
      </c>
      <c r="S238" s="1" t="str">
        <f>HYPERLINK("http://www.ensembl.org/Anopheles_gambiae/protview?peptide=ENSANGP00000004731","2.2")</f>
        <v>2.2</v>
      </c>
      <c r="T238" s="1" t="str">
        <f>HYPERLINK("http://www.anobase.org/cgi-bin/uniexcel_new_var6.pl?proteinname=ENSANGP00000004731","2.2")</f>
        <v>2.2</v>
      </c>
      <c r="AC238" s="2" t="str">
        <f>HYPERLINK("http://exon.niaid.nih.gov/transcriptome/An_gambiae_male_2006/ST1/links/AGM-contig_106-NR.txt","unnamed protein product [Homo sapiens]     37   0.24")</f>
        <v>unnamed protein product [Homo sapiens]     37   0.24</v>
      </c>
      <c r="AD238" s="1" t="str">
        <f>HYPERLINK("http://www.ncbi.nlm.nih.gov/sutils/blink.cgi?pid=34534287","0.24")</f>
        <v>0.24</v>
      </c>
      <c r="AE238" s="1" t="s">
        <v>313</v>
      </c>
      <c r="AF238" s="9" t="s">
        <v>488</v>
      </c>
      <c r="AG238" s="6" t="s">
        <v>511</v>
      </c>
      <c r="AH238" s="6" t="s">
        <v>511</v>
      </c>
      <c r="AJ238" s="6">
        <f>AJ237+1</f>
        <v>89</v>
      </c>
    </row>
    <row r="239" spans="1:36" ht="9.75">
      <c r="A239" t="str">
        <f>HYPERLINK("http://exon.niaid.nih.gov/transcriptome/An_gambiae_male_2006/ST1/links/AGM-contig_296.txt","AGM-contig_296")</f>
        <v>AGM-contig_296</v>
      </c>
      <c r="B239" s="1">
        <v>1</v>
      </c>
      <c r="C239" s="1">
        <v>155</v>
      </c>
      <c r="D239" s="1">
        <f>D238+B239</f>
        <v>98</v>
      </c>
      <c r="E239" s="1" t="s">
        <v>209</v>
      </c>
      <c r="F239" s="1">
        <v>43.9</v>
      </c>
      <c r="G239" s="1">
        <v>136</v>
      </c>
      <c r="H239" t="str">
        <f>HYPERLINK("http://exon.niaid.nih.gov/transcriptome/An_gambiae_male_2006/ST1/links/AGM-7-90-90-asb-296.txt","Contig-296")</f>
        <v>Contig-296</v>
      </c>
      <c r="I239" s="1">
        <v>296</v>
      </c>
      <c r="J239" t="str">
        <f>HYPERLINK("http://exon.niaid.nih.gov/transcriptome/An_gambiae_male_2006/ST1/links/AGM-7-90-90-296-CLU.txt","Contig296")</f>
        <v>Contig296</v>
      </c>
      <c r="K239" t="s">
        <v>163</v>
      </c>
      <c r="R239" s="2" t="str">
        <f>HYPERLINK("http://exon.niaid.nih.gov/transcriptome/An_gambiae_male_2006/ST1/links/AGM-contig_296-AGPROT.txt","ENSANGP00000016923")</f>
        <v>ENSANGP00000016923</v>
      </c>
      <c r="S239" s="1" t="str">
        <f>HYPERLINK("http://www.ensembl.org/Anopheles_gambiae/protview?peptide=ENSANGP00000016923","2.3")</f>
        <v>2.3</v>
      </c>
      <c r="T239" s="1" t="str">
        <f>HYPERLINK("http://www.anobase.org/cgi-bin/uniexcel_new_var6.pl?proteinname=ENSANGP00000016923","2.3")</f>
        <v>2.3</v>
      </c>
      <c r="AG239" s="6" t="s">
        <v>511</v>
      </c>
      <c r="AH239" s="6" t="s">
        <v>511</v>
      </c>
      <c r="AJ239" s="6">
        <f>AJ238+1</f>
        <v>90</v>
      </c>
    </row>
    <row r="240" spans="1:36" ht="9.75">
      <c r="A240" t="str">
        <f>HYPERLINK("http://exon.niaid.nih.gov/transcriptome/An_gambiae_male_2006/ST1/links/AGM-contig_118.txt","AGM-contig_118")</f>
        <v>AGM-contig_118</v>
      </c>
      <c r="B240" s="1">
        <v>1</v>
      </c>
      <c r="C240" s="1">
        <v>204</v>
      </c>
      <c r="D240" s="1">
        <f>D239+B240</f>
        <v>99</v>
      </c>
      <c r="E240" s="1">
        <v>2.9</v>
      </c>
      <c r="F240" s="1">
        <v>45.1</v>
      </c>
      <c r="G240" s="1" t="s">
        <v>260</v>
      </c>
      <c r="H240" t="str">
        <f>HYPERLINK("http://exon.niaid.nih.gov/transcriptome/An_gambiae_male_2006/ST1/links/AGM-7-90-90-asb-118.txt","Contig-118")</f>
        <v>Contig-118</v>
      </c>
      <c r="I240" s="1">
        <v>118</v>
      </c>
      <c r="J240" t="str">
        <f>HYPERLINK("http://exon.niaid.nih.gov/transcriptome/An_gambiae_male_2006/ST1/links/AGM-7-90-90-118-CLU.txt","Contig118")</f>
        <v>Contig118</v>
      </c>
      <c r="K240" t="s">
        <v>571</v>
      </c>
      <c r="R240" s="2" t="str">
        <f>HYPERLINK("http://exon.niaid.nih.gov/transcriptome/An_gambiae_male_2006/ST1/links/AGM-contig_118-AGPROT.txt","ENSANGP00000003563")</f>
        <v>ENSANGP00000003563</v>
      </c>
      <c r="S240" s="1" t="str">
        <f>HYPERLINK("http://www.ensembl.org/Anopheles_gambiae/protview?peptide=ENSANGP00000003563","2.3")</f>
        <v>2.3</v>
      </c>
      <c r="T240" s="1" t="str">
        <f>HYPERLINK("http://www.anobase.org/cgi-bin/uniexcel_new_var6.pl?proteinname=ENSANGP00000003563","2.3")</f>
        <v>2.3</v>
      </c>
      <c r="AC240" s="2" t="str">
        <f>HYPERLINK("http://exon.niaid.nih.gov/transcriptome/An_gambiae_male_2006/ST1/links/AGM-contig_118-NR.txt","hypothetical protein Npun02007559")</f>
        <v>hypothetical protein Npun02007559</v>
      </c>
      <c r="AD240" s="1" t="str">
        <f>HYPERLINK("http://www.ncbi.nlm.nih.gov/sutils/blink.cgi?pid=53686977","1.1")</f>
        <v>1.1</v>
      </c>
      <c r="AE240" s="1" t="s">
        <v>314</v>
      </c>
      <c r="AF240" s="9" t="s">
        <v>128</v>
      </c>
      <c r="AG240" s="6" t="s">
        <v>511</v>
      </c>
      <c r="AH240" s="6" t="s">
        <v>511</v>
      </c>
      <c r="AJ240" s="6">
        <f>AJ239+1</f>
        <v>91</v>
      </c>
    </row>
    <row r="241" spans="1:36" ht="9.75">
      <c r="A241" t="str">
        <f>HYPERLINK("http://exon.niaid.nih.gov/transcriptome/An_gambiae_male_2006/ST1/links/AGM-contig_75.txt","AGM-contig_75")</f>
        <v>AGM-contig_75</v>
      </c>
      <c r="B241" s="1">
        <v>2</v>
      </c>
      <c r="C241" s="1">
        <v>212</v>
      </c>
      <c r="D241" s="1">
        <f>D240+B241</f>
        <v>101</v>
      </c>
      <c r="E241" s="1" t="s">
        <v>209</v>
      </c>
      <c r="F241" s="1">
        <v>60.8</v>
      </c>
      <c r="G241" s="1">
        <v>193</v>
      </c>
      <c r="H241" t="str">
        <f>HYPERLINK("http://exon.niaid.nih.gov/transcriptome/An_gambiae_male_2006/ST1/links/AGM-7-90-90-asb-75.txt","Contig-75")</f>
        <v>Contig-75</v>
      </c>
      <c r="I241" s="1">
        <v>75</v>
      </c>
      <c r="J241" t="str">
        <f>HYPERLINK("http://exon.niaid.nih.gov/transcriptome/An_gambiae_male_2006/ST1/links/AGM-7-90-90-75-CLU.txt","Contig75")</f>
        <v>Contig75</v>
      </c>
      <c r="K241" t="s">
        <v>528</v>
      </c>
      <c r="L241" s="2" t="str">
        <f>HYPERLINK("http://exon.niaid.nih.gov/transcriptome/An_gambiae_male_2006/ST1/links/AGM-contig_75-AGFRAG.txt","3R_Piece#345")</f>
        <v>3R_Piece#345</v>
      </c>
      <c r="M241" s="4">
        <v>6E-85</v>
      </c>
      <c r="N241" s="2" t="str">
        <f>HYPERLINK("http://exon.niaid.nih.gov/transcriptome/An_gambiae_male_2006/ST1/links/AGM-contig_75-AG3P.txt","ENSANGP00000018277")</f>
        <v>ENSANGP00000018277</v>
      </c>
      <c r="O241" s="1" t="str">
        <f>HYPERLINK("http://www.anobase.org/cgi-bin/uniexcel_new_var6.pl?proteinname=ENSANGP00000018277","9.E-13")</f>
        <v>9.E-13</v>
      </c>
      <c r="R241" s="2" t="str">
        <f>HYPERLINK("http://exon.niaid.nih.gov/transcriptome/An_gambiae_male_2006/ST1/links/AGM-contig_75-AGPROT.txt","ENSANGP00000028030")</f>
        <v>ENSANGP00000028030</v>
      </c>
      <c r="S241" s="1" t="str">
        <f>HYPERLINK("http://www.ensembl.org/Anopheles_gambiae/protview?peptide=ENSANGP00000028030","2.3")</f>
        <v>2.3</v>
      </c>
      <c r="T241" s="1" t="str">
        <f>HYPERLINK("http://www.anobase.org/cgi-bin/uniexcel_new_var6.pl?proteinname=ENSANGP00000028030","2.3")</f>
        <v>2.3</v>
      </c>
      <c r="AG241" s="6" t="s">
        <v>511</v>
      </c>
      <c r="AH241" s="6" t="s">
        <v>511</v>
      </c>
      <c r="AJ241" s="6">
        <f>AJ240+1</f>
        <v>92</v>
      </c>
    </row>
    <row r="242" spans="1:36" ht="9.75">
      <c r="A242" t="str">
        <f>HYPERLINK("http://exon.niaid.nih.gov/transcriptome/An_gambiae_male_2006/ST1/links/AGM-contig_325.txt","AGM-contig_325")</f>
        <v>AGM-contig_325</v>
      </c>
      <c r="B242" s="1">
        <v>1</v>
      </c>
      <c r="C242" s="1">
        <v>172</v>
      </c>
      <c r="D242" s="1">
        <f>D241+B242</f>
        <v>102</v>
      </c>
      <c r="E242" s="1" t="s">
        <v>209</v>
      </c>
      <c r="F242" s="1">
        <v>59.3</v>
      </c>
      <c r="G242" s="1">
        <v>153</v>
      </c>
      <c r="H242" t="str">
        <f>HYPERLINK("http://exon.niaid.nih.gov/transcriptome/An_gambiae_male_2006/ST1/links/AGM-7-90-90-asb-325.txt","Contig-325")</f>
        <v>Contig-325</v>
      </c>
      <c r="I242" s="1">
        <v>325</v>
      </c>
      <c r="J242" t="str">
        <f>HYPERLINK("http://exon.niaid.nih.gov/transcriptome/An_gambiae_male_2006/ST1/links/AGM-7-90-90-325-CLU.txt","Contig325")</f>
        <v>Contig325</v>
      </c>
      <c r="K242" t="s">
        <v>192</v>
      </c>
      <c r="L242" s="2" t="str">
        <f>HYPERLINK("http://exon.niaid.nih.gov/transcriptome/An_gambiae_male_2006/ST1/links/AGM-contig_325-AGFRAG.txt","X_Piece#72")</f>
        <v>X_Piece#72</v>
      </c>
      <c r="M242" s="4">
        <v>6E-69</v>
      </c>
      <c r="R242" s="2" t="str">
        <f>HYPERLINK("http://exon.niaid.nih.gov/transcriptome/An_gambiae_male_2006/ST1/links/AGM-contig_325-AGPROT.txt","ENSANGP00000028183")</f>
        <v>ENSANGP00000028183</v>
      </c>
      <c r="S242" s="1" t="str">
        <f>HYPERLINK("http://www.ensembl.org/Anopheles_gambiae/protview?peptide=ENSANGP00000028183","2.3")</f>
        <v>2.3</v>
      </c>
      <c r="T242" s="1" t="str">
        <f>HYPERLINK("http://www.anobase.org/cgi-bin/uniexcel_new_var6.pl?proteinname=ENSANGP00000028183","2.3")</f>
        <v>2.3</v>
      </c>
      <c r="AA242" s="2" t="str">
        <f>HYPERLINK("http://exon.niaid.nih.gov/transcriptome/An_gambiae_male_2006/ST1/links/AGM-contig_325-AGNUC.txt","AG-contig_275")</f>
        <v>AG-contig_275</v>
      </c>
      <c r="AB242" s="1">
        <v>8E-67</v>
      </c>
      <c r="AG242" s="6" t="s">
        <v>511</v>
      </c>
      <c r="AH242" s="6" t="s">
        <v>511</v>
      </c>
      <c r="AJ242" s="6">
        <f>AJ241+1</f>
        <v>93</v>
      </c>
    </row>
    <row r="243" spans="1:36" ht="9.75">
      <c r="A243" t="str">
        <f>HYPERLINK("http://exon.niaid.nih.gov/transcriptome/An_gambiae_male_2006/ST1/links/AGM-contig_343.txt","AGM-contig_343")</f>
        <v>AGM-contig_343</v>
      </c>
      <c r="B243" s="1">
        <v>1</v>
      </c>
      <c r="C243" s="1">
        <v>248</v>
      </c>
      <c r="D243" s="1">
        <f>D242+B243</f>
        <v>103</v>
      </c>
      <c r="E243" s="1" t="s">
        <v>209</v>
      </c>
      <c r="F243" s="1">
        <v>59.3</v>
      </c>
      <c r="G243" s="1">
        <v>229</v>
      </c>
      <c r="H243" t="str">
        <f>HYPERLINK("http://exon.niaid.nih.gov/transcriptome/An_gambiae_male_2006/ST1/links/AGM-7-90-90-asb-343.txt","Contig-343")</f>
        <v>Contig-343</v>
      </c>
      <c r="I243" s="1">
        <v>343</v>
      </c>
      <c r="J243" t="str">
        <f>HYPERLINK("http://exon.niaid.nih.gov/transcriptome/An_gambiae_male_2006/ST1/links/AGM-7-90-90-343-CLU.txt","Contig343")</f>
        <v>Contig343</v>
      </c>
      <c r="K243" t="s">
        <v>283</v>
      </c>
      <c r="L243" s="2" t="str">
        <f>HYPERLINK("http://exon.niaid.nih.gov/transcriptome/An_gambiae_male_2006/ST1/links/AGM-contig_343-AGFRAG.txt","X_Piece#746")</f>
        <v>X_Piece#746</v>
      </c>
      <c r="M243" s="4">
        <v>1E-118</v>
      </c>
      <c r="N243" s="2" t="str">
        <f>HYPERLINK("http://exon.niaid.nih.gov/transcriptome/An_gambiae_male_2006/ST1/links/AGM-contig_343-AG3P.txt","ENSANGP00000018738")</f>
        <v>ENSANGP00000018738</v>
      </c>
      <c r="O243" s="1" t="str">
        <f>HYPERLINK("http://www.anobase.org/cgi-bin/uniexcel_new_var6.pl?proteinname=ENSANGP00000018738","1.E-119")</f>
        <v>1.E-119</v>
      </c>
      <c r="R243" s="2" t="str">
        <f>HYPERLINK("http://exon.niaid.nih.gov/transcriptome/An_gambiae_male_2006/ST1/links/AGM-contig_343-AGPROT.txt","ENSANGP00000015057")</f>
        <v>ENSANGP00000015057</v>
      </c>
      <c r="S243" s="1" t="str">
        <f>HYPERLINK("http://www.ensembl.org/Anopheles_gambiae/protview?peptide=ENSANGP00000015057","2.5")</f>
        <v>2.5</v>
      </c>
      <c r="T243" s="1" t="str">
        <f>HYPERLINK("http://www.anobase.org/cgi-bin/uniexcel_new_var6.pl?proteinname=ENSANGP00000015057","2.5")</f>
        <v>2.5</v>
      </c>
      <c r="AG243" s="6" t="s">
        <v>511</v>
      </c>
      <c r="AH243" s="6" t="s">
        <v>511</v>
      </c>
      <c r="AJ243" s="6">
        <f>AJ242+1</f>
        <v>94</v>
      </c>
    </row>
    <row r="244" spans="1:36" ht="9.75">
      <c r="A244" t="str">
        <f>HYPERLINK("http://exon.niaid.nih.gov/transcriptome/An_gambiae_male_2006/ST1/links/AGM-contig_192.txt","AGM-contig_192")</f>
        <v>AGM-contig_192</v>
      </c>
      <c r="B244" s="1">
        <v>1</v>
      </c>
      <c r="C244" s="1">
        <v>244</v>
      </c>
      <c r="D244" s="1">
        <f>D243+B244</f>
        <v>104</v>
      </c>
      <c r="E244" s="1" t="s">
        <v>209</v>
      </c>
      <c r="F244" s="1">
        <v>69.3</v>
      </c>
      <c r="G244" s="1">
        <v>225</v>
      </c>
      <c r="H244" t="str">
        <f>HYPERLINK("http://exon.niaid.nih.gov/transcriptome/An_gambiae_male_2006/ST1/links/AGM-7-90-90-asb-192.txt","Contig-192")</f>
        <v>Contig-192</v>
      </c>
      <c r="I244" s="1">
        <v>192</v>
      </c>
      <c r="J244" t="str">
        <f>HYPERLINK("http://exon.niaid.nih.gov/transcriptome/An_gambiae_male_2006/ST1/links/AGM-7-90-90-192-CLU.txt","Contig192")</f>
        <v>Contig192</v>
      </c>
      <c r="K244" t="s">
        <v>645</v>
      </c>
      <c r="L244" s="2" t="str">
        <f>HYPERLINK("http://exon.niaid.nih.gov/transcriptome/An_gambiae_male_2006/ST1/links/AGM-contig_192-AGFRAG.txt","X_Piece#176")</f>
        <v>X_Piece#176</v>
      </c>
      <c r="M244" s="4">
        <v>3E-56</v>
      </c>
      <c r="R244" s="2" t="str">
        <f>HYPERLINK("http://exon.niaid.nih.gov/transcriptome/An_gambiae_male_2006/ST1/links/AGM-contig_192-AGPROT.txt","ENSANGP00000022208")</f>
        <v>ENSANGP00000022208</v>
      </c>
      <c r="S244" s="1" t="str">
        <f>HYPERLINK("http://www.ensembl.org/Anopheles_gambiae/protview?peptide=ENSANGP00000022208","2.5")</f>
        <v>2.5</v>
      </c>
      <c r="T244" s="1" t="str">
        <f>HYPERLINK("http://www.anobase.org/cgi-bin/uniexcel_new_var6.pl?proteinname=ENSANGP00000022208","2.5")</f>
        <v>2.5</v>
      </c>
      <c r="AC244" s="2" t="str">
        <f>HYPERLINK("http://exon.niaid.nih.gov/transcriptome/An_gambiae_male_2006/ST1/links/AGM-contig_192-NR.txt","rhomboid family protein [Porphyromona")</f>
        <v>rhomboid family protein [Porphyromona</v>
      </c>
      <c r="AD244" s="1" t="str">
        <f>HYPERLINK("http://www.ncbi.nlm.nih.gov/sutils/blink.cgi?pid=34397399","0.35")</f>
        <v>0.35</v>
      </c>
      <c r="AE244" s="1" t="s">
        <v>314</v>
      </c>
      <c r="AF244" s="9" t="s">
        <v>489</v>
      </c>
      <c r="AG244" s="6" t="s">
        <v>511</v>
      </c>
      <c r="AH244" s="6" t="s">
        <v>511</v>
      </c>
      <c r="AI244" s="6" t="s">
        <v>260</v>
      </c>
      <c r="AJ244" s="6">
        <f>AJ243+1</f>
        <v>95</v>
      </c>
    </row>
    <row r="245" spans="1:36" ht="9.75">
      <c r="A245" t="str">
        <f>HYPERLINK("http://exon.niaid.nih.gov/transcriptome/An_gambiae_male_2006/ST1/links/AGM-contig_181.txt","AGM-contig_181")</f>
        <v>AGM-contig_181</v>
      </c>
      <c r="B245" s="1">
        <v>1</v>
      </c>
      <c r="C245" s="1">
        <v>130</v>
      </c>
      <c r="D245" s="1">
        <f>D244+B245</f>
        <v>105</v>
      </c>
      <c r="E245" s="1" t="s">
        <v>209</v>
      </c>
      <c r="F245" s="1">
        <v>70</v>
      </c>
      <c r="G245" s="1">
        <v>111</v>
      </c>
      <c r="H245" t="str">
        <f>HYPERLINK("http://exon.niaid.nih.gov/transcriptome/An_gambiae_male_2006/ST1/links/AGM-7-90-90-asb-181.txt","Contig-181")</f>
        <v>Contig-181</v>
      </c>
      <c r="I245" s="1">
        <v>181</v>
      </c>
      <c r="J245" t="str">
        <f>HYPERLINK("http://exon.niaid.nih.gov/transcriptome/An_gambiae_male_2006/ST1/links/AGM-7-90-90-181-CLU.txt","Contig181")</f>
        <v>Contig181</v>
      </c>
      <c r="K245" t="s">
        <v>634</v>
      </c>
      <c r="L245" s="2" t="str">
        <f>HYPERLINK("http://exon.niaid.nih.gov/transcriptome/An_gambiae_male_2006/ST1/links/AGM-contig_181-AGFRAG.txt","3L_Piece#1503")</f>
        <v>3L_Piece#1503</v>
      </c>
      <c r="M245" s="4">
        <v>3E-33</v>
      </c>
      <c r="N245" s="2" t="str">
        <f>HYPERLINK("http://exon.niaid.nih.gov/transcriptome/An_gambiae_male_2006/ST1/links/AGM-contig_181-AG3P.txt","ENSANGP00000013987")</f>
        <v>ENSANGP00000013987</v>
      </c>
      <c r="O245" s="1" t="str">
        <f>HYPERLINK("http://www.anobase.org/cgi-bin/uniexcel_new_var6.pl?proteinname=ENSANGP00000013987","6.E-34")</f>
        <v>6.E-34</v>
      </c>
      <c r="R245" s="2" t="str">
        <f>HYPERLINK("http://exon.niaid.nih.gov/transcriptome/An_gambiae_male_2006/ST1/links/AGM-contig_181-AGPROT.txt","ENSANGP00000028146")</f>
        <v>ENSANGP00000028146</v>
      </c>
      <c r="S245" s="1" t="str">
        <f>HYPERLINK("http://www.ensembl.org/Anopheles_gambiae/protview?peptide=ENSANGP00000028146","3.0")</f>
        <v>3.0</v>
      </c>
      <c r="T245" s="1" t="str">
        <f>HYPERLINK("http://www.anobase.org/cgi-bin/uniexcel_new_var6.pl?proteinname=ENSANGP00000028146","3.0")</f>
        <v>3.0</v>
      </c>
      <c r="AC245" s="2" t="str">
        <f>HYPERLINK("http://exon.niaid.nih.gov/transcriptome/An_gambiae_male_2006/ST1/links/AGM-contig_181-NR.txt","hypothetical protein [Agaricus bisporus]    32   6.6")</f>
        <v>hypothetical protein [Agaricus bisporus]    32   6.6</v>
      </c>
      <c r="AD245" s="1" t="str">
        <f>HYPERLINK("http://www.ncbi.nlm.nih.gov/sutils/blink.cgi?pid=7413501","6.6")</f>
        <v>6.6</v>
      </c>
      <c r="AE245" s="1" t="s">
        <v>313</v>
      </c>
      <c r="AF245" s="9" t="s">
        <v>335</v>
      </c>
      <c r="AG245" s="6" t="s">
        <v>511</v>
      </c>
      <c r="AH245" s="6" t="s">
        <v>511</v>
      </c>
      <c r="AJ245" s="6">
        <f>AJ244+1</f>
        <v>96</v>
      </c>
    </row>
    <row r="246" spans="1:36" ht="9.75">
      <c r="A246" t="str">
        <f>HYPERLINK("http://exon.niaid.nih.gov/transcriptome/An_gambiae_male_2006/ST1/links/AGM-contig_364.txt","AGM-contig_364")</f>
        <v>AGM-contig_364</v>
      </c>
      <c r="B246" s="1">
        <v>1</v>
      </c>
      <c r="C246" s="1">
        <v>130</v>
      </c>
      <c r="D246" s="1">
        <f>D245+B246</f>
        <v>106</v>
      </c>
      <c r="E246" s="1" t="s">
        <v>209</v>
      </c>
      <c r="F246" s="1">
        <v>63.1</v>
      </c>
      <c r="G246" s="1">
        <v>111</v>
      </c>
      <c r="H246" t="str">
        <f>HYPERLINK("http://exon.niaid.nih.gov/transcriptome/An_gambiae_male_2006/ST1/links/AGM-7-90-90-asb-364.txt","Contig-364")</f>
        <v>Contig-364</v>
      </c>
      <c r="I246" s="1">
        <v>364</v>
      </c>
      <c r="J246" t="str">
        <f>HYPERLINK("http://exon.niaid.nih.gov/transcriptome/An_gambiae_male_2006/ST1/links/AGM-7-90-90-364-CLU.txt","Contig364")</f>
        <v>Contig364</v>
      </c>
      <c r="K246" t="s">
        <v>304</v>
      </c>
      <c r="L246" s="2" t="str">
        <f>HYPERLINK("http://exon.niaid.nih.gov/transcriptome/An_gambiae_male_2006/ST1/links/AGM-contig_364-AGFRAG.txt","2R_Piece#2423")</f>
        <v>2R_Piece#2423</v>
      </c>
      <c r="M246" s="4">
        <v>1E-47</v>
      </c>
      <c r="R246" s="2" t="str">
        <f>HYPERLINK("http://exon.niaid.nih.gov/transcriptome/An_gambiae_male_2006/ST1/links/AGM-contig_364-AGPROT.txt","ENSANGP00000018312")</f>
        <v>ENSANGP00000018312</v>
      </c>
      <c r="S246" s="1" t="str">
        <f>HYPERLINK("http://www.ensembl.org/Anopheles_gambiae/protview?peptide=ENSANGP00000018312","3.0")</f>
        <v>3.0</v>
      </c>
      <c r="T246" s="1" t="str">
        <f>HYPERLINK("http://www.anobase.org/cgi-bin/uniexcel_new_var6.pl?proteinname=ENSANGP00000018312","3.0")</f>
        <v>3.0</v>
      </c>
      <c r="AG246" s="6" t="s">
        <v>511</v>
      </c>
      <c r="AH246" s="6" t="s">
        <v>511</v>
      </c>
      <c r="AI246" s="6" t="s">
        <v>260</v>
      </c>
      <c r="AJ246" s="6">
        <f>AJ245+1</f>
        <v>97</v>
      </c>
    </row>
    <row r="247" spans="1:36" ht="9.75">
      <c r="A247" t="str">
        <f>HYPERLINK("http://exon.niaid.nih.gov/transcriptome/An_gambiae_male_2006/ST1/links/AGM-contig_350.txt","AGM-contig_350")</f>
        <v>AGM-contig_350</v>
      </c>
      <c r="B247" s="1">
        <v>1</v>
      </c>
      <c r="C247" s="1">
        <v>129</v>
      </c>
      <c r="D247" s="1">
        <f>D246+B247</f>
        <v>107</v>
      </c>
      <c r="E247" s="1" t="s">
        <v>209</v>
      </c>
      <c r="F247" s="1">
        <v>65.9</v>
      </c>
      <c r="G247" s="1">
        <v>110</v>
      </c>
      <c r="H247" t="str">
        <f>HYPERLINK("http://exon.niaid.nih.gov/transcriptome/An_gambiae_male_2006/ST1/links/AGM-7-90-90-asb-350.txt","Contig-350")</f>
        <v>Contig-350</v>
      </c>
      <c r="I247" s="1">
        <v>350</v>
      </c>
      <c r="J247" t="str">
        <f>HYPERLINK("http://exon.niaid.nih.gov/transcriptome/An_gambiae_male_2006/ST1/links/AGM-7-90-90-350-CLU.txt","Contig350")</f>
        <v>Contig350</v>
      </c>
      <c r="K247" t="s">
        <v>290</v>
      </c>
      <c r="L247" s="2" t="str">
        <f>HYPERLINK("http://exon.niaid.nih.gov/transcriptome/An_gambiae_male_2006/ST1/links/AGM-contig_350-AGFRAG.txt","2L_Piece#1701")</f>
        <v>2L_Piece#1701</v>
      </c>
      <c r="M247" s="4">
        <v>8E-43</v>
      </c>
      <c r="R247" s="2" t="str">
        <f>HYPERLINK("http://exon.niaid.nih.gov/transcriptome/An_gambiae_male_2006/ST1/links/AGM-contig_350-AGPROT.txt","ENSANGP00000011432")</f>
        <v>ENSANGP00000011432</v>
      </c>
      <c r="S247" s="1" t="str">
        <f>HYPERLINK("http://www.ensembl.org/Anopheles_gambiae/protview?peptide=ENSANGP00000011432","3.0")</f>
        <v>3.0</v>
      </c>
      <c r="T247" s="1" t="str">
        <f>HYPERLINK("http://www.anobase.org/cgi-bin/uniexcel_new_var6.pl?proteinname=ENSANGP00000011432","3.0")</f>
        <v>3.0</v>
      </c>
      <c r="AG247" s="6" t="s">
        <v>511</v>
      </c>
      <c r="AH247" s="6" t="s">
        <v>511</v>
      </c>
      <c r="AI247" s="6" t="s">
        <v>417</v>
      </c>
      <c r="AJ247" s="6">
        <f>AJ246+1</f>
        <v>98</v>
      </c>
    </row>
    <row r="248" spans="1:36" ht="9.75">
      <c r="A248" t="str">
        <f>HYPERLINK("http://exon.niaid.nih.gov/transcriptome/An_gambiae_male_2006/ST1/links/AGM-contig_338.txt","AGM-contig_338")</f>
        <v>AGM-contig_338</v>
      </c>
      <c r="B248" s="1">
        <v>1</v>
      </c>
      <c r="C248" s="1">
        <v>128</v>
      </c>
      <c r="D248" s="1">
        <f>D247+B248</f>
        <v>108</v>
      </c>
      <c r="E248" s="1" t="s">
        <v>209</v>
      </c>
      <c r="F248" s="1">
        <v>62.5</v>
      </c>
      <c r="G248" s="1">
        <v>109</v>
      </c>
      <c r="H248" t="str">
        <f>HYPERLINK("http://exon.niaid.nih.gov/transcriptome/An_gambiae_male_2006/ST1/links/AGM-7-90-90-asb-338.txt","Contig-338")</f>
        <v>Contig-338</v>
      </c>
      <c r="I248" s="1">
        <v>338</v>
      </c>
      <c r="J248" t="str">
        <f>HYPERLINK("http://exon.niaid.nih.gov/transcriptome/An_gambiae_male_2006/ST1/links/AGM-7-90-90-338-CLU.txt","Contig338")</f>
        <v>Contig338</v>
      </c>
      <c r="K248" t="s">
        <v>278</v>
      </c>
      <c r="L248" s="2" t="str">
        <f>HYPERLINK("http://exon.niaid.nih.gov/transcriptome/An_gambiae_male_2006/ST1/links/AGM-contig_338-AGFRAG.txt","2R_Piece#190")</f>
        <v>2R_Piece#190</v>
      </c>
      <c r="M248" s="4">
        <v>3E-39</v>
      </c>
      <c r="R248" s="2" t="str">
        <f>HYPERLINK("http://exon.niaid.nih.gov/transcriptome/An_gambiae_male_2006/ST1/links/AGM-contig_338-AGPROT.txt","ENSANGP00000028822")</f>
        <v>ENSANGP00000028822</v>
      </c>
      <c r="S248" s="1" t="str">
        <f>HYPERLINK("http://www.ensembl.org/Anopheles_gambiae/protview?peptide=ENSANGP00000028822","3.0")</f>
        <v>3.0</v>
      </c>
      <c r="T248" s="1" t="str">
        <f>HYPERLINK("http://www.anobase.org/cgi-bin/uniexcel_new_var6.pl?proteinname=ENSANGP00000028822","3.0")</f>
        <v>3.0</v>
      </c>
      <c r="AC248" s="2" t="str">
        <f>HYPERLINK("http://exon.niaid.nih.gov/transcriptome/An_gambiae_male_2006/ST1/links/AGM-contig_338-NR.txt","anaerobic C4-dicarboxylate transpor")</f>
        <v>anaerobic C4-dicarboxylate transpor</v>
      </c>
      <c r="AD248" s="1" t="str">
        <f>HYPERLINK("http://www.ncbi.nlm.nih.gov/sutils/blink.cgi?pid=50120353","8.6")</f>
        <v>8.6</v>
      </c>
      <c r="AE248" s="1" t="s">
        <v>314</v>
      </c>
      <c r="AF248" s="9" t="s">
        <v>342</v>
      </c>
      <c r="AG248" s="6" t="s">
        <v>511</v>
      </c>
      <c r="AH248" s="6" t="s">
        <v>511</v>
      </c>
      <c r="AJ248" s="6">
        <f>AJ247+1</f>
        <v>99</v>
      </c>
    </row>
    <row r="249" spans="1:36" ht="9.75">
      <c r="A249" t="str">
        <f>HYPERLINK("http://exon.niaid.nih.gov/transcriptome/An_gambiae_male_2006/ST1/links/AGM-contig_155.txt","AGM-contig_155")</f>
        <v>AGM-contig_155</v>
      </c>
      <c r="B249" s="1">
        <v>1</v>
      </c>
      <c r="C249" s="1">
        <v>100</v>
      </c>
      <c r="D249" s="1">
        <f>D248+B249</f>
        <v>109</v>
      </c>
      <c r="E249" s="1">
        <v>2</v>
      </c>
      <c r="F249" s="1">
        <v>43</v>
      </c>
      <c r="G249" s="1" t="s">
        <v>260</v>
      </c>
      <c r="H249" t="str">
        <f>HYPERLINK("http://exon.niaid.nih.gov/transcriptome/An_gambiae_male_2006/ST1/links/AGM-7-90-90-asb-155.txt","Contig-155")</f>
        <v>Contig-155</v>
      </c>
      <c r="I249" s="1">
        <v>155</v>
      </c>
      <c r="J249" t="str">
        <f>HYPERLINK("http://exon.niaid.nih.gov/transcriptome/An_gambiae_male_2006/ST1/links/AGM-7-90-90-155-CLU.txt","Contig155")</f>
        <v>Contig155</v>
      </c>
      <c r="K249" t="s">
        <v>608</v>
      </c>
      <c r="R249" s="2" t="str">
        <f>HYPERLINK("http://exon.niaid.nih.gov/transcriptome/An_gambiae_male_2006/ST1/links/AGM-contig_155-AGPROT.txt","ENSANGP00000016716")</f>
        <v>ENSANGP00000016716</v>
      </c>
      <c r="S249" s="1" t="str">
        <f>HYPERLINK("http://www.ensembl.org/Anopheles_gambiae/protview?peptide=ENSANGP00000016716","3.0")</f>
        <v>3.0</v>
      </c>
      <c r="T249" s="1" t="str">
        <f>HYPERLINK("http://www.anobase.org/cgi-bin/uniexcel_new_var6.pl?proteinname=ENSANGP00000016716","3.0")</f>
        <v>3.0</v>
      </c>
      <c r="AG249" s="6" t="s">
        <v>511</v>
      </c>
      <c r="AH249" s="6" t="s">
        <v>511</v>
      </c>
      <c r="AJ249" s="6">
        <f>AJ248+1</f>
        <v>100</v>
      </c>
    </row>
    <row r="250" spans="1:36" ht="9.75">
      <c r="A250" t="str">
        <f>HYPERLINK("http://exon.niaid.nih.gov/transcriptome/An_gambiae_male_2006/ST1/links/AGM-contig_352.txt","AGM-contig_352")</f>
        <v>AGM-contig_352</v>
      </c>
      <c r="B250" s="1">
        <v>1</v>
      </c>
      <c r="C250" s="1">
        <v>107</v>
      </c>
      <c r="D250" s="1">
        <f>D249+B250</f>
        <v>110</v>
      </c>
      <c r="E250" s="1" t="s">
        <v>209</v>
      </c>
      <c r="F250" s="1">
        <v>71</v>
      </c>
      <c r="G250" s="1">
        <v>79</v>
      </c>
      <c r="H250" t="str">
        <f>HYPERLINK("http://exon.niaid.nih.gov/transcriptome/An_gambiae_male_2006/ST1/links/AGM-7-90-90-asb-352.txt","Contig-352")</f>
        <v>Contig-352</v>
      </c>
      <c r="I250" s="1">
        <v>352</v>
      </c>
      <c r="J250" t="str">
        <f>HYPERLINK("http://exon.niaid.nih.gov/transcriptome/An_gambiae_male_2006/ST1/links/AGM-7-90-90-352-CLU.txt","Contig352")</f>
        <v>Contig352</v>
      </c>
      <c r="K250" t="s">
        <v>292</v>
      </c>
      <c r="L250" s="2" t="str">
        <f>HYPERLINK("http://exon.niaid.nih.gov/transcriptome/An_gambiae_male_2006/ST1/links/AGM-contig_352-AGFRAG.txt","2L_Piece#1136")</f>
        <v>2L_Piece#1136</v>
      </c>
      <c r="M250" s="4">
        <v>7E-09</v>
      </c>
      <c r="R250" s="2" t="str">
        <f>HYPERLINK("http://exon.niaid.nih.gov/transcriptome/An_gambiae_male_2006/ST1/links/AGM-contig_352-AGPROT.txt","ENSANGP00000009685")</f>
        <v>ENSANGP00000009685</v>
      </c>
      <c r="S250" s="1" t="str">
        <f>HYPERLINK("http://www.ensembl.org/Anopheles_gambiae/protview?peptide=ENSANGP00000009685","3.1")</f>
        <v>3.1</v>
      </c>
      <c r="T250" s="1" t="str">
        <f>HYPERLINK("http://www.anobase.org/cgi-bin/uniexcel_new_var6.pl?proteinname=ENSANGP00000009685","3.1")</f>
        <v>3.1</v>
      </c>
      <c r="AG250" s="6" t="s">
        <v>511</v>
      </c>
      <c r="AH250" s="6" t="s">
        <v>511</v>
      </c>
      <c r="AJ250" s="6">
        <f>AJ249+1</f>
        <v>101</v>
      </c>
    </row>
    <row r="251" spans="1:36" ht="9.75">
      <c r="A251" t="str">
        <f>HYPERLINK("http://exon.niaid.nih.gov/transcriptome/An_gambiae_male_2006/ST1/links/AGM-contig_82.txt","AGM-contig_82")</f>
        <v>AGM-contig_82</v>
      </c>
      <c r="B251" s="1">
        <v>2</v>
      </c>
      <c r="C251" s="1">
        <v>283</v>
      </c>
      <c r="D251" s="1">
        <f>D250+B251</f>
        <v>112</v>
      </c>
      <c r="E251" s="1" t="s">
        <v>209</v>
      </c>
      <c r="F251" s="1">
        <v>58</v>
      </c>
      <c r="G251" s="1">
        <v>264</v>
      </c>
      <c r="H251" t="str">
        <f>HYPERLINK("http://exon.niaid.nih.gov/transcriptome/An_gambiae_male_2006/ST1/links/AGM-7-90-90-asb-82.txt","Contig-82")</f>
        <v>Contig-82</v>
      </c>
      <c r="I251" s="1">
        <v>82</v>
      </c>
      <c r="J251" t="str">
        <f>HYPERLINK("http://exon.niaid.nih.gov/transcriptome/An_gambiae_male_2006/ST1/links/AGM-7-90-90-82-CLU.txt","Contig82")</f>
        <v>Contig82</v>
      </c>
      <c r="K251" t="s">
        <v>535</v>
      </c>
      <c r="L251" s="2" t="str">
        <f>HYPERLINK("http://exon.niaid.nih.gov/transcriptome/An_gambiae_male_2006/ST1/links/AGM-contig_82-AGFRAG.txt","X_Piece#289")</f>
        <v>X_Piece#289</v>
      </c>
      <c r="M251" s="4">
        <v>5E-80</v>
      </c>
      <c r="N251" s="2" t="str">
        <f>HYPERLINK("http://exon.niaid.nih.gov/transcriptome/An_gambiae_male_2006/ST1/links/AGM-contig_82-AG3P.txt","ENSANGP00000025708")</f>
        <v>ENSANGP00000025708</v>
      </c>
      <c r="O251" s="1" t="str">
        <f>HYPERLINK("http://www.anobase.org/cgi-bin/uniexcel_new_var6.pl?proteinname=ENSANGP00000025708","1.E-80")</f>
        <v>1.E-80</v>
      </c>
      <c r="P251" s="2" t="str">
        <f>HYPERLINK("http://exon.niaid.nih.gov/transcriptome/An_gambiae_male_2006/ST1/links/AGM-contig_82-AG5P.txt","ENSANGP00000025887")</f>
        <v>ENSANGP00000025887</v>
      </c>
      <c r="Q251" s="4" t="str">
        <f>HYPERLINK("http://www.anobase.org/cgi-bin/uniexcel_new_var6.pl?proteinname=ENSANGP00000025887","2.E-66")</f>
        <v>2.E-66</v>
      </c>
      <c r="R251" s="2" t="str">
        <f>HYPERLINK("http://exon.niaid.nih.gov/transcriptome/An_gambiae_male_2006/ST1/links/AGM-contig_82-AGPROT.txt","ENSANGP00000017857")</f>
        <v>ENSANGP00000017857</v>
      </c>
      <c r="S251" s="1" t="str">
        <f>HYPERLINK("http://www.ensembl.org/Anopheles_gambiae/protview?peptide=ENSANGP00000017857","3.1")</f>
        <v>3.1</v>
      </c>
      <c r="T251" s="1" t="str">
        <f>HYPERLINK("http://www.anobase.org/cgi-bin/uniexcel_new_var6.pl?proteinname=ENSANGP00000017857","3.1")</f>
        <v>3.1</v>
      </c>
      <c r="AC251" s="2" t="str">
        <f>HYPERLINK("http://exon.niaid.nih.gov/transcriptome/An_gambiae_male_2006/ST1/links/AGM-contig_82-NR.txt","ENSANGP00000023793 [Anopheles gambiae]    50   2e-005")</f>
        <v>ENSANGP00000023793 [Anopheles gambiae]    50   2e-005</v>
      </c>
      <c r="AD251" s="1" t="str">
        <f>HYPERLINK("http://www.ncbi.nlm.nih.gov/sutils/blink.cgi?pid=31203517","2E-005")</f>
        <v>2E-005</v>
      </c>
      <c r="AE251" s="1" t="s">
        <v>314</v>
      </c>
      <c r="AF251" s="9" t="s">
        <v>368</v>
      </c>
      <c r="AG251" s="6" t="s">
        <v>511</v>
      </c>
      <c r="AH251" s="6" t="s">
        <v>511</v>
      </c>
      <c r="AJ251" s="6">
        <f>AJ250+1</f>
        <v>102</v>
      </c>
    </row>
    <row r="252" spans="1:40" ht="9.75">
      <c r="A252" t="str">
        <f>HYPERLINK("http://exon.niaid.nih.gov/transcriptome/An_gambiae_male_2006/ST1/links/AGM-contig_163.txt","AGM-contig_163")</f>
        <v>AGM-contig_163</v>
      </c>
      <c r="B252" s="1">
        <v>1</v>
      </c>
      <c r="C252" s="1">
        <v>156</v>
      </c>
      <c r="D252" s="1">
        <f>D251+B252</f>
        <v>113</v>
      </c>
      <c r="E252" s="1">
        <v>0.6</v>
      </c>
      <c r="F252" s="1">
        <v>47.4</v>
      </c>
      <c r="G252" s="1">
        <v>137</v>
      </c>
      <c r="H252" t="str">
        <f>HYPERLINK("http://exon.niaid.nih.gov/transcriptome/An_gambiae_male_2006/ST1/links/AGM-7-90-90-asb-163.txt","Contig-163")</f>
        <v>Contig-163</v>
      </c>
      <c r="I252" s="1">
        <v>163</v>
      </c>
      <c r="J252" t="str">
        <f>HYPERLINK("http://exon.niaid.nih.gov/transcriptome/An_gambiae_male_2006/ST1/links/AGM-7-90-90-163-CLU.txt","Contig163")</f>
        <v>Contig163</v>
      </c>
      <c r="K252" t="s">
        <v>616</v>
      </c>
      <c r="L252" s="2" t="str">
        <f>HYPERLINK("http://exon.niaid.nih.gov/transcriptome/An_gambiae_male_2006/ST1/links/AGM-contig_163-AGFRAG.txt","X_Piece#872")</f>
        <v>X_Piece#872</v>
      </c>
      <c r="M252" s="4">
        <v>2E-50</v>
      </c>
      <c r="N252" s="2" t="str">
        <f>HYPERLINK("http://exon.niaid.nih.gov/transcriptome/An_gambiae_male_2006/ST1/links/AGM-contig_163-AG3P.txt","ENSANGP00000026229")</f>
        <v>ENSANGP00000026229</v>
      </c>
      <c r="O252" s="1" t="str">
        <f>HYPERLINK("http://www.anobase.org/cgi-bin/uniexcel_new_var6.pl?proteinname=ENSANGP00000026229","4.E-51")</f>
        <v>4.E-51</v>
      </c>
      <c r="P252" s="2" t="str">
        <f>HYPERLINK("http://exon.niaid.nih.gov/transcriptome/An_gambiae_male_2006/ST1/links/AGM-contig_163-AG5P.txt","ENSANGP00000027605")</f>
        <v>ENSANGP00000027605</v>
      </c>
      <c r="Q252" s="4" t="str">
        <f>HYPERLINK("http://www.anobase.org/cgi-bin/uniexcel_new_var6.pl?proteinname=ENSANGP00000027605","4.E-51")</f>
        <v>4.E-51</v>
      </c>
      <c r="R252" s="2" t="str">
        <f>HYPERLINK("http://exon.niaid.nih.gov/transcriptome/An_gambiae_male_2006/ST1/links/AGM-contig_163-AGPROT.txt","ENSANGP00000012567")</f>
        <v>ENSANGP00000012567</v>
      </c>
      <c r="S252" s="1" t="str">
        <f>HYPERLINK("http://www.ensembl.org/Anopheles_gambiae/protview?peptide=ENSANGP00000012567","4.0")</f>
        <v>4.0</v>
      </c>
      <c r="T252" s="1" t="str">
        <f>HYPERLINK("http://www.anobase.org/cgi-bin/uniexcel_new_var6.pl?proteinname=ENSANGP00000012567","4.0")</f>
        <v>4.0</v>
      </c>
      <c r="AC252" s="2" t="str">
        <f>HYPERLINK("http://exon.niaid.nih.gov/transcriptome/An_gambiae_male_2006/ST1/links/AGM-contig_163-NR.txt","similar to Ac1147 [Rattus norvegicus]     32   5.1")</f>
        <v>similar to Ac1147 [Rattus norvegicus]     32   5.1</v>
      </c>
      <c r="AD252" s="1" t="str">
        <f>HYPERLINK("http://www.ncbi.nlm.nih.gov/sutils/blink.cgi?pid=27697750","5.1")</f>
        <v>5.1</v>
      </c>
      <c r="AE252" s="1" t="s">
        <v>313</v>
      </c>
      <c r="AF252" s="9" t="s">
        <v>331</v>
      </c>
      <c r="AG252" s="6" t="s">
        <v>511</v>
      </c>
      <c r="AH252" s="6" t="s">
        <v>511</v>
      </c>
      <c r="AJ252" s="6">
        <f>AJ251+1</f>
        <v>103</v>
      </c>
      <c r="AM252" s="2" t="str">
        <f>HYPERLINK("http://exon.niaid.nih.gov/transcriptome/An_gambiae_male_2006/ST1/links/RRNA/AGM-contig_163-RRNA.txt","Chlorarachnion reptans CCMP 238 clone pF54 ")</f>
        <v>Chlorarachnion reptans CCMP 238 clone pF54 </v>
      </c>
      <c r="AN252" s="4">
        <v>1E-13</v>
      </c>
    </row>
    <row r="253" spans="1:36" ht="9.75">
      <c r="A253" t="str">
        <f>HYPERLINK("http://exon.niaid.nih.gov/transcriptome/An_gambiae_male_2006/ST1/links/AGM-contig_213.txt","AGM-contig_213")</f>
        <v>AGM-contig_213</v>
      </c>
      <c r="B253" s="1">
        <v>1</v>
      </c>
      <c r="C253" s="1">
        <v>726</v>
      </c>
      <c r="D253" s="1">
        <f>D252+B253</f>
        <v>114</v>
      </c>
      <c r="E253" s="1">
        <v>1</v>
      </c>
      <c r="F253" s="1">
        <v>62</v>
      </c>
      <c r="G253" s="1" t="s">
        <v>260</v>
      </c>
      <c r="H253" t="str">
        <f>HYPERLINK("http://exon.niaid.nih.gov/transcriptome/An_gambiae_male_2006/ST1/links/AGM-7-90-90-asb-213.txt","Contig-213")</f>
        <v>Contig-213</v>
      </c>
      <c r="I253" s="1">
        <v>213</v>
      </c>
      <c r="J253" t="str">
        <f>HYPERLINK("http://exon.niaid.nih.gov/transcriptome/An_gambiae_male_2006/ST1/links/AGM-7-90-90-213-CLU.txt","Contig213")</f>
        <v>Contig213</v>
      </c>
      <c r="K253" t="s">
        <v>666</v>
      </c>
      <c r="L253" s="2" t="str">
        <f>HYPERLINK("http://exon.niaid.nih.gov/transcriptome/An_gambiae_male_2006/ST1/links/AGM-contig_213-AGFRAG.txt","3R_Piece#628")</f>
        <v>3R_Piece#628</v>
      </c>
      <c r="M253" s="4">
        <v>0</v>
      </c>
      <c r="N253" s="2" t="str">
        <f>HYPERLINK("http://exon.niaid.nih.gov/transcriptome/An_gambiae_male_2006/ST1/links/AGM-contig_213-AG3P.txt","ENSANGP00000026419")</f>
        <v>ENSANGP00000026419</v>
      </c>
      <c r="O253" s="1" t="str">
        <f>HYPERLINK("http://www.anobase.org/cgi-bin/uniexcel_new_var6.pl?proteinname=ENSANGP00000026419","0.E+00")</f>
        <v>0.E+00</v>
      </c>
      <c r="R253" s="2" t="str">
        <f>HYPERLINK("http://exon.niaid.nih.gov/transcriptome/An_gambiae_male_2006/ST1/links/AGM-contig_213-AGPROT.txt","ENSANGP00000027034")</f>
        <v>ENSANGP00000027034</v>
      </c>
      <c r="S253" s="1" t="str">
        <f>HYPERLINK("http://www.ensembl.org/Anopheles_gambiae/protview?peptide=ENSANGP00000027034","4.7")</f>
        <v>4.7</v>
      </c>
      <c r="T253" s="1" t="str">
        <f>HYPERLINK("http://www.anobase.org/cgi-bin/uniexcel_new_var6.pl?proteinname=ENSANGP00000027034","4.7")</f>
        <v>4.7</v>
      </c>
      <c r="AC253" s="2" t="str">
        <f>HYPERLINK("http://exon.niaid.nih.gov/transcriptome/An_gambiae_male_2006/ST1/links/AGM-contig_213-NR.txt","hypothetical protein CaO19.11807 [Can")</f>
        <v>hypothetical protein CaO19.11807 [Can</v>
      </c>
      <c r="AD253" s="1" t="str">
        <f>HYPERLINK("http://www.ncbi.nlm.nih.gov/sutils/blink.cgi?pid=46442649","0.095")</f>
        <v>0.095</v>
      </c>
      <c r="AE253" s="1" t="s">
        <v>314</v>
      </c>
      <c r="AF253" s="9" t="s">
        <v>480</v>
      </c>
      <c r="AG253" s="6" t="s">
        <v>511</v>
      </c>
      <c r="AH253" s="6" t="s">
        <v>511</v>
      </c>
      <c r="AI253" s="6" t="s">
        <v>260</v>
      </c>
      <c r="AJ253" s="6">
        <f>AJ252+1</f>
        <v>104</v>
      </c>
    </row>
    <row r="254" spans="1:36" ht="9.75">
      <c r="A254" t="str">
        <f>HYPERLINK("http://exon.niaid.nih.gov/transcriptome/An_gambiae_male_2006/ST1/links/AGM-contig_217.txt","AGM-contig_217")</f>
        <v>AGM-contig_217</v>
      </c>
      <c r="B254" s="1">
        <v>1</v>
      </c>
      <c r="C254" s="1">
        <v>536</v>
      </c>
      <c r="D254" s="1">
        <f>D253+B254</f>
        <v>115</v>
      </c>
      <c r="E254" s="1">
        <v>0.2</v>
      </c>
      <c r="F254" s="1">
        <v>57.6</v>
      </c>
      <c r="G254" s="1" t="s">
        <v>260</v>
      </c>
      <c r="H254" t="str">
        <f>HYPERLINK("http://exon.niaid.nih.gov/transcriptome/An_gambiae_male_2006/ST1/links/AGM-7-90-90-asb-217.txt","Contig-217")</f>
        <v>Contig-217</v>
      </c>
      <c r="I254" s="1">
        <v>217</v>
      </c>
      <c r="J254" t="str">
        <f>HYPERLINK("http://exon.niaid.nih.gov/transcriptome/An_gambiae_male_2006/ST1/links/AGM-7-90-90-217-CLU.txt","Contig217")</f>
        <v>Contig217</v>
      </c>
      <c r="K254" t="s">
        <v>670</v>
      </c>
      <c r="L254" s="2" t="str">
        <f>HYPERLINK("http://exon.niaid.nih.gov/transcriptome/An_gambiae_male_2006/ST1/links/AGM-contig_217-AGFRAG.txt","3R_Piece#1074")</f>
        <v>3R_Piece#1074</v>
      </c>
      <c r="M254" s="4">
        <v>0</v>
      </c>
      <c r="R254" s="2" t="str">
        <f>HYPERLINK("http://exon.niaid.nih.gov/transcriptome/An_gambiae_male_2006/ST1/links/AGM-contig_217-AGPROT.txt","ENSANGP00000000625")</f>
        <v>ENSANGP00000000625</v>
      </c>
      <c r="S254" s="1" t="str">
        <f>HYPERLINK("http://www.ensembl.org/Anopheles_gambiae/protview?peptide=ENSANGP00000000625","4.9")</f>
        <v>4.9</v>
      </c>
      <c r="T254" s="1" t="str">
        <f>HYPERLINK("http://www.anobase.org/cgi-bin/uniexcel_new_var6.pl?proteinname=ENSANGP00000000625","4.9")</f>
        <v>4.9</v>
      </c>
      <c r="AC254" s="2" t="str">
        <f>HYPERLINK("http://exon.niaid.nih.gov/transcriptome/An_gambiae_male_2006/ST1/links/AGM-contig_217-NR.txt","hypothetical protein TTE2179 [Therm")</f>
        <v>hypothetical protein TTE2179 [Therm</v>
      </c>
      <c r="AD254" s="1" t="str">
        <f>HYPERLINK("http://www.ncbi.nlm.nih.gov/sutils/blink.cgi?pid=20808563","2.7")</f>
        <v>2.7</v>
      </c>
      <c r="AE254" s="1" t="s">
        <v>314</v>
      </c>
      <c r="AF254" s="9" t="s">
        <v>137</v>
      </c>
      <c r="AG254" s="6" t="s">
        <v>511</v>
      </c>
      <c r="AH254" s="6" t="s">
        <v>511</v>
      </c>
      <c r="AJ254" s="6">
        <f>AJ253+1</f>
        <v>105</v>
      </c>
    </row>
    <row r="255" spans="1:36" ht="9.75">
      <c r="A255" t="str">
        <f>HYPERLINK("http://exon.niaid.nih.gov/transcriptome/An_gambiae_male_2006/ST1/links/AGM-contig_202.txt","AGM-contig_202")</f>
        <v>AGM-contig_202</v>
      </c>
      <c r="B255" s="1">
        <v>1</v>
      </c>
      <c r="C255" s="1">
        <v>181</v>
      </c>
      <c r="D255" s="1">
        <f>D254+B255</f>
        <v>116</v>
      </c>
      <c r="E255" s="1" t="s">
        <v>209</v>
      </c>
      <c r="F255" s="1">
        <v>58.6</v>
      </c>
      <c r="G255" s="1">
        <v>162</v>
      </c>
      <c r="H255" t="str">
        <f>HYPERLINK("http://exon.niaid.nih.gov/transcriptome/An_gambiae_male_2006/ST1/links/AGM-7-90-90-asb-202.txt","Contig-202")</f>
        <v>Contig-202</v>
      </c>
      <c r="I255" s="1">
        <v>202</v>
      </c>
      <c r="J255" t="str">
        <f>HYPERLINK("http://exon.niaid.nih.gov/transcriptome/An_gambiae_male_2006/ST1/links/AGM-7-90-90-202-CLU.txt","Contig202")</f>
        <v>Contig202</v>
      </c>
      <c r="K255" t="s">
        <v>655</v>
      </c>
      <c r="L255" s="2" t="str">
        <f>HYPERLINK("http://exon.niaid.nih.gov/transcriptome/An_gambiae_male_2006/ST1/links/AGM-contig_202-AGFRAG.txt","X_Piece#72")</f>
        <v>X_Piece#72</v>
      </c>
      <c r="M255" s="4">
        <v>5E-79</v>
      </c>
      <c r="R255" s="2" t="str">
        <f>HYPERLINK("http://exon.niaid.nih.gov/transcriptome/An_gambiae_male_2006/ST1/links/AGM-contig_202-AGPROT.txt","ENSANGP00000011559")</f>
        <v>ENSANGP00000011559</v>
      </c>
      <c r="S255" s="1" t="str">
        <f>HYPERLINK("http://www.ensembl.org/Anopheles_gambiae/protview?peptide=ENSANGP00000011559","5.1")</f>
        <v>5.1</v>
      </c>
      <c r="T255" s="1" t="str">
        <f>HYPERLINK("http://www.anobase.org/cgi-bin/uniexcel_new_var6.pl?proteinname=ENSANGP00000011559","5.1")</f>
        <v>5.1</v>
      </c>
      <c r="AA255" s="2" t="str">
        <f>HYPERLINK("http://exon.niaid.nih.gov/transcriptome/An_gambiae_male_2006/ST1/links/AGM-contig_202-AGNUC.txt","AG-contig_275")</f>
        <v>AG-contig_275</v>
      </c>
      <c r="AB255" s="1">
        <v>3E-88</v>
      </c>
      <c r="AC255" s="2" t="str">
        <f>HYPERLINK("http://exon.niaid.nih.gov/transcriptome/An_gambiae_male_2006/ST1/links/AGM-contig_202-NR.txt","GA14870-PA [Drosophila pseudoobscura]       33   2.2")</f>
        <v>GA14870-PA [Drosophila pseudoobscura]       33   2.2</v>
      </c>
      <c r="AD255" s="1" t="str">
        <f>HYPERLINK("http://www.ncbi.nlm.nih.gov/sutils/blink.cgi?pid=54636674","2.2")</f>
        <v>2.2</v>
      </c>
      <c r="AE255" s="1" t="s">
        <v>314</v>
      </c>
      <c r="AF255" s="9" t="s">
        <v>133</v>
      </c>
      <c r="AG255" s="6" t="s">
        <v>511</v>
      </c>
      <c r="AH255" s="6" t="s">
        <v>511</v>
      </c>
      <c r="AJ255" s="6">
        <f>AJ254+1</f>
        <v>106</v>
      </c>
    </row>
    <row r="256" spans="1:36" ht="9.75">
      <c r="A256" t="str">
        <f>HYPERLINK("http://exon.niaid.nih.gov/transcriptome/An_gambiae_male_2006/ST1/links/AGM-contig_182.txt","AGM-contig_182")</f>
        <v>AGM-contig_182</v>
      </c>
      <c r="B256" s="1">
        <v>1</v>
      </c>
      <c r="C256" s="1">
        <v>112</v>
      </c>
      <c r="D256" s="1">
        <f>D255+B256</f>
        <v>117</v>
      </c>
      <c r="E256" s="1" t="s">
        <v>209</v>
      </c>
      <c r="F256" s="1">
        <v>62.5</v>
      </c>
      <c r="G256" s="1">
        <v>93</v>
      </c>
      <c r="H256" t="str">
        <f>HYPERLINK("http://exon.niaid.nih.gov/transcriptome/An_gambiae_male_2006/ST1/links/AGM-7-90-90-asb-182.txt","Contig-182")</f>
        <v>Contig-182</v>
      </c>
      <c r="I256" s="1">
        <v>182</v>
      </c>
      <c r="J256" t="str">
        <f>HYPERLINK("http://exon.niaid.nih.gov/transcriptome/An_gambiae_male_2006/ST1/links/AGM-7-90-90-182-CLU.txt","Contig182")</f>
        <v>Contig182</v>
      </c>
      <c r="K256" t="s">
        <v>635</v>
      </c>
      <c r="L256" s="2" t="str">
        <f>HYPERLINK("http://exon.niaid.nih.gov/transcriptome/An_gambiae_male_2006/ST1/links/AGM-contig_182-AGFRAG.txt","2L_Piece#1241")</f>
        <v>2L_Piece#1241</v>
      </c>
      <c r="M256" s="4">
        <v>3E-17</v>
      </c>
      <c r="P256" s="2" t="str">
        <f>HYPERLINK("http://exon.niaid.nih.gov/transcriptome/An_gambiae_male_2006/ST1/links/AGM-contig_182-AG5P.txt","ENSANGP00000004268")</f>
        <v>ENSANGP00000004268</v>
      </c>
      <c r="Q256" s="4" t="str">
        <f>HYPERLINK("http://www.anobase.org/cgi-bin/uniexcel_new_var6.pl?proteinname=ENSANGP00000004268","7.E-18")</f>
        <v>7.E-18</v>
      </c>
      <c r="R256" s="2" t="str">
        <f>HYPERLINK("http://exon.niaid.nih.gov/transcriptome/An_gambiae_male_2006/ST1/links/AGM-contig_182-AGPROT.txt","ENSANGP00000015729")</f>
        <v>ENSANGP00000015729</v>
      </c>
      <c r="S256" s="1" t="str">
        <f>HYPERLINK("http://www.ensembl.org/Anopheles_gambiae/protview?peptide=ENSANGP00000015729","5.2")</f>
        <v>5.2</v>
      </c>
      <c r="T256" s="1" t="str">
        <f>HYPERLINK("http://www.anobase.org/cgi-bin/uniexcel_new_var6.pl?proteinname=ENSANGP00000015729","5.2")</f>
        <v>5.2</v>
      </c>
      <c r="AG256" s="6" t="s">
        <v>511</v>
      </c>
      <c r="AH256" s="6" t="s">
        <v>511</v>
      </c>
      <c r="AJ256" s="6">
        <f>AJ255+1</f>
        <v>107</v>
      </c>
    </row>
    <row r="257" spans="1:36" ht="9.75">
      <c r="A257" t="str">
        <f>HYPERLINK("http://exon.niaid.nih.gov/transcriptome/An_gambiae_male_2006/ST1/links/AGM-contig_293.txt","AGM-contig_293")</f>
        <v>AGM-contig_293</v>
      </c>
      <c r="B257" s="1">
        <v>1</v>
      </c>
      <c r="C257" s="1">
        <v>243</v>
      </c>
      <c r="D257" s="1">
        <f>D256+B257</f>
        <v>118</v>
      </c>
      <c r="E257" s="1" t="s">
        <v>209</v>
      </c>
      <c r="F257" s="1">
        <v>67.1</v>
      </c>
      <c r="G257" s="1">
        <v>224</v>
      </c>
      <c r="H257" t="str">
        <f>HYPERLINK("http://exon.niaid.nih.gov/transcriptome/An_gambiae_male_2006/ST1/links/AGM-7-90-90-asb-293.txt","Contig-293")</f>
        <v>Contig-293</v>
      </c>
      <c r="I257" s="1">
        <v>293</v>
      </c>
      <c r="J257" t="str">
        <f>HYPERLINK("http://exon.niaid.nih.gov/transcriptome/An_gambiae_male_2006/ST1/links/AGM-7-90-90-293-CLU.txt","Contig293")</f>
        <v>Contig293</v>
      </c>
      <c r="K257" t="s">
        <v>160</v>
      </c>
      <c r="L257" s="2" t="str">
        <f>HYPERLINK("http://exon.niaid.nih.gov/transcriptome/An_gambiae_male_2006/ST1/links/AGM-contig_293-AGFRAG.txt","2L_Piece#769")</f>
        <v>2L_Piece#769</v>
      </c>
      <c r="M257" s="4">
        <v>1E-107</v>
      </c>
      <c r="N257" s="2" t="str">
        <f>HYPERLINK("http://exon.niaid.nih.gov/transcriptome/An_gambiae_male_2006/ST1/links/AGM-contig_293-AG3P.txt","ENSANGP00000015862")</f>
        <v>ENSANGP00000015862</v>
      </c>
      <c r="O257" s="1" t="str">
        <f>HYPERLINK("http://www.anobase.org/cgi-bin/uniexcel_new_var6.pl?proteinname=ENSANGP00000015862","1.E-108")</f>
        <v>1.E-108</v>
      </c>
      <c r="P257" s="2" t="str">
        <f>HYPERLINK("http://exon.niaid.nih.gov/transcriptome/An_gambiae_male_2006/ST1/links/AGM-contig_293-AG5P.txt","ENSANGP00000026472")</f>
        <v>ENSANGP00000026472</v>
      </c>
      <c r="Q257" s="4" t="str">
        <f>HYPERLINK("http://www.anobase.org/cgi-bin/uniexcel_new_var6.pl?proteinname=ENSANGP00000026472","1.E-108")</f>
        <v>1.E-108</v>
      </c>
      <c r="R257" s="2" t="str">
        <f>HYPERLINK("http://exon.niaid.nih.gov/transcriptome/An_gambiae_male_2006/ST1/links/AGM-contig_293-AGPROT.txt","ENSANGP00000027128")</f>
        <v>ENSANGP00000027128</v>
      </c>
      <c r="S257" s="1" t="str">
        <f>HYPERLINK("http://www.ensembl.org/Anopheles_gambiae/protview?peptide=ENSANGP00000027128","6.8")</f>
        <v>6.8</v>
      </c>
      <c r="T257" s="1" t="str">
        <f>HYPERLINK("http://www.anobase.org/cgi-bin/uniexcel_new_var6.pl?proteinname=ENSANGP00000027128","6.8")</f>
        <v>6.8</v>
      </c>
      <c r="AG257" s="6" t="s">
        <v>511</v>
      </c>
      <c r="AH257" s="6" t="s">
        <v>511</v>
      </c>
      <c r="AJ257" s="6">
        <f>AJ256+1</f>
        <v>108</v>
      </c>
    </row>
    <row r="258" spans="1:36" ht="9.75">
      <c r="A258" t="str">
        <f>HYPERLINK("http://exon.niaid.nih.gov/transcriptome/An_gambiae_male_2006/ST1/links/AGM-contig_314.txt","AGM-contig_314")</f>
        <v>AGM-contig_314</v>
      </c>
      <c r="B258" s="1">
        <v>1</v>
      </c>
      <c r="C258" s="1">
        <v>201</v>
      </c>
      <c r="D258" s="1">
        <f>D257+B258</f>
        <v>119</v>
      </c>
      <c r="E258" s="1">
        <v>4</v>
      </c>
      <c r="F258" s="1">
        <v>55.7</v>
      </c>
      <c r="G258" s="1" t="s">
        <v>260</v>
      </c>
      <c r="H258" t="str">
        <f>HYPERLINK("http://exon.niaid.nih.gov/transcriptome/An_gambiae_male_2006/ST1/links/AGM-7-90-90-asb-314.txt","Contig-314")</f>
        <v>Contig-314</v>
      </c>
      <c r="I258" s="1">
        <v>314</v>
      </c>
      <c r="J258" t="str">
        <f>HYPERLINK("http://exon.niaid.nih.gov/transcriptome/An_gambiae_male_2006/ST1/links/AGM-7-90-90-314-CLU.txt","Contig314")</f>
        <v>Contig314</v>
      </c>
      <c r="K258" t="s">
        <v>181</v>
      </c>
      <c r="L258" s="2" t="str">
        <f>HYPERLINK("http://exon.niaid.nih.gov/transcriptome/An_gambiae_male_2006/ST1/links/AGM-contig_314-AGFRAG.txt","3L_Piece#1479")</f>
        <v>3L_Piece#1479</v>
      </c>
      <c r="M258" s="4">
        <v>7E-29</v>
      </c>
      <c r="R258" s="2" t="str">
        <f>HYPERLINK("http://exon.niaid.nih.gov/transcriptome/An_gambiae_male_2006/ST1/links/AGM-contig_314-AGPROT.txt","ENSANGP00000028399")</f>
        <v>ENSANGP00000028399</v>
      </c>
      <c r="S258" s="1" t="str">
        <f>HYPERLINK("http://www.ensembl.org/Anopheles_gambiae/protview?peptide=ENSANGP00000028399","6.8")</f>
        <v>6.8</v>
      </c>
      <c r="T258" s="1" t="str">
        <f>HYPERLINK("http://www.anobase.org/cgi-bin/uniexcel_new_var6.pl?proteinname=ENSANGP00000028399","6.8")</f>
        <v>6.8</v>
      </c>
      <c r="AC258" s="2" t="str">
        <f>HYPERLINK("http://exon.niaid.nih.gov/transcriptome/An_gambiae_male_2006/ST1/links/AGM-contig_314-NR.txt","MGC16372 protein [Homo sapiens]             35   0.78")</f>
        <v>MGC16372 protein [Homo sapiens]             35   0.78</v>
      </c>
      <c r="AD258" s="1" t="str">
        <f>HYPERLINK("http://www.ncbi.nlm.nih.gov/sutils/blink.cgi?pid=31581973","0.78")</f>
        <v>0.78</v>
      </c>
      <c r="AE258" s="1" t="s">
        <v>313</v>
      </c>
      <c r="AF258" s="9" t="s">
        <v>785</v>
      </c>
      <c r="AG258" s="6" t="s">
        <v>511</v>
      </c>
      <c r="AH258" s="6" t="s">
        <v>511</v>
      </c>
      <c r="AJ258" s="6">
        <f>AJ257+1</f>
        <v>109</v>
      </c>
    </row>
    <row r="259" spans="1:36" ht="9.75">
      <c r="A259" t="str">
        <f>HYPERLINK("http://exon.niaid.nih.gov/transcriptome/An_gambiae_male_2006/ST1/links/AGM-contig_215.txt","AGM-contig_215")</f>
        <v>AGM-contig_215</v>
      </c>
      <c r="B259" s="1">
        <v>1</v>
      </c>
      <c r="C259" s="1">
        <v>162</v>
      </c>
      <c r="D259" s="1">
        <f>D258+B259</f>
        <v>120</v>
      </c>
      <c r="E259" s="1" t="s">
        <v>209</v>
      </c>
      <c r="F259" s="1">
        <v>66</v>
      </c>
      <c r="G259" s="1">
        <v>143</v>
      </c>
      <c r="H259" t="str">
        <f>HYPERLINK("http://exon.niaid.nih.gov/transcriptome/An_gambiae_male_2006/ST1/links/AGM-7-90-90-asb-215.txt","Contig-215")</f>
        <v>Contig-215</v>
      </c>
      <c r="I259" s="1">
        <v>215</v>
      </c>
      <c r="J259" t="str">
        <f>HYPERLINK("http://exon.niaid.nih.gov/transcriptome/An_gambiae_male_2006/ST1/links/AGM-7-90-90-215-CLU.txt","Contig215")</f>
        <v>Contig215</v>
      </c>
      <c r="K259" t="s">
        <v>668</v>
      </c>
      <c r="L259" s="2" t="str">
        <f>HYPERLINK("http://exon.niaid.nih.gov/transcriptome/An_gambiae_male_2006/ST1/links/AGM-contig_215-AGFRAG.txt","2L_Piece#1135")</f>
        <v>2L_Piece#1135</v>
      </c>
      <c r="M259" s="4">
        <v>4E-70</v>
      </c>
      <c r="N259" s="2" t="str">
        <f>HYPERLINK("http://exon.niaid.nih.gov/transcriptome/An_gambiae_male_2006/ST1/links/AGM-contig_215-AG3P.txt","ENSANGP00000005994")</f>
        <v>ENSANGP00000005994</v>
      </c>
      <c r="O259" s="1" t="str">
        <f>HYPERLINK("http://www.anobase.org/cgi-bin/uniexcel_new_var6.pl?proteinname=ENSANGP00000005994","8.E-71")</f>
        <v>8.E-71</v>
      </c>
      <c r="P259" s="2" t="str">
        <f>HYPERLINK("http://exon.niaid.nih.gov/transcriptome/An_gambiae_male_2006/ST1/links/AGM-contig_215-AG5P.txt","ENSANGP00000005993")</f>
        <v>ENSANGP00000005993</v>
      </c>
      <c r="Q259" s="4" t="str">
        <f>HYPERLINK("http://www.anobase.org/cgi-bin/uniexcel_new_var6.pl?proteinname=ENSANGP00000005993","8.E-71")</f>
        <v>8.E-71</v>
      </c>
      <c r="R259" s="2" t="str">
        <f>HYPERLINK("http://exon.niaid.nih.gov/transcriptome/An_gambiae_male_2006/ST1/links/AGM-contig_215-AGPROT.txt","ENSANGP00000017337")</f>
        <v>ENSANGP00000017337</v>
      </c>
      <c r="S259" s="1" t="str">
        <f>HYPERLINK("http://www.ensembl.org/Anopheles_gambiae/protview?peptide=ENSANGP00000017337","6.8")</f>
        <v>6.8</v>
      </c>
      <c r="T259" s="1" t="str">
        <f>HYPERLINK("http://www.anobase.org/cgi-bin/uniexcel_new_var6.pl?proteinname=ENSANGP00000017337","6.8")</f>
        <v>6.8</v>
      </c>
      <c r="AG259" s="6" t="s">
        <v>511</v>
      </c>
      <c r="AH259" s="6" t="s">
        <v>511</v>
      </c>
      <c r="AJ259" s="6">
        <f>AJ258+1</f>
        <v>110</v>
      </c>
    </row>
    <row r="260" spans="1:36" ht="9.75">
      <c r="A260" t="str">
        <f>HYPERLINK("http://exon.niaid.nih.gov/transcriptome/An_gambiae_male_2006/ST1/links/AGM-contig_292.txt","AGM-contig_292")</f>
        <v>AGM-contig_292</v>
      </c>
      <c r="B260" s="1">
        <v>1</v>
      </c>
      <c r="C260" s="1">
        <v>452</v>
      </c>
      <c r="D260" s="1">
        <f>D259+B260</f>
        <v>121</v>
      </c>
      <c r="E260" s="1">
        <v>0.2</v>
      </c>
      <c r="F260" s="1">
        <v>55.3</v>
      </c>
      <c r="G260" s="1">
        <v>433</v>
      </c>
      <c r="H260" t="str">
        <f>HYPERLINK("http://exon.niaid.nih.gov/transcriptome/An_gambiae_male_2006/ST1/links/AGM-7-90-90-asb-292.txt","Contig-292")</f>
        <v>Contig-292</v>
      </c>
      <c r="I260" s="1">
        <v>292</v>
      </c>
      <c r="J260" t="str">
        <f>HYPERLINK("http://exon.niaid.nih.gov/transcriptome/An_gambiae_male_2006/ST1/links/AGM-7-90-90-292-CLU.txt","Contig292")</f>
        <v>Contig292</v>
      </c>
      <c r="K260" t="s">
        <v>159</v>
      </c>
      <c r="L260" s="2" t="str">
        <f>HYPERLINK("http://exon.niaid.nih.gov/transcriptome/An_gambiae_male_2006/ST1/links/AGM-contig_292-AGFRAG.txt","3R_Piece#204")</f>
        <v>3R_Piece#204</v>
      </c>
      <c r="M260" s="4">
        <v>0</v>
      </c>
      <c r="N260" s="2" t="str">
        <f>HYPERLINK("http://exon.niaid.nih.gov/transcriptome/An_gambiae_male_2006/ST1/links/AGM-contig_292-AG3P.txt","ENSANGP00000011629")</f>
        <v>ENSANGP00000011629</v>
      </c>
      <c r="O260" s="1" t="str">
        <f>HYPERLINK("http://www.anobase.org/cgi-bin/uniexcel_new_var6.pl?proteinname=ENSANGP00000011629","0.E+00")</f>
        <v>0.E+00</v>
      </c>
      <c r="R260" s="2" t="str">
        <f>HYPERLINK("http://exon.niaid.nih.gov/transcriptome/An_gambiae_male_2006/ST1/links/AGM-contig_292-AGPROT.txt","ENSANGP00000014924")</f>
        <v>ENSANGP00000014924</v>
      </c>
      <c r="S260" s="1" t="str">
        <f>HYPERLINK("http://www.ensembl.org/Anopheles_gambiae/protview?peptide=ENSANGP00000014924","7.9")</f>
        <v>7.9</v>
      </c>
      <c r="T260" s="1" t="str">
        <f>HYPERLINK("http://www.anobase.org/cgi-bin/uniexcel_new_var6.pl?proteinname=ENSANGP00000014924","7.9")</f>
        <v>7.9</v>
      </c>
      <c r="AA260" s="2" t="str">
        <f>HYPERLINK("http://exon.niaid.nih.gov/transcriptome/An_gambiae_male_2006/ST1/links/AGM-contig_292-AGNUC.txt","AG-contig_706")</f>
        <v>AG-contig_706</v>
      </c>
      <c r="AB260" s="1">
        <v>0</v>
      </c>
      <c r="AC260" s="2" t="str">
        <f>HYPERLINK("http://exon.niaid.nih.gov/transcriptome/An_gambiae_male_2006/ST1/links/AGM-contig_292-NR.txt","putative outer membrane usher prote")</f>
        <v>putative outer membrane usher prote</v>
      </c>
      <c r="AD260" s="1" t="str">
        <f>HYPERLINK("http://www.ncbi.nlm.nih.gov/sutils/blink.cgi?pid=50083410","5.0")</f>
        <v>5.0</v>
      </c>
      <c r="AE260" s="1" t="s">
        <v>314</v>
      </c>
      <c r="AF260" s="9" t="s">
        <v>330</v>
      </c>
      <c r="AG260" s="6" t="s">
        <v>511</v>
      </c>
      <c r="AH260" s="6" t="s">
        <v>511</v>
      </c>
      <c r="AJ260" s="6">
        <f>AJ259+1</f>
        <v>111</v>
      </c>
    </row>
    <row r="261" spans="1:36" ht="9.75">
      <c r="A261" t="str">
        <f>HYPERLINK("http://exon.niaid.nih.gov/transcriptome/An_gambiae_male_2006/ST1/links/AGM-contig_184.txt","AGM-contig_184")</f>
        <v>AGM-contig_184</v>
      </c>
      <c r="B261" s="1">
        <v>1</v>
      </c>
      <c r="C261" s="1">
        <v>148</v>
      </c>
      <c r="D261" s="1">
        <f>D260+B261</f>
        <v>122</v>
      </c>
      <c r="E261" s="1" t="s">
        <v>209</v>
      </c>
      <c r="F261" s="1">
        <v>52.7</v>
      </c>
      <c r="G261" s="1">
        <v>129</v>
      </c>
      <c r="H261" t="str">
        <f>HYPERLINK("http://exon.niaid.nih.gov/transcriptome/An_gambiae_male_2006/ST1/links/AGM-7-90-90-asb-184.txt","Contig-184")</f>
        <v>Contig-184</v>
      </c>
      <c r="I261" s="1">
        <v>184</v>
      </c>
      <c r="J261" t="str">
        <f>HYPERLINK("http://exon.niaid.nih.gov/transcriptome/An_gambiae_male_2006/ST1/links/AGM-7-90-90-184-CLU.txt","Contig184")</f>
        <v>Contig184</v>
      </c>
      <c r="K261" t="s">
        <v>637</v>
      </c>
      <c r="L261" s="2" t="str">
        <f>HYPERLINK("http://exon.niaid.nih.gov/transcriptome/An_gambiae_male_2006/ST1/links/AGM-contig_184-AGFRAG.txt","2R_Piece#191")</f>
        <v>2R_Piece#191</v>
      </c>
      <c r="M261" s="4">
        <v>5E-66</v>
      </c>
      <c r="R261" s="2" t="str">
        <f>HYPERLINK("http://exon.niaid.nih.gov/transcriptome/An_gambiae_male_2006/ST1/links/AGM-contig_184-AGPROT.txt","ENSANGP00000014375")</f>
        <v>ENSANGP00000014375</v>
      </c>
      <c r="S261" s="1" t="str">
        <f>HYPERLINK("http://www.ensembl.org/Anopheles_gambiae/protview?peptide=ENSANGP00000014375","8.6")</f>
        <v>8.6</v>
      </c>
      <c r="T261" s="1" t="str">
        <f>HYPERLINK("http://www.anobase.org/cgi-bin/uniexcel_new_var6.pl?proteinname=ENSANGP00000014375","8.6")</f>
        <v>8.6</v>
      </c>
      <c r="AG261" s="6" t="s">
        <v>511</v>
      </c>
      <c r="AH261" s="6" t="s">
        <v>511</v>
      </c>
      <c r="AJ261" s="6">
        <f>AJ260+1</f>
        <v>112</v>
      </c>
    </row>
    <row r="262" spans="1:36" ht="9.75">
      <c r="A262" t="str">
        <f>HYPERLINK("http://exon.niaid.nih.gov/transcriptome/An_gambiae_male_2006/ST1/links/AGM-contig_119.txt","AGM-contig_119")</f>
        <v>AGM-contig_119</v>
      </c>
      <c r="B262" s="1">
        <v>1</v>
      </c>
      <c r="C262" s="1">
        <v>202</v>
      </c>
      <c r="D262" s="1">
        <f>D261+B262</f>
        <v>123</v>
      </c>
      <c r="E262" s="1">
        <v>2.5</v>
      </c>
      <c r="F262" s="1">
        <v>62.4</v>
      </c>
      <c r="G262" s="1" t="s">
        <v>260</v>
      </c>
      <c r="H262" t="str">
        <f>HYPERLINK("http://exon.niaid.nih.gov/transcriptome/An_gambiae_male_2006/ST1/links/AGM-7-90-90-asb-119.txt","Contig-119")</f>
        <v>Contig-119</v>
      </c>
      <c r="I262" s="1">
        <v>119</v>
      </c>
      <c r="J262" t="str">
        <f>HYPERLINK("http://exon.niaid.nih.gov/transcriptome/An_gambiae_male_2006/ST1/links/AGM-7-90-90-119-CLU.txt","Contig119")</f>
        <v>Contig119</v>
      </c>
      <c r="K262" t="s">
        <v>572</v>
      </c>
      <c r="R262" s="2" t="str">
        <f>HYPERLINK("http://exon.niaid.nih.gov/transcriptome/An_gambiae_male_2006/ST1/links/AGM-contig_119-AGPROT.txt","ENSANGP00000012112")</f>
        <v>ENSANGP00000012112</v>
      </c>
      <c r="S262" s="1" t="str">
        <f>HYPERLINK("http://www.ensembl.org/Anopheles_gambiae/protview?peptide=ENSANGP00000012112","8.9")</f>
        <v>8.9</v>
      </c>
      <c r="T262" s="1" t="str">
        <f>HYPERLINK("http://www.anobase.org/cgi-bin/uniexcel_new_var6.pl?proteinname=ENSANGP00000012112","8.9")</f>
        <v>8.9</v>
      </c>
      <c r="AC262" s="2" t="str">
        <f>HYPERLINK("http://exon.niaid.nih.gov/transcriptome/An_gambiae_male_2006/ST1/links/AGM-contig_119-NR.txt","unnamed protein product [Mus musculus]     37   0.16")</f>
        <v>unnamed protein product [Mus musculus]     37   0.16</v>
      </c>
      <c r="AD262" s="1" t="str">
        <f>HYPERLINK("http://www.ncbi.nlm.nih.gov/sutils/blink.cgi?pid=26345720","0.16")</f>
        <v>0.16</v>
      </c>
      <c r="AE262" s="1" t="s">
        <v>313</v>
      </c>
      <c r="AF262" s="9" t="s">
        <v>482</v>
      </c>
      <c r="AG262" s="6" t="s">
        <v>511</v>
      </c>
      <c r="AH262" s="6" t="s">
        <v>511</v>
      </c>
      <c r="AJ262" s="6">
        <f>AJ261+1</f>
        <v>113</v>
      </c>
    </row>
    <row r="263" spans="1:36" ht="9.75">
      <c r="A263" t="str">
        <f>HYPERLINK("http://exon.niaid.nih.gov/transcriptome/An_gambiae_male_2006/ST1/links/AGM-contig_203.txt","AGM-contig_203")</f>
        <v>AGM-contig_203</v>
      </c>
      <c r="B263" s="1">
        <v>1</v>
      </c>
      <c r="C263" s="1">
        <v>157</v>
      </c>
      <c r="D263" s="1">
        <f>D262+B263</f>
        <v>124</v>
      </c>
      <c r="E263" s="1" t="s">
        <v>209</v>
      </c>
      <c r="F263" s="1">
        <v>64.3</v>
      </c>
      <c r="G263" s="1">
        <v>138</v>
      </c>
      <c r="H263" t="str">
        <f>HYPERLINK("http://exon.niaid.nih.gov/transcriptome/An_gambiae_male_2006/ST1/links/AGM-7-90-90-asb-203.txt","Contig-203")</f>
        <v>Contig-203</v>
      </c>
      <c r="I263" s="1">
        <v>203</v>
      </c>
      <c r="J263" t="str">
        <f>HYPERLINK("http://exon.niaid.nih.gov/transcriptome/An_gambiae_male_2006/ST1/links/AGM-7-90-90-203-CLU.txt","Contig203")</f>
        <v>Contig203</v>
      </c>
      <c r="K263" t="s">
        <v>656</v>
      </c>
      <c r="L263" s="2" t="str">
        <f>HYPERLINK("http://exon.niaid.nih.gov/transcriptome/An_gambiae_male_2006/ST1/links/AGM-contig_203-AGFRAG.txt","3L_Piece#304")</f>
        <v>3L_Piece#304</v>
      </c>
      <c r="M263" s="4">
        <v>2E-65</v>
      </c>
      <c r="P263" s="2" t="str">
        <f>HYPERLINK("http://exon.niaid.nih.gov/transcriptome/An_gambiae_male_2006/ST1/links/AGM-contig_203-AG5P.txt","ENSANGP00000027050")</f>
        <v>ENSANGP00000027050</v>
      </c>
      <c r="Q263" s="4" t="str">
        <f>HYPERLINK("http://www.anobase.org/cgi-bin/uniexcel_new_var6.pl?proteinname=ENSANGP00000027050","5.E-66")</f>
        <v>5.E-66</v>
      </c>
      <c r="R263" s="2" t="str">
        <f>HYPERLINK("http://exon.niaid.nih.gov/transcriptome/An_gambiae_male_2006/ST1/links/AGM-contig_203-AGPROT.txt","ENSANGP00000014910")</f>
        <v>ENSANGP00000014910</v>
      </c>
      <c r="S263" s="1" t="str">
        <f>HYPERLINK("http://www.ensembl.org/Anopheles_gambiae/protview?peptide=ENSANGP00000014910","8.9")</f>
        <v>8.9</v>
      </c>
      <c r="T263" s="1" t="str">
        <f>HYPERLINK("http://www.anobase.org/cgi-bin/uniexcel_new_var6.pl?proteinname=ENSANGP00000014910","8.9")</f>
        <v>8.9</v>
      </c>
      <c r="AG263" s="6" t="s">
        <v>511</v>
      </c>
      <c r="AH263" s="6" t="s">
        <v>511</v>
      </c>
      <c r="AJ263" s="6">
        <f>AJ262+1</f>
        <v>114</v>
      </c>
    </row>
    <row r="264" spans="1:36" ht="9.75">
      <c r="A264" t="str">
        <f>HYPERLINK("http://exon.niaid.nih.gov/transcriptome/An_gambiae_male_2006/ST1/links/AGM-contig_168.txt","AGM-contig_168")</f>
        <v>AGM-contig_168</v>
      </c>
      <c r="B264" s="1">
        <v>1</v>
      </c>
      <c r="C264" s="1">
        <v>103</v>
      </c>
      <c r="D264" s="1">
        <f>D263+B264</f>
        <v>125</v>
      </c>
      <c r="E264" s="1">
        <v>6.8</v>
      </c>
      <c r="F264" s="1">
        <v>66</v>
      </c>
      <c r="G264" s="1">
        <v>46</v>
      </c>
      <c r="H264" t="str">
        <f>HYPERLINK("http://exon.niaid.nih.gov/transcriptome/An_gambiae_male_2006/ST1/links/AGM-7-90-90-asb-168.txt","Contig-168")</f>
        <v>Contig-168</v>
      </c>
      <c r="I264" s="1">
        <v>168</v>
      </c>
      <c r="J264" t="str">
        <f>HYPERLINK("http://exon.niaid.nih.gov/transcriptome/An_gambiae_male_2006/ST1/links/AGM-7-90-90-168-CLU.txt","Contig168")</f>
        <v>Contig168</v>
      </c>
      <c r="K264" t="s">
        <v>621</v>
      </c>
      <c r="L264" s="2" t="str">
        <f>HYPERLINK("http://exon.niaid.nih.gov/transcriptome/An_gambiae_male_2006/ST1/links/AGM-contig_168-AGFRAG.txt","3R_Piece#995")</f>
        <v>3R_Piece#995</v>
      </c>
      <c r="M264" s="4">
        <v>5E-16</v>
      </c>
      <c r="AG264" s="6" t="s">
        <v>511</v>
      </c>
      <c r="AH264" s="6" t="s">
        <v>511</v>
      </c>
      <c r="AJ264" s="6">
        <f>AJ263+1</f>
        <v>115</v>
      </c>
    </row>
    <row r="265" spans="1:36" ht="9.75">
      <c r="A265" t="str">
        <f>HYPERLINK("http://exon.niaid.nih.gov/transcriptome/An_gambiae_male_2006/ST1/links/AGM-contig_150.txt","AGM-contig_150")</f>
        <v>AGM-contig_150</v>
      </c>
      <c r="B265" s="1">
        <v>1</v>
      </c>
      <c r="C265" s="1">
        <v>150</v>
      </c>
      <c r="D265" s="1">
        <f>D264+B265</f>
        <v>126</v>
      </c>
      <c r="E265" s="1">
        <v>6.7</v>
      </c>
      <c r="F265" s="1">
        <v>48</v>
      </c>
      <c r="G265" s="1" t="s">
        <v>260</v>
      </c>
      <c r="H265" t="str">
        <f>HYPERLINK("http://exon.niaid.nih.gov/transcriptome/An_gambiae_male_2006/ST1/links/AGM-7-90-90-asb-150.txt","Contig-150")</f>
        <v>Contig-150</v>
      </c>
      <c r="I265" s="1">
        <v>150</v>
      </c>
      <c r="J265" t="str">
        <f>HYPERLINK("http://exon.niaid.nih.gov/transcriptome/An_gambiae_male_2006/ST1/links/AGM-7-90-90-150-CLU.txt","Contig150")</f>
        <v>Contig150</v>
      </c>
      <c r="K265" t="s">
        <v>603</v>
      </c>
      <c r="AG265" s="6" t="s">
        <v>511</v>
      </c>
      <c r="AH265" s="6" t="s">
        <v>511</v>
      </c>
      <c r="AJ265" s="6">
        <f>AJ264+1</f>
        <v>116</v>
      </c>
    </row>
    <row r="266" spans="1:36" ht="9.75">
      <c r="A266" t="str">
        <f>HYPERLINK("http://exon.niaid.nih.gov/transcriptome/An_gambiae_male_2006/ST1/links/AGM-contig_313.txt","AGM-contig_313")</f>
        <v>AGM-contig_313</v>
      </c>
      <c r="B266" s="1">
        <v>1</v>
      </c>
      <c r="C266" s="1">
        <v>105</v>
      </c>
      <c r="D266" s="1">
        <f>D265+B266</f>
        <v>127</v>
      </c>
      <c r="E266" s="1">
        <v>1.9</v>
      </c>
      <c r="F266" s="1">
        <v>64.8</v>
      </c>
      <c r="G266" s="1">
        <v>78</v>
      </c>
      <c r="H266" t="str">
        <f>HYPERLINK("http://exon.niaid.nih.gov/transcriptome/An_gambiae_male_2006/ST1/links/AGM-7-90-90-asb-313.txt","Contig-313")</f>
        <v>Contig-313</v>
      </c>
      <c r="I266" s="1">
        <v>313</v>
      </c>
      <c r="J266" t="str">
        <f>HYPERLINK("http://exon.niaid.nih.gov/transcriptome/An_gambiae_male_2006/ST1/links/AGM-7-90-90-313-CLU.txt","Contig313")</f>
        <v>Contig313</v>
      </c>
      <c r="K266" t="s">
        <v>180</v>
      </c>
      <c r="AA266" s="2" t="str">
        <f>HYPERLINK("http://exon.niaid.nih.gov/transcriptome/An_gambiae_male_2006/ST1/links/AGM-contig_313-AGNUC.txt","AG-contig_67")</f>
        <v>AG-contig_67</v>
      </c>
      <c r="AB266" s="1">
        <v>9E-10</v>
      </c>
      <c r="AG266" s="6" t="s">
        <v>511</v>
      </c>
      <c r="AH266" s="6" t="s">
        <v>511</v>
      </c>
      <c r="AJ266" s="6">
        <f>AJ265+1</f>
        <v>117</v>
      </c>
    </row>
    <row r="267" spans="1:36" ht="9.75">
      <c r="A267" t="str">
        <f>HYPERLINK("http://exon.niaid.nih.gov/transcriptome/An_gambiae_male_2006/ST1/links/AGM-contig_31.txt","AGM-contig_31")</f>
        <v>AGM-contig_31</v>
      </c>
      <c r="B267" s="1">
        <v>1</v>
      </c>
      <c r="C267" s="1">
        <v>180</v>
      </c>
      <c r="D267" s="1">
        <f>D266+B267</f>
        <v>128</v>
      </c>
      <c r="E267" s="1">
        <v>5.6</v>
      </c>
      <c r="F267" s="1">
        <v>78.3</v>
      </c>
      <c r="G267" s="1">
        <v>88</v>
      </c>
      <c r="H267" t="str">
        <f>HYPERLINK("http://exon.niaid.nih.gov/transcriptome/An_gambiae_male_2006/ST1/links/AGM-7-90-90-asb-31.txt","Contig-31")</f>
        <v>Contig-31</v>
      </c>
      <c r="I267" s="1">
        <v>31</v>
      </c>
      <c r="J267" t="str">
        <f>HYPERLINK("http://exon.niaid.nih.gov/transcriptome/An_gambiae_male_2006/ST1/links/AGM-7-90-90-31-CLU.txt","Contig31")</f>
        <v>Contig31</v>
      </c>
      <c r="K267" t="s">
        <v>240</v>
      </c>
      <c r="AG267" s="6" t="s">
        <v>511</v>
      </c>
      <c r="AH267" s="6" t="s">
        <v>511</v>
      </c>
      <c r="AJ267" s="6">
        <f>AJ266+1</f>
        <v>118</v>
      </c>
    </row>
    <row r="268" spans="1:36" ht="9.75">
      <c r="A268" t="str">
        <f>HYPERLINK("http://exon.niaid.nih.gov/transcriptome/An_gambiae_male_2006/ST1/links/AGM-contig_253.txt","AGM-contig_253")</f>
        <v>AGM-contig_253</v>
      </c>
      <c r="B268" s="1">
        <v>1</v>
      </c>
      <c r="C268" s="1">
        <v>112</v>
      </c>
      <c r="D268" s="1">
        <f>D267+B268</f>
        <v>129</v>
      </c>
      <c r="E268" s="1">
        <v>2.7</v>
      </c>
      <c r="F268" s="1">
        <v>81.3</v>
      </c>
      <c r="G268" s="1">
        <v>52</v>
      </c>
      <c r="H268" t="str">
        <f>HYPERLINK("http://exon.niaid.nih.gov/transcriptome/An_gambiae_male_2006/ST1/links/AGM-7-90-90-asb-253.txt","Contig-253")</f>
        <v>Contig-253</v>
      </c>
      <c r="I268" s="1">
        <v>253</v>
      </c>
      <c r="J268" t="str">
        <f>HYPERLINK("http://exon.niaid.nih.gov/transcriptome/An_gambiae_male_2006/ST1/links/AGM-7-90-90-253-CLU.txt","Contig253")</f>
        <v>Contig253</v>
      </c>
      <c r="K268" t="s">
        <v>706</v>
      </c>
      <c r="L268" s="2" t="str">
        <f>HYPERLINK("http://exon.niaid.nih.gov/transcriptome/An_gambiae_male_2006/ST1/links/AGM-contig_253-AGFRAG.txt","3R_Piece#417")</f>
        <v>3R_Piece#417</v>
      </c>
      <c r="M268" s="4">
        <v>3E-08</v>
      </c>
      <c r="N268" s="2" t="str">
        <f>HYPERLINK("http://exon.niaid.nih.gov/transcriptome/An_gambiae_male_2006/ST1/links/AGM-contig_253-AG3P.txt","ENSANGP00000019222")</f>
        <v>ENSANGP00000019222</v>
      </c>
      <c r="O268" s="1" t="str">
        <f>HYPERLINK("http://www.anobase.org/cgi-bin/uniexcel_new_var6.pl?proteinname=ENSANGP00000019222","6.E-09")</f>
        <v>6.E-09</v>
      </c>
      <c r="AG268" s="6" t="s">
        <v>511</v>
      </c>
      <c r="AH268" s="6" t="s">
        <v>511</v>
      </c>
      <c r="AJ268" s="6">
        <f>AJ267+1</f>
        <v>119</v>
      </c>
    </row>
    <row r="269" spans="1:36" ht="9.75">
      <c r="A269" t="str">
        <f>HYPERLINK("http://exon.niaid.nih.gov/transcriptome/An_gambiae_male_2006/ST1/links/AGM-contig_323.txt","AGM-contig_323")</f>
        <v>AGM-contig_323</v>
      </c>
      <c r="B269" s="1">
        <v>1</v>
      </c>
      <c r="C269" s="1">
        <v>149</v>
      </c>
      <c r="D269" s="1">
        <f>D268+B269</f>
        <v>130</v>
      </c>
      <c r="E269" s="1">
        <v>3.4</v>
      </c>
      <c r="F269" s="1">
        <v>71.8</v>
      </c>
      <c r="G269" s="1">
        <v>81</v>
      </c>
      <c r="H269" t="str">
        <f>HYPERLINK("http://exon.niaid.nih.gov/transcriptome/An_gambiae_male_2006/ST1/links/AGM-7-90-90-asb-323.txt","Contig-323")</f>
        <v>Contig-323</v>
      </c>
      <c r="I269" s="1">
        <v>323</v>
      </c>
      <c r="J269" t="str">
        <f>HYPERLINK("http://exon.niaid.nih.gov/transcriptome/An_gambiae_male_2006/ST1/links/AGM-7-90-90-323-CLU.txt","Contig323")</f>
        <v>Contig323</v>
      </c>
      <c r="K269" t="s">
        <v>190</v>
      </c>
      <c r="AG269" s="6" t="s">
        <v>511</v>
      </c>
      <c r="AH269" s="6" t="s">
        <v>511</v>
      </c>
      <c r="AJ269" s="6">
        <f>AJ268+1</f>
        <v>120</v>
      </c>
    </row>
    <row r="270" spans="1:36" ht="9.75">
      <c r="A270" t="str">
        <f>HYPERLINK("http://exon.niaid.nih.gov/transcriptome/An_gambiae_male_2006/ST1/links/AGM-contig_250.txt","AGM-contig_250")</f>
        <v>AGM-contig_250</v>
      </c>
      <c r="B270" s="1">
        <v>1</v>
      </c>
      <c r="C270" s="1">
        <v>108</v>
      </c>
      <c r="D270" s="1">
        <f>D269+B270</f>
        <v>131</v>
      </c>
      <c r="E270" s="1">
        <v>6.5</v>
      </c>
      <c r="F270" s="1">
        <v>73.1</v>
      </c>
      <c r="G270" s="1">
        <v>1</v>
      </c>
      <c r="H270" t="str">
        <f>HYPERLINK("http://exon.niaid.nih.gov/transcriptome/An_gambiae_male_2006/ST1/links/AGM-7-90-90-asb-250.txt","Contig-250")</f>
        <v>Contig-250</v>
      </c>
      <c r="I270" s="1">
        <v>250</v>
      </c>
      <c r="J270" t="str">
        <f>HYPERLINK("http://exon.niaid.nih.gov/transcriptome/An_gambiae_male_2006/ST1/links/AGM-7-90-90-250-CLU.txt","Contig250")</f>
        <v>Contig250</v>
      </c>
      <c r="K270" t="s">
        <v>703</v>
      </c>
      <c r="AG270" s="6" t="s">
        <v>511</v>
      </c>
      <c r="AH270" s="6" t="s">
        <v>511</v>
      </c>
      <c r="AJ270" s="6">
        <f>AJ269+1</f>
        <v>121</v>
      </c>
    </row>
    <row r="271" spans="1:36" ht="9.75">
      <c r="A271" t="str">
        <f>HYPERLINK("http://exon.niaid.nih.gov/transcriptome/An_gambiae_male_2006/ST1/links/AGM-contig_282.txt","AGM-contig_282")</f>
        <v>AGM-contig_282</v>
      </c>
      <c r="B271" s="1">
        <v>1</v>
      </c>
      <c r="C271" s="1">
        <v>106</v>
      </c>
      <c r="D271" s="1">
        <f>D270+B271</f>
        <v>132</v>
      </c>
      <c r="E271" s="1">
        <v>4.7</v>
      </c>
      <c r="F271" s="1">
        <v>69.8</v>
      </c>
      <c r="G271" s="1">
        <v>43</v>
      </c>
      <c r="H271" t="str">
        <f>HYPERLINK("http://exon.niaid.nih.gov/transcriptome/An_gambiae_male_2006/ST1/links/AGM-7-90-90-asb-282.txt","Contig-282")</f>
        <v>Contig-282</v>
      </c>
      <c r="I271" s="1">
        <v>282</v>
      </c>
      <c r="J271" t="str">
        <f>HYPERLINK("http://exon.niaid.nih.gov/transcriptome/An_gambiae_male_2006/ST1/links/AGM-7-90-90-282-CLU.txt","Contig282")</f>
        <v>Contig282</v>
      </c>
      <c r="K271" t="s">
        <v>149</v>
      </c>
      <c r="AG271" s="6" t="s">
        <v>511</v>
      </c>
      <c r="AH271" s="6" t="s">
        <v>511</v>
      </c>
      <c r="AJ271" s="6">
        <f>AJ270+1</f>
        <v>122</v>
      </c>
    </row>
    <row r="272" spans="1:36" ht="9.75">
      <c r="A272" t="str">
        <f>HYPERLINK("http://exon.niaid.nih.gov/transcriptome/An_gambiae_male_2006/ST1/links/AGM-contig_333.txt","AGM-contig_333")</f>
        <v>AGM-contig_333</v>
      </c>
      <c r="B272" s="1">
        <v>1</v>
      </c>
      <c r="C272" s="1">
        <v>107</v>
      </c>
      <c r="D272" s="1">
        <f>D271+B272</f>
        <v>133</v>
      </c>
      <c r="E272" s="1">
        <v>3.7</v>
      </c>
      <c r="F272" s="1">
        <v>86.9</v>
      </c>
      <c r="G272" s="1">
        <v>49</v>
      </c>
      <c r="H272" t="str">
        <f>HYPERLINK("http://exon.niaid.nih.gov/transcriptome/An_gambiae_male_2006/ST1/links/AGM-7-90-90-asb-333.txt","Contig-333")</f>
        <v>Contig-333</v>
      </c>
      <c r="I272" s="1">
        <v>333</v>
      </c>
      <c r="J272" t="str">
        <f>HYPERLINK("http://exon.niaid.nih.gov/transcriptome/An_gambiae_male_2006/ST1/links/AGM-7-90-90-333-CLU.txt","Contig333")</f>
        <v>Contig333</v>
      </c>
      <c r="K272" t="s">
        <v>273</v>
      </c>
      <c r="L272" s="2" t="str">
        <f>HYPERLINK("http://exon.niaid.nih.gov/transcriptome/An_gambiae_male_2006/ST1/links/AGM-contig_333-AGFRAG.txt","3L_Piece#968")</f>
        <v>3L_Piece#968</v>
      </c>
      <c r="M272" s="4">
        <v>1E-07</v>
      </c>
      <c r="AG272" s="6" t="s">
        <v>511</v>
      </c>
      <c r="AH272" s="6" t="s">
        <v>511</v>
      </c>
      <c r="AJ272" s="6">
        <f>AJ271+1</f>
        <v>123</v>
      </c>
    </row>
    <row r="273" spans="1:36" ht="9.75">
      <c r="A273" t="str">
        <f>HYPERLINK("http://exon.niaid.nih.gov/transcriptome/An_gambiae_male_2006/ST1/links/AGM-contig_256.txt","AGM-contig_256")</f>
        <v>AGM-contig_256</v>
      </c>
      <c r="B273" s="1">
        <v>1</v>
      </c>
      <c r="C273" s="1">
        <v>149</v>
      </c>
      <c r="D273" s="1">
        <f>D272+B273</f>
        <v>134</v>
      </c>
      <c r="E273" s="1">
        <v>4</v>
      </c>
      <c r="F273" s="1">
        <v>63.8</v>
      </c>
      <c r="G273" s="1">
        <v>95</v>
      </c>
      <c r="H273" t="str">
        <f>HYPERLINK("http://exon.niaid.nih.gov/transcriptome/An_gambiae_male_2006/ST1/links/AGM-7-90-90-asb-256.txt","Contig-256")</f>
        <v>Contig-256</v>
      </c>
      <c r="I273" s="1">
        <v>256</v>
      </c>
      <c r="J273" t="str">
        <f>HYPERLINK("http://exon.niaid.nih.gov/transcriptome/An_gambiae_male_2006/ST1/links/AGM-7-90-90-256-CLU.txt","Contig256")</f>
        <v>Contig256</v>
      </c>
      <c r="K273" t="s">
        <v>709</v>
      </c>
      <c r="AG273" s="6" t="s">
        <v>511</v>
      </c>
      <c r="AH273" s="6" t="s">
        <v>511</v>
      </c>
      <c r="AJ273" s="6">
        <f>AJ272+1</f>
        <v>124</v>
      </c>
    </row>
    <row r="274" spans="1:36" ht="9.75">
      <c r="A274" t="str">
        <f>HYPERLINK("http://exon.niaid.nih.gov/transcriptome/An_gambiae_male_2006/ST1/links/AGM-contig_346.txt","AGM-contig_346")</f>
        <v>AGM-contig_346</v>
      </c>
      <c r="B274" s="1">
        <v>1</v>
      </c>
      <c r="C274" s="1">
        <v>107</v>
      </c>
      <c r="D274" s="1">
        <f>D273+B274</f>
        <v>135</v>
      </c>
      <c r="E274" s="1">
        <v>4.7</v>
      </c>
      <c r="F274" s="1">
        <v>85</v>
      </c>
      <c r="G274" s="1">
        <v>45</v>
      </c>
      <c r="H274" t="str">
        <f>HYPERLINK("http://exon.niaid.nih.gov/transcriptome/An_gambiae_male_2006/ST1/links/AGM-7-90-90-asb-346.txt","Contig-346")</f>
        <v>Contig-346</v>
      </c>
      <c r="I274" s="1">
        <v>346</v>
      </c>
      <c r="J274" t="str">
        <f>HYPERLINK("http://exon.niaid.nih.gov/transcriptome/An_gambiae_male_2006/ST1/links/AGM-7-90-90-346-CLU.txt","Contig346")</f>
        <v>Contig346</v>
      </c>
      <c r="K274" t="s">
        <v>286</v>
      </c>
      <c r="AA274" s="2" t="str">
        <f>HYPERLINK("http://exon.niaid.nih.gov/transcriptome/An_gambiae_male_2006/ST1/links/AGM-contig_346-AGNUC.txt","AG-contig_270")</f>
        <v>AG-contig_270</v>
      </c>
      <c r="AB274" s="1">
        <v>6E-11</v>
      </c>
      <c r="AG274" s="6" t="s">
        <v>511</v>
      </c>
      <c r="AH274" s="6" t="s">
        <v>511</v>
      </c>
      <c r="AJ274" s="6">
        <f>AJ273+1</f>
        <v>125</v>
      </c>
    </row>
    <row r="275" spans="1:36" ht="9.75">
      <c r="A275" t="str">
        <f>HYPERLINK("http://exon.niaid.nih.gov/transcriptome/An_gambiae_male_2006/ST1/links/AGM-contig_171.txt","AGM-contig_171")</f>
        <v>AGM-contig_171</v>
      </c>
      <c r="B275" s="1">
        <v>1</v>
      </c>
      <c r="C275" s="1">
        <v>148</v>
      </c>
      <c r="D275" s="1">
        <f>D274+B275</f>
        <v>136</v>
      </c>
      <c r="E275" s="1">
        <v>0.7</v>
      </c>
      <c r="F275" s="1">
        <v>82.4</v>
      </c>
      <c r="G275" s="1">
        <v>102</v>
      </c>
      <c r="H275" t="str">
        <f>HYPERLINK("http://exon.niaid.nih.gov/transcriptome/An_gambiae_male_2006/ST1/links/AGM-7-90-90-asb-171.txt","Contig-171")</f>
        <v>Contig-171</v>
      </c>
      <c r="I275" s="1">
        <v>171</v>
      </c>
      <c r="J275" t="str">
        <f>HYPERLINK("http://exon.niaid.nih.gov/transcriptome/An_gambiae_male_2006/ST1/links/AGM-7-90-90-171-CLU.txt","Contig171")</f>
        <v>Contig171</v>
      </c>
      <c r="K275" t="s">
        <v>624</v>
      </c>
      <c r="L275" s="2" t="str">
        <f>HYPERLINK("http://exon.niaid.nih.gov/transcriptome/An_gambiae_male_2006/ST1/links/AGM-contig_171-AGFRAG.txt","3R_Piece#31")</f>
        <v>3R_Piece#31</v>
      </c>
      <c r="M275" s="4">
        <v>3E-49</v>
      </c>
      <c r="N275" s="2" t="str">
        <f>HYPERLINK("http://exon.niaid.nih.gov/transcriptome/An_gambiae_male_2006/ST1/links/AGM-contig_171-AG3P.txt","ENSANGP00000010386")</f>
        <v>ENSANGP00000010386</v>
      </c>
      <c r="O275" s="1" t="str">
        <f>HYPERLINK("http://www.anobase.org/cgi-bin/uniexcel_new_var6.pl?proteinname=ENSANGP00000010386","6.E-50")</f>
        <v>6.E-50</v>
      </c>
      <c r="P275" s="2" t="str">
        <f>HYPERLINK("http://exon.niaid.nih.gov/transcriptome/An_gambiae_male_2006/ST1/links/AGM-contig_171-AG5P.txt","ENSANGP00000010376")</f>
        <v>ENSANGP00000010376</v>
      </c>
      <c r="Q275" s="4" t="str">
        <f>HYPERLINK("http://www.anobase.org/cgi-bin/uniexcel_new_var6.pl?proteinname=ENSANGP00000010376","6.E-50")</f>
        <v>6.E-50</v>
      </c>
      <c r="AG275" s="6" t="s">
        <v>511</v>
      </c>
      <c r="AH275" s="6" t="s">
        <v>511</v>
      </c>
      <c r="AJ275" s="6">
        <f>AJ274+1</f>
        <v>126</v>
      </c>
    </row>
    <row r="276" spans="1:36" ht="9.75">
      <c r="A276" t="str">
        <f>HYPERLINK("http://exon.niaid.nih.gov/transcriptome/An_gambiae_male_2006/ST1/links/AGM-contig_234.txt","AGM-contig_234")</f>
        <v>AGM-contig_234</v>
      </c>
      <c r="B276" s="1">
        <v>1</v>
      </c>
      <c r="C276" s="1">
        <v>107</v>
      </c>
      <c r="D276" s="1">
        <f>D275+B276</f>
        <v>137</v>
      </c>
      <c r="E276" s="1">
        <v>4.7</v>
      </c>
      <c r="F276" s="1">
        <v>79.4</v>
      </c>
      <c r="G276" s="1">
        <v>50</v>
      </c>
      <c r="H276" t="str">
        <f>HYPERLINK("http://exon.niaid.nih.gov/transcriptome/An_gambiae_male_2006/ST1/links/AGM-7-90-90-asb-234.txt","Contig-234")</f>
        <v>Contig-234</v>
      </c>
      <c r="I276" s="1">
        <v>234</v>
      </c>
      <c r="J276" t="str">
        <f>HYPERLINK("http://exon.niaid.nih.gov/transcriptome/An_gambiae_male_2006/ST1/links/AGM-7-90-90-234-CLU.txt","Contig234")</f>
        <v>Contig234</v>
      </c>
      <c r="K276" t="s">
        <v>687</v>
      </c>
      <c r="AA276" s="2" t="str">
        <f>HYPERLINK("http://exon.niaid.nih.gov/transcriptome/An_gambiae_male_2006/ST1/links/AGM-contig_234-AGNUC.txt","AG-contig_24")</f>
        <v>AG-contig_24</v>
      </c>
      <c r="AB276" s="1">
        <v>2E-10</v>
      </c>
      <c r="AG276" s="6" t="s">
        <v>511</v>
      </c>
      <c r="AH276" s="6" t="s">
        <v>511</v>
      </c>
      <c r="AJ276" s="6">
        <f>AJ275+1</f>
        <v>127</v>
      </c>
    </row>
    <row r="277" spans="1:36" ht="9.75">
      <c r="A277" t="str">
        <f>HYPERLINK("http://exon.niaid.nih.gov/transcriptome/An_gambiae_male_2006/ST1/links/AGM-contig_295.txt","AGM-contig_295")</f>
        <v>AGM-contig_295</v>
      </c>
      <c r="B277" s="1">
        <v>1</v>
      </c>
      <c r="C277" s="1">
        <v>93</v>
      </c>
      <c r="D277" s="1">
        <f>D276+B277</f>
        <v>138</v>
      </c>
      <c r="E277" s="1">
        <v>6.5</v>
      </c>
      <c r="F277" s="1">
        <v>72</v>
      </c>
      <c r="G277" s="1">
        <v>14</v>
      </c>
      <c r="H277" t="str">
        <f>HYPERLINK("http://exon.niaid.nih.gov/transcriptome/An_gambiae_male_2006/ST1/links/AGM-7-90-90-asb-295.txt","Contig-295")</f>
        <v>Contig-295</v>
      </c>
      <c r="I277" s="1">
        <v>295</v>
      </c>
      <c r="J277" t="str">
        <f>HYPERLINK("http://exon.niaid.nih.gov/transcriptome/An_gambiae_male_2006/ST1/links/AGM-7-90-90-295-CLU.txt","Contig295")</f>
        <v>Contig295</v>
      </c>
      <c r="K277" t="s">
        <v>162</v>
      </c>
      <c r="AG277" s="6" t="s">
        <v>511</v>
      </c>
      <c r="AH277" s="6" t="s">
        <v>511</v>
      </c>
      <c r="AJ277" s="6">
        <f>AJ276+1</f>
        <v>128</v>
      </c>
    </row>
    <row r="278" spans="1:36" ht="9.75">
      <c r="A278" t="str">
        <f>HYPERLINK("http://exon.niaid.nih.gov/transcriptome/An_gambiae_male_2006/ST1/links/AGM-contig_164.txt","AGM-contig_164")</f>
        <v>AGM-contig_164</v>
      </c>
      <c r="B278" s="1">
        <v>1</v>
      </c>
      <c r="C278" s="1">
        <v>94</v>
      </c>
      <c r="D278" s="1">
        <f>D277+B278</f>
        <v>139</v>
      </c>
      <c r="E278" s="1">
        <v>4.3</v>
      </c>
      <c r="F278" s="1">
        <v>86.2</v>
      </c>
      <c r="G278" s="1">
        <v>30</v>
      </c>
      <c r="H278" t="str">
        <f>HYPERLINK("http://exon.niaid.nih.gov/transcriptome/An_gambiae_male_2006/ST1/links/AGM-7-90-90-asb-164.txt","Contig-164")</f>
        <v>Contig-164</v>
      </c>
      <c r="I278" s="1">
        <v>164</v>
      </c>
      <c r="J278" t="str">
        <f>HYPERLINK("http://exon.niaid.nih.gov/transcriptome/An_gambiae_male_2006/ST1/links/AGM-7-90-90-164-CLU.txt","Contig164")</f>
        <v>Contig164</v>
      </c>
      <c r="K278" t="s">
        <v>617</v>
      </c>
      <c r="L278" s="2" t="str">
        <f>HYPERLINK("http://exon.niaid.nih.gov/transcriptome/An_gambiae_male_2006/ST1/links/AGM-contig_164-AGFRAG.txt","2R_Piece#1848")</f>
        <v>2R_Piece#1848</v>
      </c>
      <c r="M278" s="4">
        <v>4E-07</v>
      </c>
      <c r="AA278" s="2" t="str">
        <f>HYPERLINK("http://exon.niaid.nih.gov/transcriptome/An_gambiae_male_2006/ST1/links/AGM-contig_164-AGNUC.txt","AG-contig_324")</f>
        <v>AG-contig_324</v>
      </c>
      <c r="AB278" s="1">
        <v>8E-10</v>
      </c>
      <c r="AG278" s="6" t="s">
        <v>511</v>
      </c>
      <c r="AH278" s="6" t="s">
        <v>511</v>
      </c>
      <c r="AJ278" s="6">
        <f>AJ277+1</f>
        <v>129</v>
      </c>
    </row>
    <row r="279" spans="1:40" ht="9.75">
      <c r="A279" t="str">
        <f>HYPERLINK("http://exon.niaid.nih.gov/transcriptome/An_gambiae_male_2006/ST1/links/AGM-contig_359.txt","AGM-contig_359")</f>
        <v>AGM-contig_359</v>
      </c>
      <c r="B279" s="1">
        <v>1</v>
      </c>
      <c r="C279" s="1">
        <v>110</v>
      </c>
      <c r="D279" s="1">
        <f>D278+B279</f>
        <v>140</v>
      </c>
      <c r="E279" s="1" t="s">
        <v>209</v>
      </c>
      <c r="F279" s="1">
        <v>57.3</v>
      </c>
      <c r="G279" s="1">
        <v>91</v>
      </c>
      <c r="H279" t="str">
        <f>HYPERLINK("http://exon.niaid.nih.gov/transcriptome/An_gambiae_male_2006/ST1/links/AGM-7-90-90-asb-359.txt","Contig-359")</f>
        <v>Contig-359</v>
      </c>
      <c r="I279" s="1">
        <v>359</v>
      </c>
      <c r="J279" t="str">
        <f>HYPERLINK("http://exon.niaid.nih.gov/transcriptome/An_gambiae_male_2006/ST1/links/AGM-7-90-90-359-CLU.txt","Contig359")</f>
        <v>Contig359</v>
      </c>
      <c r="K279" t="s">
        <v>299</v>
      </c>
      <c r="L279" s="2" t="str">
        <f>HYPERLINK("http://exon.niaid.nih.gov/transcriptome/An_gambiae_male_2006/ST1/links/AGM-contig_359-AGFRAG.txt","X_Piece#872")</f>
        <v>X_Piece#872</v>
      </c>
      <c r="M279" s="4">
        <v>3E-42</v>
      </c>
      <c r="N279" s="2" t="str">
        <f>HYPERLINK("http://exon.niaid.nih.gov/transcriptome/An_gambiae_male_2006/ST1/links/AGM-contig_359-AG3P.txt","ENSANGP00000001970")</f>
        <v>ENSANGP00000001970</v>
      </c>
      <c r="O279" s="1" t="str">
        <f>HYPERLINK("http://www.anobase.org/cgi-bin/uniexcel_new_var6.pl?proteinname=ENSANGP00000001970","6.E-43")</f>
        <v>6.E-43</v>
      </c>
      <c r="P279" s="2" t="str">
        <f>HYPERLINK("http://exon.niaid.nih.gov/transcriptome/An_gambiae_male_2006/ST1/links/AGM-contig_359-AG5P.txt","ENSANGP00000023029")</f>
        <v>ENSANGP00000023029</v>
      </c>
      <c r="Q279" s="4" t="str">
        <f>HYPERLINK("http://www.anobase.org/cgi-bin/uniexcel_new_var6.pl?proteinname=ENSANGP00000023029","6.E-43")</f>
        <v>6.E-43</v>
      </c>
      <c r="AG279" s="6" t="s">
        <v>457</v>
      </c>
      <c r="AH279" s="6" t="s">
        <v>511</v>
      </c>
      <c r="AI279" s="6" t="s">
        <v>260</v>
      </c>
      <c r="AJ279" s="6">
        <f>AJ278+1</f>
        <v>130</v>
      </c>
      <c r="AM279" s="2" t="str">
        <f>HYPERLINK("http://exon.niaid.nih.gov/transcriptome/An_gambiae_male_2006/ST1/links/RRNA/AGM-contig_359-RRNA.txt","D.melanogaster 18S rRNA, segment 2 of 3           62   7e-011")</f>
        <v>D.melanogaster 18S rRNA, segment 2 of 3           62   7e-011</v>
      </c>
      <c r="AN279" s="4">
        <v>7E-11</v>
      </c>
    </row>
    <row r="280" spans="1:36" ht="9.75">
      <c r="A280" t="str">
        <f>HYPERLINK("http://exon.niaid.nih.gov/transcriptome/An_gambiae_male_2006/ST1/links/AGM-contig_174.txt","AGM-contig_174")</f>
        <v>AGM-contig_174</v>
      </c>
      <c r="B280" s="1">
        <v>1</v>
      </c>
      <c r="C280" s="1">
        <v>117</v>
      </c>
      <c r="D280" s="1">
        <f>D279+B280</f>
        <v>141</v>
      </c>
      <c r="E280" s="1" t="s">
        <v>209</v>
      </c>
      <c r="F280" s="1">
        <v>83.8</v>
      </c>
      <c r="G280" s="1">
        <v>57</v>
      </c>
      <c r="H280" t="str">
        <f>HYPERLINK("http://exon.niaid.nih.gov/transcriptome/An_gambiae_male_2006/ST1/links/AGM-7-90-90-asb-174.txt","Contig-174")</f>
        <v>Contig-174</v>
      </c>
      <c r="I280" s="1">
        <v>174</v>
      </c>
      <c r="J280" t="str">
        <f>HYPERLINK("http://exon.niaid.nih.gov/transcriptome/An_gambiae_male_2006/ST1/links/AGM-7-90-90-174-CLU.txt","Contig174")</f>
        <v>Contig174</v>
      </c>
      <c r="K280" t="s">
        <v>627</v>
      </c>
      <c r="L280" s="2" t="str">
        <f>HYPERLINK("http://exon.niaid.nih.gov/transcriptome/An_gambiae_male_2006/ST1/links/AGM-contig_174-AGFRAG.txt","2L_Piece#930")</f>
        <v>2L_Piece#930</v>
      </c>
      <c r="M280" s="4">
        <v>2E-15</v>
      </c>
      <c r="N280" s="2" t="str">
        <f>HYPERLINK("http://exon.niaid.nih.gov/transcriptome/An_gambiae_male_2006/ST1/links/AGM-contig_174-AG3P.txt","ENSANGP00000013523")</f>
        <v>ENSANGP00000013523</v>
      </c>
      <c r="O280" s="1" t="str">
        <f>HYPERLINK("http://www.anobase.org/cgi-bin/uniexcel_new_var6.pl?proteinname=ENSANGP00000013523","5.E-16")</f>
        <v>5.E-16</v>
      </c>
      <c r="P280" s="2" t="str">
        <f>HYPERLINK("http://exon.niaid.nih.gov/transcriptome/An_gambiae_male_2006/ST1/links/AGM-contig_174-AG5P.txt","ENSANGP00000013515")</f>
        <v>ENSANGP00000013515</v>
      </c>
      <c r="Q280" s="4" t="str">
        <f>HYPERLINK("http://www.anobase.org/cgi-bin/uniexcel_new_var6.pl?proteinname=ENSANGP00000013515","5.E-16")</f>
        <v>5.E-16</v>
      </c>
      <c r="AG280" s="6" t="s">
        <v>511</v>
      </c>
      <c r="AH280" s="6" t="s">
        <v>511</v>
      </c>
      <c r="AJ280" s="6">
        <f>AJ279+1</f>
        <v>131</v>
      </c>
    </row>
    <row r="281" spans="1:36" ht="9.75">
      <c r="A281" t="str">
        <f>HYPERLINK("http://exon.niaid.nih.gov/transcriptome/An_gambiae_male_2006/ST1/links/AGM-contig_161.txt","AGM-contig_161")</f>
        <v>AGM-contig_161</v>
      </c>
      <c r="B281" s="1">
        <v>1</v>
      </c>
      <c r="C281" s="1">
        <v>116</v>
      </c>
      <c r="D281" s="1">
        <f>D280+B281</f>
        <v>142</v>
      </c>
      <c r="E281" s="1">
        <v>1.7</v>
      </c>
      <c r="F281" s="1">
        <v>69</v>
      </c>
      <c r="G281" s="1">
        <v>35</v>
      </c>
      <c r="H281" t="str">
        <f>HYPERLINK("http://exon.niaid.nih.gov/transcriptome/An_gambiae_male_2006/ST1/links/AGM-7-90-90-asb-161.txt","Contig-161")</f>
        <v>Contig-161</v>
      </c>
      <c r="I281" s="1">
        <v>161</v>
      </c>
      <c r="J281" t="str">
        <f>HYPERLINK("http://exon.niaid.nih.gov/transcriptome/An_gambiae_male_2006/ST1/links/AGM-7-90-90-161-CLU.txt","Contig161")</f>
        <v>Contig161</v>
      </c>
      <c r="K281" t="s">
        <v>614</v>
      </c>
      <c r="AG281" s="6" t="s">
        <v>511</v>
      </c>
      <c r="AH281" s="6" t="s">
        <v>511</v>
      </c>
      <c r="AJ281" s="6">
        <f>AJ280+1</f>
        <v>132</v>
      </c>
    </row>
    <row r="282" spans="1:36" ht="9.75">
      <c r="A282" t="str">
        <f>HYPERLINK("http://exon.niaid.nih.gov/transcriptome/An_gambiae_male_2006/ST1/links/AGM-contig_367.txt","AGM-contig_367")</f>
        <v>AGM-contig_367</v>
      </c>
      <c r="B282" s="1">
        <v>1</v>
      </c>
      <c r="C282" s="1">
        <v>117</v>
      </c>
      <c r="D282" s="1">
        <f>D281+B282</f>
        <v>143</v>
      </c>
      <c r="E282" s="1">
        <v>0.9</v>
      </c>
      <c r="F282" s="1">
        <v>86.3</v>
      </c>
      <c r="G282" s="1">
        <v>44</v>
      </c>
      <c r="H282" t="str">
        <f>HYPERLINK("http://exon.niaid.nih.gov/transcriptome/An_gambiae_male_2006/ST1/links/AGM-7-90-90-asb-367.txt","Contig-367")</f>
        <v>Contig-367</v>
      </c>
      <c r="I282" s="1">
        <v>367</v>
      </c>
      <c r="J282" t="str">
        <f>HYPERLINK("http://exon.niaid.nih.gov/transcriptome/An_gambiae_male_2006/ST1/links/AGM-7-90-90-367-CLU.txt","Contig367")</f>
        <v>Contig367</v>
      </c>
      <c r="K282" t="s">
        <v>307</v>
      </c>
      <c r="L282" s="2" t="str">
        <f>HYPERLINK("http://exon.niaid.nih.gov/transcriptome/An_gambiae_male_2006/ST1/links/AGM-contig_367-AGFRAG.txt","2R_Piece#1050")</f>
        <v>2R_Piece#1050</v>
      </c>
      <c r="M282" s="4">
        <v>5E-07</v>
      </c>
      <c r="AG282" s="6" t="s">
        <v>511</v>
      </c>
      <c r="AH282" s="6" t="s">
        <v>511</v>
      </c>
      <c r="AJ282" s="6">
        <f>AJ281+1</f>
        <v>133</v>
      </c>
    </row>
    <row r="283" spans="1:36" ht="9.75">
      <c r="A283" t="str">
        <f>HYPERLINK("http://exon.niaid.nih.gov/transcriptome/An_gambiae_male_2006/ST1/links/AGM-contig_26.txt","AGM-contig_26")</f>
        <v>AGM-contig_26</v>
      </c>
      <c r="B283" s="1">
        <v>1</v>
      </c>
      <c r="C283" s="1">
        <v>523</v>
      </c>
      <c r="D283" s="1">
        <f>D282+B283</f>
        <v>144</v>
      </c>
      <c r="E283" s="1">
        <v>2.1</v>
      </c>
      <c r="F283" s="1">
        <v>79.3</v>
      </c>
      <c r="G283" s="1">
        <v>41</v>
      </c>
      <c r="H283" t="str">
        <f>HYPERLINK("http://exon.niaid.nih.gov/transcriptome/An_gambiae_male_2006/ST1/links/AGM-7-90-90-asb-26.txt","Contig-26")</f>
        <v>Contig-26</v>
      </c>
      <c r="I283" s="1">
        <v>26</v>
      </c>
      <c r="J283" t="str">
        <f>HYPERLINK("http://exon.niaid.nih.gov/transcriptome/An_gambiae_male_2006/ST1/links/AGM-7-90-90-26-CLU.txt","Contig26")</f>
        <v>Contig26</v>
      </c>
      <c r="K283" t="s">
        <v>235</v>
      </c>
      <c r="AC283" s="2" t="str">
        <f>HYPERLINK("http://exon.niaid.nih.gov/transcriptome/An_gambiae_male_2006/ST1/links/AGM-contig_26-NR.txt","hypothetical protein PB107984.00.0 [")</f>
        <v>hypothetical protein PB107984.00.0 [</v>
      </c>
      <c r="AD283" s="1" t="str">
        <f>HYPERLINK("http://www.ncbi.nlm.nih.gov/sutils/blink.cgi?pid=56499376","1.5")</f>
        <v>1.5</v>
      </c>
      <c r="AE283" s="1" t="s">
        <v>313</v>
      </c>
      <c r="AF283" s="9" t="s">
        <v>324</v>
      </c>
      <c r="AG283" s="6" t="s">
        <v>511</v>
      </c>
      <c r="AH283" s="6" t="s">
        <v>511</v>
      </c>
      <c r="AJ283" s="6">
        <f>AJ282+1</f>
        <v>134</v>
      </c>
    </row>
    <row r="284" spans="1:36" ht="9.75">
      <c r="A284" t="str">
        <f>HYPERLINK("http://exon.niaid.nih.gov/transcriptome/An_gambiae_male_2006/ST1/links/AGM-contig_311.txt","AGM-contig_311")</f>
        <v>AGM-contig_311</v>
      </c>
      <c r="B284" s="1">
        <v>1</v>
      </c>
      <c r="C284" s="1">
        <v>118</v>
      </c>
      <c r="D284" s="1">
        <f>D283+B284</f>
        <v>145</v>
      </c>
      <c r="E284" s="1">
        <v>5.9</v>
      </c>
      <c r="F284" s="1">
        <v>72.9</v>
      </c>
      <c r="G284" s="1">
        <v>39</v>
      </c>
      <c r="H284" t="str">
        <f>HYPERLINK("http://exon.niaid.nih.gov/transcriptome/An_gambiae_male_2006/ST1/links/AGM-7-90-90-asb-311.txt","Contig-311")</f>
        <v>Contig-311</v>
      </c>
      <c r="I284" s="1">
        <v>311</v>
      </c>
      <c r="J284" t="str">
        <f>HYPERLINK("http://exon.niaid.nih.gov/transcriptome/An_gambiae_male_2006/ST1/links/AGM-7-90-90-311-CLU.txt","Contig311")</f>
        <v>Contig311</v>
      </c>
      <c r="K284" t="s">
        <v>178</v>
      </c>
      <c r="L284" s="2" t="str">
        <f>HYPERLINK("http://exon.niaid.nih.gov/transcriptome/An_gambiae_male_2006/ST1/links/AGM-contig_311-AGFRAG.txt","2R_Piece#2413")</f>
        <v>2R_Piece#2413</v>
      </c>
      <c r="M284" s="4">
        <v>1E-10</v>
      </c>
      <c r="N284" s="2" t="str">
        <f>HYPERLINK("http://exon.niaid.nih.gov/transcriptome/An_gambiae_male_2006/ST1/links/AGM-contig_311-AG3P.txt","ENSANGP00000021586")</f>
        <v>ENSANGP00000021586</v>
      </c>
      <c r="O284" s="1" t="str">
        <f>HYPERLINK("http://www.anobase.org/cgi-bin/uniexcel_new_var6.pl?proteinname=ENSANGP00000021586","3.E-11")</f>
        <v>3.E-11</v>
      </c>
      <c r="AG284" s="6" t="s">
        <v>511</v>
      </c>
      <c r="AH284" s="6" t="s">
        <v>511</v>
      </c>
      <c r="AJ284" s="6">
        <f>AJ283+1</f>
        <v>135</v>
      </c>
    </row>
    <row r="285" spans="1:36" ht="9.75">
      <c r="A285" t="str">
        <f>HYPERLINK("http://exon.niaid.nih.gov/transcriptome/An_gambiae_male_2006/ST1/links/AGM-contig_262.txt","AGM-contig_262")</f>
        <v>AGM-contig_262</v>
      </c>
      <c r="B285" s="1">
        <v>1</v>
      </c>
      <c r="C285" s="1">
        <v>118</v>
      </c>
      <c r="D285" s="1">
        <f>D284+B285</f>
        <v>146</v>
      </c>
      <c r="E285" s="1">
        <v>4.2</v>
      </c>
      <c r="F285" s="1">
        <v>66.1</v>
      </c>
      <c r="G285" s="1">
        <v>66</v>
      </c>
      <c r="H285" t="str">
        <f>HYPERLINK("http://exon.niaid.nih.gov/transcriptome/An_gambiae_male_2006/ST1/links/AGM-7-90-90-asb-262.txt","Contig-262")</f>
        <v>Contig-262</v>
      </c>
      <c r="I285" s="1">
        <v>262</v>
      </c>
      <c r="J285" t="str">
        <f>HYPERLINK("http://exon.niaid.nih.gov/transcriptome/An_gambiae_male_2006/ST1/links/AGM-7-90-90-262-CLU.txt","Contig262")</f>
        <v>Contig262</v>
      </c>
      <c r="K285" t="s">
        <v>715</v>
      </c>
      <c r="L285" s="2" t="str">
        <f>HYPERLINK("http://exon.niaid.nih.gov/transcriptome/An_gambiae_male_2006/ST1/links/AGM-contig_262-AGFRAG.txt","3L_Piece#1064")</f>
        <v>3L_Piece#1064</v>
      </c>
      <c r="M285" s="4">
        <v>4E-20</v>
      </c>
      <c r="N285" s="2" t="str">
        <f>HYPERLINK("http://exon.niaid.nih.gov/transcriptome/An_gambiae_male_2006/ST1/links/AGM-contig_262-AG3P.txt","ENSANGP00000027333")</f>
        <v>ENSANGP00000027333</v>
      </c>
      <c r="O285" s="1" t="str">
        <f>HYPERLINK("http://www.anobase.org/cgi-bin/uniexcel_new_var6.pl?proteinname=ENSANGP00000027333","8.E-21")</f>
        <v>8.E-21</v>
      </c>
      <c r="AG285" s="6" t="s">
        <v>511</v>
      </c>
      <c r="AH285" s="6" t="s">
        <v>511</v>
      </c>
      <c r="AJ285" s="6">
        <f>AJ284+1</f>
        <v>136</v>
      </c>
    </row>
    <row r="286" spans="1:36" ht="9.75">
      <c r="A286" t="str">
        <f>HYPERLINK("http://exon.niaid.nih.gov/transcriptome/An_gambiae_male_2006/ST1/links/AGM-contig_275.txt","AGM-contig_275")</f>
        <v>AGM-contig_275</v>
      </c>
      <c r="B286" s="1">
        <v>1</v>
      </c>
      <c r="C286" s="1">
        <v>174</v>
      </c>
      <c r="D286" s="1">
        <f>D285+B286</f>
        <v>147</v>
      </c>
      <c r="E286" s="1" t="s">
        <v>209</v>
      </c>
      <c r="F286" s="1">
        <v>64.9</v>
      </c>
      <c r="G286" s="1">
        <v>155</v>
      </c>
      <c r="H286" t="str">
        <f>HYPERLINK("http://exon.niaid.nih.gov/transcriptome/An_gambiae_male_2006/ST1/links/AGM-7-90-90-asb-275.txt","Contig-275")</f>
        <v>Contig-275</v>
      </c>
      <c r="I286" s="1">
        <v>275</v>
      </c>
      <c r="J286" t="str">
        <f>HYPERLINK("http://exon.niaid.nih.gov/transcriptome/An_gambiae_male_2006/ST1/links/AGM-7-90-90-275-CLU.txt","Contig275")</f>
        <v>Contig275</v>
      </c>
      <c r="K286" t="s">
        <v>728</v>
      </c>
      <c r="L286" s="2" t="str">
        <f>HYPERLINK("http://exon.niaid.nih.gov/transcriptome/An_gambiae_male_2006/ST1/links/AGM-contig_275-AGFRAG.txt","2R_Piece#2198")</f>
        <v>2R_Piece#2198</v>
      </c>
      <c r="M286" s="4">
        <v>3E-80</v>
      </c>
      <c r="N286" s="2" t="str">
        <f>HYPERLINK("http://exon.niaid.nih.gov/transcriptome/An_gambiae_male_2006/ST1/links/AGM-contig_275-AG3P.txt","ENSANGP00000013354")</f>
        <v>ENSANGP00000013354</v>
      </c>
      <c r="O286" s="1" t="str">
        <f>HYPERLINK("http://www.anobase.org/cgi-bin/uniexcel_new_var6.pl?proteinname=ENSANGP00000013354","6.E-81")</f>
        <v>6.E-81</v>
      </c>
      <c r="AA286" s="2" t="str">
        <f>HYPERLINK("http://exon.niaid.nih.gov/transcriptome/An_gambiae_male_2006/ST1/links/AGM-contig_275-AGNUC.txt","AG-contig_856")</f>
        <v>AG-contig_856</v>
      </c>
      <c r="AB286" s="1">
        <v>3E-69</v>
      </c>
      <c r="AG286" s="6" t="s">
        <v>511</v>
      </c>
      <c r="AH286" s="6" t="s">
        <v>511</v>
      </c>
      <c r="AJ286" s="6">
        <f>AJ285+1</f>
        <v>137</v>
      </c>
    </row>
    <row r="287" spans="1:36" ht="9.75">
      <c r="A287" t="str">
        <f>HYPERLINK("http://exon.niaid.nih.gov/transcriptome/An_gambiae_male_2006/ST1/links/AGM-contig_198.txt","AGM-contig_198")</f>
        <v>AGM-contig_198</v>
      </c>
      <c r="B287" s="1">
        <v>1</v>
      </c>
      <c r="C287" s="1">
        <v>93</v>
      </c>
      <c r="D287" s="1">
        <f>D286+B287</f>
        <v>148</v>
      </c>
      <c r="E287" s="1">
        <v>5.4</v>
      </c>
      <c r="F287" s="1">
        <v>91.4</v>
      </c>
      <c r="G287" s="1">
        <v>13</v>
      </c>
      <c r="H287" t="str">
        <f>HYPERLINK("http://exon.niaid.nih.gov/transcriptome/An_gambiae_male_2006/ST1/links/AGM-7-90-90-asb-198.txt","Contig-198")</f>
        <v>Contig-198</v>
      </c>
      <c r="I287" s="1">
        <v>198</v>
      </c>
      <c r="J287" t="str">
        <f>HYPERLINK("http://exon.niaid.nih.gov/transcriptome/An_gambiae_male_2006/ST1/links/AGM-7-90-90-198-CLU.txt","Contig198")</f>
        <v>Contig198</v>
      </c>
      <c r="K287" t="s">
        <v>651</v>
      </c>
      <c r="AG287" s="6" t="s">
        <v>511</v>
      </c>
      <c r="AH287" s="6" t="s">
        <v>511</v>
      </c>
      <c r="AJ287" s="6">
        <f>AJ286+1</f>
        <v>138</v>
      </c>
    </row>
    <row r="288" spans="1:36" ht="9.75">
      <c r="A288" t="str">
        <f>HYPERLINK("http://exon.niaid.nih.gov/transcriptome/An_gambiae_male_2006/ST1/links/AGM-contig_308.txt","AGM-contig_308")</f>
        <v>AGM-contig_308</v>
      </c>
      <c r="B288" s="1">
        <v>1</v>
      </c>
      <c r="C288" s="1">
        <v>120</v>
      </c>
      <c r="D288" s="1">
        <f>D287+B288</f>
        <v>149</v>
      </c>
      <c r="E288" s="1" t="s">
        <v>209</v>
      </c>
      <c r="F288" s="1">
        <v>58.3</v>
      </c>
      <c r="G288" s="1" t="s">
        <v>260</v>
      </c>
      <c r="H288" t="str">
        <f>HYPERLINK("http://exon.niaid.nih.gov/transcriptome/An_gambiae_male_2006/ST1/links/AGM-7-90-90-asb-308.txt","Contig-308")</f>
        <v>Contig-308</v>
      </c>
      <c r="I288" s="1">
        <v>308</v>
      </c>
      <c r="J288" t="str">
        <f>HYPERLINK("http://exon.niaid.nih.gov/transcriptome/An_gambiae_male_2006/ST1/links/AGM-7-90-90-308-CLU.txt","Contig308")</f>
        <v>Contig308</v>
      </c>
      <c r="K288" t="s">
        <v>175</v>
      </c>
      <c r="L288" s="2" t="str">
        <f>HYPERLINK("http://exon.niaid.nih.gov/transcriptome/An_gambiae_male_2006/ST1/links/AGM-contig_308-AGFRAG.txt","2L_Piece#507")</f>
        <v>2L_Piece#507</v>
      </c>
      <c r="M288" s="4">
        <v>6E-56</v>
      </c>
      <c r="N288" s="2" t="str">
        <f>HYPERLINK("http://exon.niaid.nih.gov/transcriptome/An_gambiae_male_2006/ST1/links/AGM-contig_308-AG3P.txt","ENSANGP00000003834")</f>
        <v>ENSANGP00000003834</v>
      </c>
      <c r="O288" s="1" t="str">
        <f>HYPERLINK("http://www.anobase.org/cgi-bin/uniexcel_new_var6.pl?proteinname=ENSANGP00000003834","1.E-56")</f>
        <v>1.E-56</v>
      </c>
      <c r="AG288" s="6" t="s">
        <v>511</v>
      </c>
      <c r="AH288" s="6" t="s">
        <v>511</v>
      </c>
      <c r="AJ288" s="6">
        <f>AJ287+1</f>
        <v>139</v>
      </c>
    </row>
    <row r="289" spans="1:36" ht="9.75">
      <c r="A289" t="str">
        <f>HYPERLINK("http://exon.niaid.nih.gov/transcriptome/An_gambiae_male_2006/ST1/links/AGM-contig_21.txt","AGM-contig_21")</f>
        <v>AGM-contig_21</v>
      </c>
      <c r="B289" s="1">
        <v>1</v>
      </c>
      <c r="C289" s="1">
        <v>218</v>
      </c>
      <c r="D289" s="1">
        <f>D288+B289</f>
        <v>150</v>
      </c>
      <c r="E289" s="1">
        <v>0.9</v>
      </c>
      <c r="F289" s="1">
        <v>86.7</v>
      </c>
      <c r="G289" s="1">
        <v>72</v>
      </c>
      <c r="H289" t="str">
        <f>HYPERLINK("http://exon.niaid.nih.gov/transcriptome/An_gambiae_male_2006/ST1/links/AGM-7-90-90-asb-21.txt","Contig-21")</f>
        <v>Contig-21</v>
      </c>
      <c r="I289" s="1">
        <v>21</v>
      </c>
      <c r="J289" t="str">
        <f>HYPERLINK("http://exon.niaid.nih.gov/transcriptome/An_gambiae_male_2006/ST1/links/AGM-7-90-90-21-CLU.txt","Contig21")</f>
        <v>Contig21</v>
      </c>
      <c r="K289" t="s">
        <v>230</v>
      </c>
      <c r="AG289" s="6" t="s">
        <v>511</v>
      </c>
      <c r="AH289" s="6" t="s">
        <v>511</v>
      </c>
      <c r="AJ289" s="6">
        <f>AJ288+1</f>
        <v>140</v>
      </c>
    </row>
    <row r="290" spans="1:36" ht="9.75">
      <c r="A290" t="str">
        <f>HYPERLINK("http://exon.niaid.nih.gov/transcriptome/An_gambiae_male_2006/ST1/links/AGM-contig_267.txt","AGM-contig_267")</f>
        <v>AGM-contig_267</v>
      </c>
      <c r="B290" s="1">
        <v>1</v>
      </c>
      <c r="C290" s="1">
        <v>130</v>
      </c>
      <c r="D290" s="1">
        <f>D289+B290</f>
        <v>151</v>
      </c>
      <c r="E290" s="1">
        <v>0.8</v>
      </c>
      <c r="F290" s="1">
        <v>76.2</v>
      </c>
      <c r="G290" s="1">
        <v>78</v>
      </c>
      <c r="H290" t="str">
        <f>HYPERLINK("http://exon.niaid.nih.gov/transcriptome/An_gambiae_male_2006/ST1/links/AGM-7-90-90-asb-267.txt","Contig-267")</f>
        <v>Contig-267</v>
      </c>
      <c r="I290" s="1">
        <v>267</v>
      </c>
      <c r="J290" t="str">
        <f>HYPERLINK("http://exon.niaid.nih.gov/transcriptome/An_gambiae_male_2006/ST1/links/AGM-7-90-90-267-CLU.txt","Contig267")</f>
        <v>Contig267</v>
      </c>
      <c r="K290" t="s">
        <v>720</v>
      </c>
      <c r="L290" s="2" t="str">
        <f>HYPERLINK("http://exon.niaid.nih.gov/transcriptome/An_gambiae_male_2006/ST1/links/AGM-contig_267-AGFRAG.txt","2R_Piece#121")</f>
        <v>2R_Piece#121</v>
      </c>
      <c r="M290" s="4">
        <v>8E-34</v>
      </c>
      <c r="P290" s="2" t="str">
        <f>HYPERLINK("http://exon.niaid.nih.gov/transcriptome/An_gambiae_male_2006/ST1/links/AGM-contig_267-AG5P.txt","ENSANGP00000009771")</f>
        <v>ENSANGP00000009771</v>
      </c>
      <c r="Q290" s="4" t="str">
        <f>HYPERLINK("http://www.anobase.org/cgi-bin/uniexcel_new_var6.pl?proteinname=ENSANGP00000009771","2.E-34")</f>
        <v>2.E-34</v>
      </c>
      <c r="AG290" s="6" t="s">
        <v>511</v>
      </c>
      <c r="AH290" s="6" t="s">
        <v>511</v>
      </c>
      <c r="AJ290" s="6">
        <f>AJ289+1</f>
        <v>141</v>
      </c>
    </row>
    <row r="291" spans="1:36" ht="9.75">
      <c r="A291" t="str">
        <f>HYPERLINK("http://exon.niaid.nih.gov/transcriptome/An_gambiae_male_2006/ST1/links/AGM-contig_301.txt","AGM-contig_301")</f>
        <v>AGM-contig_301</v>
      </c>
      <c r="B291" s="1">
        <v>1</v>
      </c>
      <c r="C291" s="1">
        <v>103</v>
      </c>
      <c r="D291" s="1">
        <f>D290+B291</f>
        <v>152</v>
      </c>
      <c r="E291" s="1" t="s">
        <v>209</v>
      </c>
      <c r="F291" s="1">
        <v>73.8</v>
      </c>
      <c r="G291" s="1">
        <v>84</v>
      </c>
      <c r="H291" t="str">
        <f>HYPERLINK("http://exon.niaid.nih.gov/transcriptome/An_gambiae_male_2006/ST1/links/AGM-7-90-90-asb-301.txt","Contig-301")</f>
        <v>Contig-301</v>
      </c>
      <c r="I291" s="1">
        <v>301</v>
      </c>
      <c r="J291" t="str">
        <f>HYPERLINK("http://exon.niaid.nih.gov/transcriptome/An_gambiae_male_2006/ST1/links/AGM-7-90-90-301-CLU.txt","Contig301")</f>
        <v>Contig301</v>
      </c>
      <c r="K291" t="s">
        <v>168</v>
      </c>
      <c r="L291" s="2" t="str">
        <f>HYPERLINK("http://exon.niaid.nih.gov/transcriptome/An_gambiae_male_2006/ST1/links/AGM-contig_301-AGFRAG.txt","X_Piece#379")</f>
        <v>X_Piece#379</v>
      </c>
      <c r="M291" s="4">
        <v>9E-33</v>
      </c>
      <c r="P291" s="2" t="str">
        <f>HYPERLINK("http://exon.niaid.nih.gov/transcriptome/An_gambiae_male_2006/ST1/links/AGM-contig_301-AG5P.txt","ENSANGP00000017366")</f>
        <v>ENSANGP00000017366</v>
      </c>
      <c r="Q291" s="4" t="str">
        <f>HYPERLINK("http://www.anobase.org/cgi-bin/uniexcel_new_var6.pl?proteinname=ENSANGP00000017366","2.E-33")</f>
        <v>2.E-33</v>
      </c>
      <c r="AG291" s="6" t="s">
        <v>511</v>
      </c>
      <c r="AH291" s="6" t="s">
        <v>511</v>
      </c>
      <c r="AJ291" s="6">
        <f>AJ290+1</f>
        <v>142</v>
      </c>
    </row>
    <row r="292" spans="1:36" ht="9.75">
      <c r="A292" t="str">
        <f>HYPERLINK("http://exon.niaid.nih.gov/transcriptome/An_gambiae_male_2006/ST1/links/AGM-contig_309.txt","AGM-contig_309")</f>
        <v>AGM-contig_309</v>
      </c>
      <c r="B292" s="1">
        <v>1</v>
      </c>
      <c r="C292" s="1">
        <v>140</v>
      </c>
      <c r="D292" s="1">
        <f>D291+B292</f>
        <v>153</v>
      </c>
      <c r="E292" s="1" t="s">
        <v>209</v>
      </c>
      <c r="F292" s="1">
        <v>75</v>
      </c>
      <c r="G292" s="1">
        <v>97</v>
      </c>
      <c r="H292" t="str">
        <f>HYPERLINK("http://exon.niaid.nih.gov/transcriptome/An_gambiae_male_2006/ST1/links/AGM-7-90-90-asb-309.txt","Contig-309")</f>
        <v>Contig-309</v>
      </c>
      <c r="I292" s="1">
        <v>309</v>
      </c>
      <c r="J292" t="str">
        <f>HYPERLINK("http://exon.niaid.nih.gov/transcriptome/An_gambiae_male_2006/ST1/links/AGM-7-90-90-309-CLU.txt","Contig309")</f>
        <v>Contig309</v>
      </c>
      <c r="K292" t="s">
        <v>176</v>
      </c>
      <c r="L292" s="2" t="str">
        <f>HYPERLINK("http://exon.niaid.nih.gov/transcriptome/An_gambiae_male_2006/ST1/links/AGM-contig_309-AGFRAG.txt","3R_Piece#51")</f>
        <v>3R_Piece#51</v>
      </c>
      <c r="M292" s="4">
        <v>5E-29</v>
      </c>
      <c r="N292" s="2" t="str">
        <f>HYPERLINK("http://exon.niaid.nih.gov/transcriptome/An_gambiae_male_2006/ST1/links/AGM-contig_309-AG3P.txt","ENSANGP00000010348")</f>
        <v>ENSANGP00000010348</v>
      </c>
      <c r="O292" s="1" t="str">
        <f>HYPERLINK("http://www.anobase.org/cgi-bin/uniexcel_new_var6.pl?proteinname=ENSANGP00000010348","1.E-29")</f>
        <v>1.E-29</v>
      </c>
      <c r="AG292" s="6" t="s">
        <v>511</v>
      </c>
      <c r="AH292" s="6" t="s">
        <v>511</v>
      </c>
      <c r="AJ292" s="6">
        <f>AJ291+1</f>
        <v>143</v>
      </c>
    </row>
    <row r="293" spans="1:36" ht="9.75">
      <c r="A293" t="str">
        <f>HYPERLINK("http://exon.niaid.nih.gov/transcriptome/An_gambiae_male_2006/ST1/links/AGM-contig_304.txt","AGM-contig_304")</f>
        <v>AGM-contig_304</v>
      </c>
      <c r="B293" s="1">
        <v>1</v>
      </c>
      <c r="C293" s="1">
        <v>102</v>
      </c>
      <c r="D293" s="1">
        <f>D292+B293</f>
        <v>154</v>
      </c>
      <c r="E293" s="1">
        <v>3.9</v>
      </c>
      <c r="F293" s="1">
        <v>69.6</v>
      </c>
      <c r="G293" s="1">
        <v>53</v>
      </c>
      <c r="H293" t="str">
        <f>HYPERLINK("http://exon.niaid.nih.gov/transcriptome/An_gambiae_male_2006/ST1/links/AGM-7-90-90-asb-304.txt","Contig-304")</f>
        <v>Contig-304</v>
      </c>
      <c r="I293" s="1">
        <v>304</v>
      </c>
      <c r="J293" t="str">
        <f>HYPERLINK("http://exon.niaid.nih.gov/transcriptome/An_gambiae_male_2006/ST1/links/AGM-7-90-90-304-CLU.txt","Contig304")</f>
        <v>Contig304</v>
      </c>
      <c r="K293" t="s">
        <v>171</v>
      </c>
      <c r="L293" s="2" t="str">
        <f>HYPERLINK("http://exon.niaid.nih.gov/transcriptome/An_gambiae_male_2006/ST1/links/AGM-contig_304-AGFRAG.txt","UNKN_Piece#175")</f>
        <v>UNKN_Piece#175</v>
      </c>
      <c r="M293" s="4">
        <v>3E-17</v>
      </c>
      <c r="N293" s="2" t="str">
        <f>HYPERLINK("http://exon.niaid.nih.gov/transcriptome/An_gambiae_male_2006/ST1/links/AGM-contig_304-AG3P.txt","ENSANGP00000006764")</f>
        <v>ENSANGP00000006764</v>
      </c>
      <c r="O293" s="1" t="str">
        <f>HYPERLINK("http://www.anobase.org/cgi-bin/uniexcel_new_var6.pl?proteinname=ENSANGP00000006764","6.E-15")</f>
        <v>6.E-15</v>
      </c>
      <c r="AG293" s="6" t="s">
        <v>511</v>
      </c>
      <c r="AH293" s="6" t="s">
        <v>511</v>
      </c>
      <c r="AJ293" s="6">
        <f>AJ292+1</f>
        <v>144</v>
      </c>
    </row>
    <row r="294" spans="1:36" ht="9.75">
      <c r="A294" t="str">
        <f>HYPERLINK("http://exon.niaid.nih.gov/transcriptome/An_gambiae_male_2006/ST1/links/AGM-contig_270.txt","AGM-contig_270")</f>
        <v>AGM-contig_270</v>
      </c>
      <c r="B294" s="1">
        <v>1</v>
      </c>
      <c r="C294" s="1">
        <v>113</v>
      </c>
      <c r="D294" s="1">
        <f>D293+B294</f>
        <v>155</v>
      </c>
      <c r="E294" s="1">
        <v>6.2</v>
      </c>
      <c r="F294" s="1">
        <v>60.2</v>
      </c>
      <c r="G294" s="1">
        <v>55</v>
      </c>
      <c r="H294" t="str">
        <f>HYPERLINK("http://exon.niaid.nih.gov/transcriptome/An_gambiae_male_2006/ST1/links/AGM-7-90-90-asb-270.txt","Contig-270")</f>
        <v>Contig-270</v>
      </c>
      <c r="I294" s="1">
        <v>270</v>
      </c>
      <c r="J294" t="str">
        <f>HYPERLINK("http://exon.niaid.nih.gov/transcriptome/An_gambiae_male_2006/ST1/links/AGM-7-90-90-270-CLU.txt","Contig270")</f>
        <v>Contig270</v>
      </c>
      <c r="K294" t="s">
        <v>723</v>
      </c>
      <c r="L294" s="2" t="str">
        <f>HYPERLINK("http://exon.niaid.nih.gov/transcriptome/An_gambiae_male_2006/ST1/links/AGM-contig_270-AGFRAG.txt","X_Piece#468")</f>
        <v>X_Piece#468</v>
      </c>
      <c r="M294" s="4">
        <v>7E-09</v>
      </c>
      <c r="N294" s="2" t="str">
        <f>HYPERLINK("http://exon.niaid.nih.gov/transcriptome/An_gambiae_male_2006/ST1/links/AGM-contig_270-AG3P.txt","ENSANGP00000019081")</f>
        <v>ENSANGP00000019081</v>
      </c>
      <c r="O294" s="1" t="str">
        <f>HYPERLINK("http://www.anobase.org/cgi-bin/uniexcel_new_var6.pl?proteinname=ENSANGP00000019081","2.E-09")</f>
        <v>2.E-09</v>
      </c>
      <c r="AG294" s="6" t="s">
        <v>511</v>
      </c>
      <c r="AH294" s="6" t="s">
        <v>511</v>
      </c>
      <c r="AJ294" s="6">
        <f>AJ293+1</f>
        <v>145</v>
      </c>
    </row>
    <row r="295" spans="1:36" ht="9.75">
      <c r="A295" t="str">
        <f>HYPERLINK("http://exon.niaid.nih.gov/transcriptome/An_gambiae_male_2006/ST1/links/AGM-contig_312.txt","AGM-contig_312")</f>
        <v>AGM-contig_312</v>
      </c>
      <c r="B295" s="1">
        <v>1</v>
      </c>
      <c r="C295" s="1">
        <v>145</v>
      </c>
      <c r="D295" s="1">
        <f>D294+B295</f>
        <v>156</v>
      </c>
      <c r="E295" s="1">
        <v>4.1</v>
      </c>
      <c r="F295" s="1">
        <v>71</v>
      </c>
      <c r="G295" s="1">
        <v>85</v>
      </c>
      <c r="H295" t="str">
        <f>HYPERLINK("http://exon.niaid.nih.gov/transcriptome/An_gambiae_male_2006/ST1/links/AGM-7-90-90-asb-312.txt","Contig-312")</f>
        <v>Contig-312</v>
      </c>
      <c r="I295" s="1">
        <v>312</v>
      </c>
      <c r="J295" t="str">
        <f>HYPERLINK("http://exon.niaid.nih.gov/transcriptome/An_gambiae_male_2006/ST1/links/AGM-7-90-90-312-CLU.txt","Contig312")</f>
        <v>Contig312</v>
      </c>
      <c r="K295" t="s">
        <v>179</v>
      </c>
      <c r="L295" s="2" t="str">
        <f>HYPERLINK("http://exon.niaid.nih.gov/transcriptome/An_gambiae_male_2006/ST1/links/AGM-contig_312-AGFRAG.txt","2R_Piece#2138")</f>
        <v>2R_Piece#2138</v>
      </c>
      <c r="M295" s="4">
        <v>1E-08</v>
      </c>
      <c r="N295" s="2" t="str">
        <f>HYPERLINK("http://exon.niaid.nih.gov/transcriptome/An_gambiae_male_2006/ST1/links/AGM-contig_312-AG3P.txt","ENSANGP00000012820")</f>
        <v>ENSANGP00000012820</v>
      </c>
      <c r="O295" s="1" t="str">
        <f>HYPERLINK("http://www.anobase.org/cgi-bin/uniexcel_new_var6.pl?proteinname=ENSANGP00000012820","2.E-09")</f>
        <v>2.E-09</v>
      </c>
      <c r="AA295" s="2" t="str">
        <f>HYPERLINK("http://exon.niaid.nih.gov/transcriptome/An_gambiae_male_2006/ST1/links/AGM-contig_312-AGNUC.txt","AG-contig_482")</f>
        <v>AG-contig_482</v>
      </c>
      <c r="AB295" s="1">
        <v>8E-14</v>
      </c>
      <c r="AC295" s="2" t="str">
        <f>HYPERLINK("http://exon.niaid.nih.gov/transcriptome/An_gambiae_male_2006/ST1/links/AGM-contig_312-NR.txt","tractin - medicinal leech &gt;gnl|BL_ORD_ID|")</f>
        <v>tractin - medicinal leech &gt;gnl|BL_ORD_ID|</v>
      </c>
      <c r="AD295" s="1" t="str">
        <f>HYPERLINK("http://www.ncbi.nlm.nih.gov/sutils/blink.cgi?pid=7511705","3E-004")</f>
        <v>3E-004</v>
      </c>
      <c r="AE295" s="1" t="s">
        <v>313</v>
      </c>
      <c r="AF295" s="9" t="s">
        <v>431</v>
      </c>
      <c r="AG295" s="6" t="s">
        <v>511</v>
      </c>
      <c r="AH295" s="6" t="s">
        <v>511</v>
      </c>
      <c r="AJ295" s="6">
        <f>AJ294+1</f>
        <v>146</v>
      </c>
    </row>
    <row r="296" spans="1:36" ht="9.75">
      <c r="A296" t="str">
        <f>HYPERLINK("http://exon.niaid.nih.gov/transcriptome/An_gambiae_male_2006/ST1/links/AGM-contig_355.txt","AGM-contig_355")</f>
        <v>AGM-contig_355</v>
      </c>
      <c r="B296" s="1">
        <v>1</v>
      </c>
      <c r="C296" s="1">
        <v>137</v>
      </c>
      <c r="D296" s="1">
        <f>D295+B296</f>
        <v>157</v>
      </c>
      <c r="E296" s="1">
        <v>4.4</v>
      </c>
      <c r="F296" s="1">
        <v>65</v>
      </c>
      <c r="G296" s="1">
        <v>81</v>
      </c>
      <c r="H296" t="str">
        <f>HYPERLINK("http://exon.niaid.nih.gov/transcriptome/An_gambiae_male_2006/ST1/links/AGM-7-90-90-asb-355.txt","Contig-355")</f>
        <v>Contig-355</v>
      </c>
      <c r="I296" s="1">
        <v>355</v>
      </c>
      <c r="J296" t="str">
        <f>HYPERLINK("http://exon.niaid.nih.gov/transcriptome/An_gambiae_male_2006/ST1/links/AGM-7-90-90-355-CLU.txt","Contig355")</f>
        <v>Contig355</v>
      </c>
      <c r="K296" t="s">
        <v>295</v>
      </c>
      <c r="L296" s="2" t="str">
        <f>HYPERLINK("http://exon.niaid.nih.gov/transcriptome/An_gambiae_male_2006/ST1/links/AGM-contig_355-AGFRAG.txt","2L_Piece#312")</f>
        <v>2L_Piece#312</v>
      </c>
      <c r="M296" s="4">
        <v>8E-37</v>
      </c>
      <c r="AG296" s="6" t="s">
        <v>418</v>
      </c>
      <c r="AH296" s="6" t="s">
        <v>511</v>
      </c>
      <c r="AI296" s="6" t="s">
        <v>260</v>
      </c>
      <c r="AJ296" s="6">
        <f>AJ295+1</f>
        <v>147</v>
      </c>
    </row>
    <row r="297" spans="1:36" ht="9.75">
      <c r="A297" t="str">
        <f>HYPERLINK("http://exon.niaid.nih.gov/transcriptome/An_gambiae_male_2006/ST1/links/AGM-contig_249.txt","AGM-contig_249")</f>
        <v>AGM-contig_249</v>
      </c>
      <c r="B297" s="1">
        <v>1</v>
      </c>
      <c r="C297" s="1">
        <v>164</v>
      </c>
      <c r="D297" s="1">
        <f>D296+B297</f>
        <v>158</v>
      </c>
      <c r="E297" s="1" t="s">
        <v>209</v>
      </c>
      <c r="F297" s="1">
        <v>68.3</v>
      </c>
      <c r="G297" s="1">
        <v>145</v>
      </c>
      <c r="H297" t="str">
        <f>HYPERLINK("http://exon.niaid.nih.gov/transcriptome/An_gambiae_male_2006/ST1/links/AGM-7-90-90-asb-249.txt","Contig-249")</f>
        <v>Contig-249</v>
      </c>
      <c r="I297" s="1">
        <v>249</v>
      </c>
      <c r="J297" t="str">
        <f>HYPERLINK("http://exon.niaid.nih.gov/transcriptome/An_gambiae_male_2006/ST1/links/AGM-7-90-90-249-CLU.txt","Contig249")</f>
        <v>Contig249</v>
      </c>
      <c r="K297" t="s">
        <v>702</v>
      </c>
      <c r="L297" s="2" t="str">
        <f>HYPERLINK("http://exon.niaid.nih.gov/transcriptome/An_gambiae_male_2006/ST1/links/AGM-contig_249-AGFRAG.txt","2L_Piece#966")</f>
        <v>2L_Piece#966</v>
      </c>
      <c r="M297" s="4">
        <v>4E-76</v>
      </c>
      <c r="AG297" s="6" t="s">
        <v>511</v>
      </c>
      <c r="AH297" s="6" t="s">
        <v>511</v>
      </c>
      <c r="AJ297" s="6">
        <f>AJ296+1</f>
        <v>148</v>
      </c>
    </row>
    <row r="298" spans="1:36" ht="9.75">
      <c r="A298" t="str">
        <f>HYPERLINK("http://exon.niaid.nih.gov/transcriptome/An_gambiae_male_2006/ST1/links/AGM-contig_156.txt","AGM-contig_156")</f>
        <v>AGM-contig_156</v>
      </c>
      <c r="B298" s="1">
        <v>1</v>
      </c>
      <c r="C298" s="1">
        <v>142</v>
      </c>
      <c r="D298" s="1">
        <f>D297+B298</f>
        <v>159</v>
      </c>
      <c r="E298" s="1" t="s">
        <v>209</v>
      </c>
      <c r="F298" s="1">
        <v>69</v>
      </c>
      <c r="G298" s="1">
        <v>92</v>
      </c>
      <c r="H298" t="str">
        <f>HYPERLINK("http://exon.niaid.nih.gov/transcriptome/An_gambiae_male_2006/ST1/links/AGM-7-90-90-asb-156.txt","Contig-156")</f>
        <v>Contig-156</v>
      </c>
      <c r="I298" s="1">
        <v>156</v>
      </c>
      <c r="J298" t="str">
        <f>HYPERLINK("http://exon.niaid.nih.gov/transcriptome/An_gambiae_male_2006/ST1/links/AGM-7-90-90-156-CLU.txt","Contig156")</f>
        <v>Contig156</v>
      </c>
      <c r="K298" t="s">
        <v>609</v>
      </c>
      <c r="L298" s="2" t="str">
        <f>HYPERLINK("http://exon.niaid.nih.gov/transcriptome/An_gambiae_male_2006/ST1/links/AGM-contig_156-AGFRAG.txt","3L_Piece#1426")</f>
        <v>3L_Piece#1426</v>
      </c>
      <c r="M298" s="4">
        <v>3E-27</v>
      </c>
      <c r="AG298" s="6" t="s">
        <v>511</v>
      </c>
      <c r="AH298" s="6" t="s">
        <v>511</v>
      </c>
      <c r="AJ298" s="6">
        <f>AJ297+1</f>
        <v>149</v>
      </c>
    </row>
    <row r="299" spans="1:36" ht="9.75">
      <c r="A299" t="str">
        <f>HYPERLINK("http://exon.niaid.nih.gov/transcriptome/An_gambiae_male_2006/ST1/links/AGM-contig_169.txt","AGM-contig_169")</f>
        <v>AGM-contig_169</v>
      </c>
      <c r="B299" s="1">
        <v>1</v>
      </c>
      <c r="C299" s="1">
        <v>120</v>
      </c>
      <c r="D299" s="1">
        <f>D298+B299</f>
        <v>160</v>
      </c>
      <c r="E299" s="1">
        <v>2.5</v>
      </c>
      <c r="F299" s="1">
        <v>80</v>
      </c>
      <c r="G299" s="1">
        <v>69</v>
      </c>
      <c r="H299" t="str">
        <f>HYPERLINK("http://exon.niaid.nih.gov/transcriptome/An_gambiae_male_2006/ST1/links/AGM-7-90-90-asb-169.txt","Contig-169")</f>
        <v>Contig-169</v>
      </c>
      <c r="I299" s="1">
        <v>169</v>
      </c>
      <c r="J299" t="str">
        <f>HYPERLINK("http://exon.niaid.nih.gov/transcriptome/An_gambiae_male_2006/ST1/links/AGM-7-90-90-169-CLU.txt","Contig169")</f>
        <v>Contig169</v>
      </c>
      <c r="K299" t="s">
        <v>622</v>
      </c>
      <c r="L299" s="2" t="str">
        <f>HYPERLINK("http://exon.niaid.nih.gov/transcriptome/An_gambiae_male_2006/ST1/links/AGM-contig_169-AGFRAG.txt","3R_Piece#543")</f>
        <v>3R_Piece#543</v>
      </c>
      <c r="M299" s="4">
        <v>4E-23</v>
      </c>
      <c r="AA299" s="2" t="str">
        <f>HYPERLINK("http://exon.niaid.nih.gov/transcriptome/An_gambiae_male_2006/ST1/links/AGM-contig_169-AGNUC.txt","AG-contig_282")</f>
        <v>AG-contig_282</v>
      </c>
      <c r="AB299" s="1">
        <v>8E-26</v>
      </c>
      <c r="AG299" s="6" t="s">
        <v>511</v>
      </c>
      <c r="AH299" s="6" t="s">
        <v>511</v>
      </c>
      <c r="AJ299" s="6">
        <f>AJ298+1</f>
        <v>150</v>
      </c>
    </row>
    <row r="300" spans="1:36" ht="9.75">
      <c r="A300" t="str">
        <f>HYPERLINK("http://exon.niaid.nih.gov/transcriptome/An_gambiae_male_2006/ST1/links/AGM-contig_347.txt","AGM-contig_347")</f>
        <v>AGM-contig_347</v>
      </c>
      <c r="B300" s="1">
        <v>1</v>
      </c>
      <c r="C300" s="1">
        <v>123</v>
      </c>
      <c r="D300" s="1">
        <f>D299+B300</f>
        <v>161</v>
      </c>
      <c r="E300" s="1">
        <v>4.1</v>
      </c>
      <c r="F300" s="1">
        <v>78.9</v>
      </c>
      <c r="G300" s="1">
        <v>49</v>
      </c>
      <c r="H300" t="str">
        <f>HYPERLINK("http://exon.niaid.nih.gov/transcriptome/An_gambiae_male_2006/ST1/links/AGM-7-90-90-asb-347.txt","Contig-347")</f>
        <v>Contig-347</v>
      </c>
      <c r="I300" s="1">
        <v>347</v>
      </c>
      <c r="J300" t="str">
        <f>HYPERLINK("http://exon.niaid.nih.gov/transcriptome/An_gambiae_male_2006/ST1/links/AGM-7-90-90-347-CLU.txt","Contig347")</f>
        <v>Contig347</v>
      </c>
      <c r="K300" t="s">
        <v>287</v>
      </c>
      <c r="L300" s="2" t="str">
        <f>HYPERLINK("http://exon.niaid.nih.gov/transcriptome/An_gambiae_male_2006/ST1/links/AGM-contig_347-AGFRAG.txt","2L_Piece#1000")</f>
        <v>2L_Piece#1000</v>
      </c>
      <c r="M300" s="4">
        <v>8E-12</v>
      </c>
      <c r="AG300" s="6" t="s">
        <v>511</v>
      </c>
      <c r="AH300" s="6" t="s">
        <v>511</v>
      </c>
      <c r="AJ300" s="6">
        <f>AJ299+1</f>
        <v>151</v>
      </c>
    </row>
    <row r="301" spans="1:36" ht="9.75">
      <c r="A301" t="str">
        <f>HYPERLINK("http://exon.niaid.nih.gov/transcriptome/An_gambiae_male_2006/ST1/links/AGM-contig_208.txt","AGM-contig_208")</f>
        <v>AGM-contig_208</v>
      </c>
      <c r="B301" s="1">
        <v>1</v>
      </c>
      <c r="C301" s="1">
        <v>141</v>
      </c>
      <c r="D301" s="1">
        <f>D300+B301</f>
        <v>162</v>
      </c>
      <c r="E301" s="1">
        <v>2.1</v>
      </c>
      <c r="F301" s="1">
        <v>53.2</v>
      </c>
      <c r="G301" s="1">
        <v>122</v>
      </c>
      <c r="H301" t="str">
        <f>HYPERLINK("http://exon.niaid.nih.gov/transcriptome/An_gambiae_male_2006/ST1/links/AGM-7-90-90-asb-208.txt","Contig-208")</f>
        <v>Contig-208</v>
      </c>
      <c r="I301" s="1">
        <v>208</v>
      </c>
      <c r="J301" t="str">
        <f>HYPERLINK("http://exon.niaid.nih.gov/transcriptome/An_gambiae_male_2006/ST1/links/AGM-7-90-90-208-CLU.txt","Contig208")</f>
        <v>Contig208</v>
      </c>
      <c r="K301" t="s">
        <v>661</v>
      </c>
      <c r="L301" s="2" t="str">
        <f>HYPERLINK("http://exon.niaid.nih.gov/transcriptome/An_gambiae_male_2006/ST1/links/AGM-contig_208-AGFRAG.txt","2R_Piece#618")</f>
        <v>2R_Piece#618</v>
      </c>
      <c r="M301" s="4">
        <v>6E-07</v>
      </c>
      <c r="AA301" s="2" t="str">
        <f>HYPERLINK("http://exon.niaid.nih.gov/transcriptome/An_gambiae_male_2006/ST1/links/AGM-contig_208-AGNUC.txt","AG-contig_104")</f>
        <v>AG-contig_104</v>
      </c>
      <c r="AB301" s="1">
        <v>3E-13</v>
      </c>
      <c r="AC301" s="2" t="str">
        <f>HYPERLINK("http://exon.niaid.nih.gov/transcriptome/An_gambiae_male_2006/ST1/links/AGM-contig_208-NR.txt","GA13919-PA [Drosophila pseudoobscura]       31   8.5")</f>
        <v>GA13919-PA [Drosophila pseudoobscura]       31   8.5</v>
      </c>
      <c r="AD301" s="1" t="str">
        <f>HYPERLINK("http://www.ncbi.nlm.nih.gov/sutils/blink.cgi?pid=54643684","8.5")</f>
        <v>8.5</v>
      </c>
      <c r="AE301" s="1" t="s">
        <v>314</v>
      </c>
      <c r="AF301" s="9" t="s">
        <v>133</v>
      </c>
      <c r="AG301" s="6" t="s">
        <v>511</v>
      </c>
      <c r="AH301" s="6" t="s">
        <v>511</v>
      </c>
      <c r="AJ301" s="6">
        <f>AJ300+1</f>
        <v>152</v>
      </c>
    </row>
    <row r="302" spans="1:36" ht="9.75">
      <c r="A302" t="str">
        <f>HYPERLINK("http://exon.niaid.nih.gov/transcriptome/An_gambiae_male_2006/ST1/links/AGM-contig_42.txt","AGM-contig_42")</f>
        <v>AGM-contig_42</v>
      </c>
      <c r="B302" s="1">
        <v>1</v>
      </c>
      <c r="C302" s="1">
        <v>101</v>
      </c>
      <c r="D302" s="1">
        <f>D301+B302</f>
        <v>163</v>
      </c>
      <c r="E302" s="1">
        <v>1</v>
      </c>
      <c r="F302" s="1">
        <v>90.1</v>
      </c>
      <c r="G302" s="1">
        <v>29</v>
      </c>
      <c r="H302" t="str">
        <f>HYPERLINK("http://exon.niaid.nih.gov/transcriptome/An_gambiae_male_2006/ST1/links/AGM-7-90-90-asb-42.txt","Contig-42")</f>
        <v>Contig-42</v>
      </c>
      <c r="I302" s="1">
        <v>42</v>
      </c>
      <c r="J302" t="str">
        <f>HYPERLINK("http://exon.niaid.nih.gov/transcriptome/An_gambiae_male_2006/ST1/links/AGM-7-90-90-42-CLU.txt","Contig42")</f>
        <v>Contig42</v>
      </c>
      <c r="K302" t="s">
        <v>251</v>
      </c>
      <c r="AA302" s="2" t="str">
        <f>HYPERLINK("http://exon.niaid.nih.gov/transcriptome/An_gambiae_male_2006/ST1/links/AGM-contig_42-AGNUC.txt","AG-contig_150")</f>
        <v>AG-contig_150</v>
      </c>
      <c r="AB302" s="1">
        <v>8E-10</v>
      </c>
      <c r="AG302" s="6" t="s">
        <v>511</v>
      </c>
      <c r="AH302" s="6" t="s">
        <v>511</v>
      </c>
      <c r="AJ302" s="6">
        <f>AJ301+1</f>
        <v>153</v>
      </c>
    </row>
    <row r="303" spans="1:36" ht="9.75">
      <c r="A303" t="str">
        <f>HYPERLINK("http://exon.niaid.nih.gov/transcriptome/An_gambiae_male_2006/ST1/links/AGM-contig_326.txt","AGM-contig_326")</f>
        <v>AGM-contig_326</v>
      </c>
      <c r="B303" s="1">
        <v>1</v>
      </c>
      <c r="C303" s="1">
        <v>127</v>
      </c>
      <c r="D303" s="1">
        <f>D302+B303</f>
        <v>164</v>
      </c>
      <c r="E303" s="1" t="s">
        <v>209</v>
      </c>
      <c r="F303" s="1">
        <v>66.9</v>
      </c>
      <c r="G303" s="1">
        <v>108</v>
      </c>
      <c r="H303" t="str">
        <f>HYPERLINK("http://exon.niaid.nih.gov/transcriptome/An_gambiae_male_2006/ST1/links/AGM-7-90-90-asb-326.txt","Contig-326")</f>
        <v>Contig-326</v>
      </c>
      <c r="I303" s="1">
        <v>326</v>
      </c>
      <c r="J303" t="str">
        <f>HYPERLINK("http://exon.niaid.nih.gov/transcriptome/An_gambiae_male_2006/ST1/links/AGM-7-90-90-326-CLU.txt","Contig326")</f>
        <v>Contig326</v>
      </c>
      <c r="K303" t="s">
        <v>193</v>
      </c>
      <c r="AA303" s="2" t="str">
        <f>HYPERLINK("http://exon.niaid.nih.gov/transcriptome/An_gambiae_male_2006/ST1/links/AGM-contig_326-AGNUC.txt","AG-contig_16")</f>
        <v>AG-contig_16</v>
      </c>
      <c r="AB303" s="1">
        <v>2E-08</v>
      </c>
      <c r="AG303" s="6" t="s">
        <v>511</v>
      </c>
      <c r="AH303" s="6" t="s">
        <v>511</v>
      </c>
      <c r="AJ303" s="6">
        <f>AJ302+1</f>
        <v>154</v>
      </c>
    </row>
    <row r="304" spans="1:36" ht="9.75">
      <c r="A304" t="str">
        <f>HYPERLINK("http://exon.niaid.nih.gov/transcriptome/An_gambiae_male_2006/ST1/links/AGM-contig_274.txt","AGM-contig_274")</f>
        <v>AGM-contig_274</v>
      </c>
      <c r="B304" s="1">
        <v>1</v>
      </c>
      <c r="C304" s="1">
        <v>115</v>
      </c>
      <c r="D304" s="1">
        <f>D303+B304</f>
        <v>165</v>
      </c>
      <c r="E304" s="1">
        <v>5.2</v>
      </c>
      <c r="F304" s="1">
        <v>67.8</v>
      </c>
      <c r="G304" s="1">
        <v>53</v>
      </c>
      <c r="H304" t="str">
        <f>HYPERLINK("http://exon.niaid.nih.gov/transcriptome/An_gambiae_male_2006/ST1/links/AGM-7-90-90-asb-274.txt","Contig-274")</f>
        <v>Contig-274</v>
      </c>
      <c r="I304" s="1">
        <v>274</v>
      </c>
      <c r="J304" t="str">
        <f>HYPERLINK("http://exon.niaid.nih.gov/transcriptome/An_gambiae_male_2006/ST1/links/AGM-7-90-90-274-CLU.txt","Contig274")</f>
        <v>Contig274</v>
      </c>
      <c r="K304" t="s">
        <v>727</v>
      </c>
      <c r="AA304" s="2" t="str">
        <f>HYPERLINK("http://exon.niaid.nih.gov/transcriptome/An_gambiae_male_2006/ST1/links/AGM-contig_274-AGNUC.txt","AG-contig_73")</f>
        <v>AG-contig_73</v>
      </c>
      <c r="AB304" s="1">
        <v>6E-08</v>
      </c>
      <c r="AG304" s="6" t="s">
        <v>511</v>
      </c>
      <c r="AH304" s="6" t="s">
        <v>511</v>
      </c>
      <c r="AJ304" s="6">
        <f>AJ303+1</f>
        <v>155</v>
      </c>
    </row>
    <row r="305" spans="1:36" ht="9.75">
      <c r="A305" t="str">
        <f>HYPERLINK("http://exon.niaid.nih.gov/transcriptome/An_gambiae_male_2006/ST1/links/AGM-contig_23.txt","AGM-contig_23")</f>
        <v>AGM-contig_23</v>
      </c>
      <c r="B305" s="1">
        <v>1</v>
      </c>
      <c r="C305" s="1">
        <v>170</v>
      </c>
      <c r="D305" s="1">
        <f>D304+B305</f>
        <v>166</v>
      </c>
      <c r="E305" s="1">
        <v>5.3</v>
      </c>
      <c r="F305" s="1">
        <v>81.8</v>
      </c>
      <c r="G305" s="1">
        <v>74</v>
      </c>
      <c r="H305" t="str">
        <f>HYPERLINK("http://exon.niaid.nih.gov/transcriptome/An_gambiae_male_2006/ST1/links/AGM-7-90-90-asb-23.txt","Contig-23")</f>
        <v>Contig-23</v>
      </c>
      <c r="I305" s="1">
        <v>23</v>
      </c>
      <c r="J305" t="str">
        <f>HYPERLINK("http://exon.niaid.nih.gov/transcriptome/An_gambiae_male_2006/ST1/links/AGM-7-90-90-23-CLU.txt","Contig23")</f>
        <v>Contig23</v>
      </c>
      <c r="K305" t="s">
        <v>232</v>
      </c>
      <c r="AG305" s="6" t="s">
        <v>511</v>
      </c>
      <c r="AH305" s="6" t="s">
        <v>511</v>
      </c>
      <c r="AJ305" s="6">
        <f>AJ304+1</f>
        <v>156</v>
      </c>
    </row>
    <row r="306" spans="1:36" ht="9.75">
      <c r="A306" t="str">
        <f>HYPERLINK("http://exon.niaid.nih.gov/transcriptome/An_gambiae_male_2006/ST1/links/AGM-contig_33.txt","AGM-contig_33")</f>
        <v>AGM-contig_33</v>
      </c>
      <c r="B306" s="1">
        <v>1</v>
      </c>
      <c r="C306" s="1">
        <v>166</v>
      </c>
      <c r="D306" s="1">
        <f>D305+B306</f>
        <v>167</v>
      </c>
      <c r="E306" s="1">
        <v>4.8</v>
      </c>
      <c r="F306" s="1">
        <v>77.7</v>
      </c>
      <c r="G306" s="1">
        <v>43</v>
      </c>
      <c r="H306" t="str">
        <f>HYPERLINK("http://exon.niaid.nih.gov/transcriptome/An_gambiae_male_2006/ST1/links/AGM-7-90-90-asb-33.txt","Contig-33")</f>
        <v>Contig-33</v>
      </c>
      <c r="I306" s="1">
        <v>33</v>
      </c>
      <c r="J306" t="str">
        <f>HYPERLINK("http://exon.niaid.nih.gov/transcriptome/An_gambiae_male_2006/ST1/links/AGM-7-90-90-33-CLU.txt","Contig33")</f>
        <v>Contig33</v>
      </c>
      <c r="K306" t="s">
        <v>242</v>
      </c>
      <c r="AG306" s="6" t="s">
        <v>511</v>
      </c>
      <c r="AH306" s="6" t="s">
        <v>511</v>
      </c>
      <c r="AJ306" s="6">
        <f>AJ305+1</f>
        <v>157</v>
      </c>
    </row>
    <row r="307" spans="1:36" ht="9.75">
      <c r="A307" t="str">
        <f>HYPERLINK("http://exon.niaid.nih.gov/transcriptome/An_gambiae_male_2006/ST1/links/AGM-contig_28.txt","AGM-contig_28")</f>
        <v>AGM-contig_28</v>
      </c>
      <c r="B307" s="1">
        <v>1</v>
      </c>
      <c r="C307" s="1">
        <v>124</v>
      </c>
      <c r="D307" s="1">
        <f>D306+B307</f>
        <v>168</v>
      </c>
      <c r="E307" s="1">
        <v>4</v>
      </c>
      <c r="F307" s="1">
        <v>91.1</v>
      </c>
      <c r="G307" s="1">
        <v>16</v>
      </c>
      <c r="H307" t="str">
        <f>HYPERLINK("http://exon.niaid.nih.gov/transcriptome/An_gambiae_male_2006/ST1/links/AGM-7-90-90-asb-28.txt","Contig-28")</f>
        <v>Contig-28</v>
      </c>
      <c r="I307" s="1">
        <v>28</v>
      </c>
      <c r="J307" t="str">
        <f>HYPERLINK("http://exon.niaid.nih.gov/transcriptome/An_gambiae_male_2006/ST1/links/AGM-7-90-90-28-CLU.txt","Contig28")</f>
        <v>Contig28</v>
      </c>
      <c r="K307" t="s">
        <v>237</v>
      </c>
      <c r="AG307" s="6" t="s">
        <v>511</v>
      </c>
      <c r="AH307" s="6" t="s">
        <v>511</v>
      </c>
      <c r="AJ307" s="6">
        <f>AJ306+1</f>
        <v>158</v>
      </c>
    </row>
    <row r="308" spans="1:36" ht="9.75">
      <c r="A308" t="str">
        <f>HYPERLINK("http://exon.niaid.nih.gov/transcriptome/An_gambiae_male_2006/ST1/links/AGM-contig_232.txt","AGM-contig_232")</f>
        <v>AGM-contig_232</v>
      </c>
      <c r="B308" s="1">
        <v>1</v>
      </c>
      <c r="C308" s="1">
        <v>115</v>
      </c>
      <c r="D308" s="1">
        <f>D307+B308</f>
        <v>169</v>
      </c>
      <c r="E308" s="1">
        <v>3.5</v>
      </c>
      <c r="F308" s="1">
        <v>82.6</v>
      </c>
      <c r="G308" s="1">
        <v>56</v>
      </c>
      <c r="H308" t="str">
        <f>HYPERLINK("http://exon.niaid.nih.gov/transcriptome/An_gambiae_male_2006/ST1/links/AGM-7-90-90-asb-232.txt","Contig-232")</f>
        <v>Contig-232</v>
      </c>
      <c r="I308" s="1">
        <v>232</v>
      </c>
      <c r="J308" t="str">
        <f>HYPERLINK("http://exon.niaid.nih.gov/transcriptome/An_gambiae_male_2006/ST1/links/AGM-7-90-90-232-CLU.txt","Contig232")</f>
        <v>Contig232</v>
      </c>
      <c r="K308" t="s">
        <v>685</v>
      </c>
      <c r="AG308" s="6" t="s">
        <v>511</v>
      </c>
      <c r="AH308" s="6" t="s">
        <v>511</v>
      </c>
      <c r="AJ308" s="6">
        <f>AJ307+1</f>
        <v>159</v>
      </c>
    </row>
    <row r="309" spans="1:36" ht="9.75">
      <c r="A309" t="str">
        <f>HYPERLINK("http://exon.niaid.nih.gov/transcriptome/An_gambiae_male_2006/ST1/links/AGM-contig_354.txt","AGM-contig_354")</f>
        <v>AGM-contig_354</v>
      </c>
      <c r="B309" s="1">
        <v>1</v>
      </c>
      <c r="C309" s="1">
        <v>100</v>
      </c>
      <c r="D309" s="1">
        <f>D308+B309</f>
        <v>170</v>
      </c>
      <c r="E309" s="1">
        <v>2</v>
      </c>
      <c r="F309" s="1">
        <v>85</v>
      </c>
      <c r="G309" s="1">
        <v>25</v>
      </c>
      <c r="H309" t="str">
        <f>HYPERLINK("http://exon.niaid.nih.gov/transcriptome/An_gambiae_male_2006/ST1/links/AGM-7-90-90-asb-354.txt","Contig-354")</f>
        <v>Contig-354</v>
      </c>
      <c r="I309" s="1">
        <v>354</v>
      </c>
      <c r="J309" t="str">
        <f>HYPERLINK("http://exon.niaid.nih.gov/transcriptome/An_gambiae_male_2006/ST1/links/AGM-7-90-90-354-CLU.txt","Contig354")</f>
        <v>Contig354</v>
      </c>
      <c r="K309" t="s">
        <v>294</v>
      </c>
      <c r="AG309" s="6" t="s">
        <v>511</v>
      </c>
      <c r="AH309" s="6" t="s">
        <v>511</v>
      </c>
      <c r="AJ309" s="6">
        <f>AJ308+1</f>
        <v>160</v>
      </c>
    </row>
    <row r="310" spans="1:36" ht="9.75">
      <c r="A310" t="str">
        <f>HYPERLINK("http://exon.niaid.nih.gov/transcriptome/An_gambiae_male_2006/ST1/links/AGM-contig_337.txt","AGM-contig_337")</f>
        <v>AGM-contig_337</v>
      </c>
      <c r="B310" s="1">
        <v>1</v>
      </c>
      <c r="C310" s="1">
        <v>97</v>
      </c>
      <c r="D310" s="1">
        <f>D309+B310</f>
        <v>171</v>
      </c>
      <c r="E310" s="1">
        <v>5.2</v>
      </c>
      <c r="F310" s="1">
        <v>87.6</v>
      </c>
      <c r="G310" s="1">
        <v>19</v>
      </c>
      <c r="H310" t="str">
        <f>HYPERLINK("http://exon.niaid.nih.gov/transcriptome/An_gambiae_male_2006/ST1/links/AGM-7-90-90-asb-337.txt","Contig-337")</f>
        <v>Contig-337</v>
      </c>
      <c r="I310" s="1">
        <v>337</v>
      </c>
      <c r="J310" t="str">
        <f>HYPERLINK("http://exon.niaid.nih.gov/transcriptome/An_gambiae_male_2006/ST1/links/AGM-7-90-90-337-CLU.txt","Contig337")</f>
        <v>Contig337</v>
      </c>
      <c r="K310" t="s">
        <v>277</v>
      </c>
      <c r="AG310" s="6" t="s">
        <v>511</v>
      </c>
      <c r="AH310" s="6" t="s">
        <v>511</v>
      </c>
      <c r="AJ310" s="6">
        <f>AJ309+1</f>
        <v>161</v>
      </c>
    </row>
    <row r="311" spans="1:36" ht="9.75">
      <c r="A311" t="str">
        <f>HYPERLINK("http://exon.niaid.nih.gov/transcriptome/An_gambiae_male_2006/ST1/links/AGM-contig_206.txt","AGM-contig_206")</f>
        <v>AGM-contig_206</v>
      </c>
      <c r="B311" s="1">
        <v>1</v>
      </c>
      <c r="C311" s="1">
        <v>97</v>
      </c>
      <c r="D311" s="1">
        <f>D310+B311</f>
        <v>172</v>
      </c>
      <c r="E311" s="1">
        <v>5.2</v>
      </c>
      <c r="F311" s="1">
        <v>62.9</v>
      </c>
      <c r="G311" s="1">
        <v>31</v>
      </c>
      <c r="H311" t="str">
        <f>HYPERLINK("http://exon.niaid.nih.gov/transcriptome/An_gambiae_male_2006/ST1/links/AGM-7-90-90-asb-206.txt","Contig-206")</f>
        <v>Contig-206</v>
      </c>
      <c r="I311" s="1">
        <v>206</v>
      </c>
      <c r="J311" t="str">
        <f>HYPERLINK("http://exon.niaid.nih.gov/transcriptome/An_gambiae_male_2006/ST1/links/AGM-7-90-90-206-CLU.txt","Contig206")</f>
        <v>Contig206</v>
      </c>
      <c r="K311" t="s">
        <v>659</v>
      </c>
      <c r="AG311" s="6" t="s">
        <v>511</v>
      </c>
      <c r="AH311" s="6" t="s">
        <v>511</v>
      </c>
      <c r="AJ311" s="6">
        <f>AJ310+1</f>
        <v>162</v>
      </c>
    </row>
    <row r="312" spans="1:36" ht="9.75">
      <c r="A312" t="str">
        <f>HYPERLINK("http://exon.niaid.nih.gov/transcriptome/An_gambiae_male_2006/ST1/links/AGM-contig_342.txt","AGM-contig_342")</f>
        <v>AGM-contig_342</v>
      </c>
      <c r="B312" s="1">
        <v>1</v>
      </c>
      <c r="C312" s="1">
        <v>95</v>
      </c>
      <c r="D312" s="1">
        <f>D311+B312</f>
        <v>173</v>
      </c>
      <c r="E312" s="1">
        <v>3.2</v>
      </c>
      <c r="F312" s="1">
        <v>88.4</v>
      </c>
      <c r="G312" s="1">
        <v>48</v>
      </c>
      <c r="H312" t="str">
        <f>HYPERLINK("http://exon.niaid.nih.gov/transcriptome/An_gambiae_male_2006/ST1/links/AGM-7-90-90-asb-342.txt","Contig-342")</f>
        <v>Contig-342</v>
      </c>
      <c r="I312" s="1">
        <v>342</v>
      </c>
      <c r="J312" t="str">
        <f>HYPERLINK("http://exon.niaid.nih.gov/transcriptome/An_gambiae_male_2006/ST1/links/AGM-7-90-90-342-CLU.txt","Contig342")</f>
        <v>Contig342</v>
      </c>
      <c r="K312" t="s">
        <v>282</v>
      </c>
      <c r="AG312" s="6" t="s">
        <v>511</v>
      </c>
      <c r="AH312" s="6" t="s">
        <v>511</v>
      </c>
      <c r="AJ312" s="6">
        <f>AJ311+1</f>
        <v>163</v>
      </c>
    </row>
    <row r="313" spans="1:36" ht="9.75">
      <c r="A313" t="str">
        <f>HYPERLINK("http://exon.niaid.nih.gov/transcriptome/An_gambiae_male_2006/ST1/links/AGM-contig_240.txt","AGM-contig_240")</f>
        <v>AGM-contig_240</v>
      </c>
      <c r="B313" s="1">
        <v>1</v>
      </c>
      <c r="C313" s="1">
        <v>91</v>
      </c>
      <c r="D313" s="1">
        <f>D312+B313</f>
        <v>174</v>
      </c>
      <c r="E313" s="1">
        <v>2.2</v>
      </c>
      <c r="F313" s="1">
        <v>91.2</v>
      </c>
      <c r="G313" s="1">
        <v>11</v>
      </c>
      <c r="H313" t="str">
        <f>HYPERLINK("http://exon.niaid.nih.gov/transcriptome/An_gambiae_male_2006/ST1/links/AGM-7-90-90-asb-240.txt","Contig-240")</f>
        <v>Contig-240</v>
      </c>
      <c r="I313" s="1">
        <v>240</v>
      </c>
      <c r="J313" t="str">
        <f>HYPERLINK("http://exon.niaid.nih.gov/transcriptome/An_gambiae_male_2006/ST1/links/AGM-7-90-90-240-CLU.txt","Contig240")</f>
        <v>Contig240</v>
      </c>
      <c r="K313" t="s">
        <v>693</v>
      </c>
      <c r="AG313" s="6" t="s">
        <v>511</v>
      </c>
      <c r="AH313" s="6" t="s">
        <v>511</v>
      </c>
      <c r="AJ313" s="6">
        <f>AJ312+1</f>
        <v>164</v>
      </c>
    </row>
    <row r="314" spans="1:36" ht="9.75">
      <c r="A314" t="str">
        <f>HYPERLINK("http://exon.niaid.nih.gov/transcriptome/An_gambiae_male_2006/ST1/links/AGM-contig_330.txt","AGM-contig_330")</f>
        <v>AGM-contig_330</v>
      </c>
      <c r="B314" s="1">
        <v>1</v>
      </c>
      <c r="C314" s="1">
        <v>91</v>
      </c>
      <c r="D314" s="1">
        <f>D313+B314</f>
        <v>175</v>
      </c>
      <c r="E314" s="1">
        <v>5.5</v>
      </c>
      <c r="F314" s="1">
        <v>83.5</v>
      </c>
      <c r="G314" s="1">
        <v>6</v>
      </c>
      <c r="H314" t="str">
        <f>HYPERLINK("http://exon.niaid.nih.gov/transcriptome/An_gambiae_male_2006/ST1/links/AGM-7-90-90-asb-330.txt","Contig-330")</f>
        <v>Contig-330</v>
      </c>
      <c r="I314" s="1">
        <v>330</v>
      </c>
      <c r="J314" t="str">
        <f>HYPERLINK("http://exon.niaid.nih.gov/transcriptome/An_gambiae_male_2006/ST1/links/AGM-7-90-90-330-CLU.txt","Contig330")</f>
        <v>Contig330</v>
      </c>
      <c r="K314" t="s">
        <v>197</v>
      </c>
      <c r="AG314" s="6" t="s">
        <v>511</v>
      </c>
      <c r="AH314" s="6" t="s">
        <v>511</v>
      </c>
      <c r="AJ314" s="6">
        <f>AJ313+1</f>
        <v>165</v>
      </c>
    </row>
    <row r="315" spans="1:36" ht="9.75">
      <c r="A315" t="str">
        <f>HYPERLINK("http://exon.niaid.nih.gov/transcriptome/An_gambiae_male_2006/ST1/links/AGM-contig_306.txt","AGM-contig_306")</f>
        <v>AGM-contig_306</v>
      </c>
      <c r="B315" s="1">
        <v>1</v>
      </c>
      <c r="C315" s="1">
        <v>145</v>
      </c>
      <c r="D315" s="1">
        <f>D314+B315</f>
        <v>176</v>
      </c>
      <c r="E315" s="1" t="s">
        <v>209</v>
      </c>
      <c r="F315" s="1">
        <v>57.2</v>
      </c>
      <c r="G315" s="1">
        <v>126</v>
      </c>
      <c r="H315" t="str">
        <f>HYPERLINK("http://exon.niaid.nih.gov/transcriptome/An_gambiae_male_2006/ST1/links/AGM-7-90-90-asb-306.txt","Contig-306")</f>
        <v>Contig-306</v>
      </c>
      <c r="I315" s="1">
        <v>306</v>
      </c>
      <c r="J315" t="str">
        <f>HYPERLINK("http://exon.niaid.nih.gov/transcriptome/An_gambiae_male_2006/ST1/links/AGM-7-90-90-306-CLU.txt","Contig306")</f>
        <v>Contig306</v>
      </c>
      <c r="K315" t="s">
        <v>173</v>
      </c>
      <c r="L315" s="2" t="str">
        <f>HYPERLINK("http://exon.niaid.nih.gov/transcriptome/An_gambiae_male_2006/ST1/links/AGM-contig_306-AGFRAG.txt","2L_Piece#229")</f>
        <v>2L_Piece#229</v>
      </c>
      <c r="M315" s="4">
        <v>3E-61</v>
      </c>
      <c r="R315" s="2" t="str">
        <f>HYPERLINK("http://exon.niaid.nih.gov/transcriptome/An_gambiae_male_2006/ST1/links/AGM-contig_306-AGPROT.txt","ENSANGP00000013607")</f>
        <v>ENSANGP00000013607</v>
      </c>
      <c r="S315" s="1" t="str">
        <f>HYPERLINK("http://www.ensembl.org/Anopheles_gambiae/protview?peptide=ENSANGP00000013607","6.6")</f>
        <v>6.6</v>
      </c>
      <c r="T315" s="1" t="str">
        <f>HYPERLINK("http://www.anobase.org/cgi-bin/uniexcel_new_var6.pl?proteinname=ENSANGP00000013607","6.6")</f>
        <v>6.6</v>
      </c>
      <c r="AG315" s="6" t="s">
        <v>511</v>
      </c>
      <c r="AH315" s="6" t="s">
        <v>511</v>
      </c>
      <c r="AI315" s="6" t="s">
        <v>260</v>
      </c>
      <c r="AJ315" s="6">
        <f>AJ314+1</f>
        <v>166</v>
      </c>
    </row>
    <row r="319" ht="9.75">
      <c r="B319" s="1">
        <f>SUM(B2:B315)</f>
        <v>421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8"/>
  <sheetViews>
    <sheetView workbookViewId="0" topLeftCell="A1">
      <selection activeCell="H31" sqref="H31"/>
    </sheetView>
  </sheetViews>
  <sheetFormatPr defaultColWidth="9.33203125" defaultRowHeight="11.25"/>
  <cols>
    <col min="1" max="1" width="14.83203125" style="0" customWidth="1"/>
    <col min="2" max="2" width="9.16015625" style="1" customWidth="1"/>
    <col min="3" max="3" width="11.5" style="1" customWidth="1"/>
    <col min="5" max="5" width="16.83203125" style="0" customWidth="1"/>
  </cols>
  <sheetData>
    <row r="1" ht="9.75">
      <c r="A1" t="s">
        <v>11</v>
      </c>
    </row>
    <row r="2" spans="1:3" ht="9.75">
      <c r="A2" s="20" t="s">
        <v>21</v>
      </c>
      <c r="B2" s="21" t="s">
        <v>32</v>
      </c>
      <c r="C2" s="21" t="s">
        <v>33</v>
      </c>
    </row>
    <row r="3" spans="1:3" ht="9.75">
      <c r="A3" s="22" t="s">
        <v>764</v>
      </c>
      <c r="B3" s="23">
        <v>14</v>
      </c>
      <c r="C3" s="23">
        <v>62</v>
      </c>
    </row>
    <row r="4" spans="1:3" ht="9.75">
      <c r="A4" s="22" t="s">
        <v>12</v>
      </c>
      <c r="B4" s="23">
        <v>356</v>
      </c>
      <c r="C4" s="23">
        <v>1008</v>
      </c>
    </row>
    <row r="5" spans="1:3" ht="9.75">
      <c r="A5" s="24"/>
      <c r="B5" s="25"/>
      <c r="C5" s="25"/>
    </row>
    <row r="6" spans="1:3" ht="9.75">
      <c r="A6" s="26" t="s">
        <v>13</v>
      </c>
      <c r="B6" s="25"/>
      <c r="C6" s="25"/>
    </row>
    <row r="7" spans="1:3" ht="9.75">
      <c r="A7" s="20" t="s">
        <v>21</v>
      </c>
      <c r="B7" s="21" t="s">
        <v>32</v>
      </c>
      <c r="C7" s="21" t="s">
        <v>33</v>
      </c>
    </row>
    <row r="8" spans="1:3" ht="9.75">
      <c r="A8" s="22" t="s">
        <v>31</v>
      </c>
      <c r="B8" s="23" t="s">
        <v>827</v>
      </c>
      <c r="C8" s="23" t="s">
        <v>828</v>
      </c>
    </row>
    <row r="9" spans="1:3" ht="9.75">
      <c r="A9" s="22" t="s">
        <v>34</v>
      </c>
      <c r="B9" s="23" t="s">
        <v>14</v>
      </c>
      <c r="C9" s="23" t="s">
        <v>16</v>
      </c>
    </row>
    <row r="10" spans="1:3" ht="9.75">
      <c r="A10" s="22" t="s">
        <v>35</v>
      </c>
      <c r="B10" s="23" t="s">
        <v>829</v>
      </c>
      <c r="C10" s="23" t="s">
        <v>830</v>
      </c>
    </row>
    <row r="11" spans="1:3" ht="9.75">
      <c r="A11" s="22" t="s">
        <v>514</v>
      </c>
      <c r="B11" s="23" t="s">
        <v>15</v>
      </c>
      <c r="C11" s="23" t="s">
        <v>17</v>
      </c>
    </row>
    <row r="14" spans="1:3" ht="9.75">
      <c r="A14" t="s">
        <v>765</v>
      </c>
      <c r="B14" s="1">
        <v>204</v>
      </c>
      <c r="C14" s="1">
        <v>842</v>
      </c>
    </row>
    <row r="15" spans="1:3" ht="9.75">
      <c r="A15" t="s">
        <v>766</v>
      </c>
      <c r="B15" s="1">
        <v>90</v>
      </c>
      <c r="C15" s="1">
        <v>489</v>
      </c>
    </row>
    <row r="16" spans="1:6" ht="9.75">
      <c r="A16" t="s">
        <v>767</v>
      </c>
      <c r="B16" s="1">
        <v>96</v>
      </c>
      <c r="C16" s="1">
        <v>586</v>
      </c>
      <c r="D16" s="10"/>
      <c r="E16" s="10"/>
      <c r="F16" s="10"/>
    </row>
    <row r="17" spans="4:6" ht="9.75">
      <c r="D17" s="10"/>
      <c r="E17" s="10"/>
      <c r="F17" s="10"/>
    </row>
    <row r="18" spans="2:3" ht="9.75">
      <c r="B18" s="1">
        <f>SUM(B14:B16)</f>
        <v>390</v>
      </c>
      <c r="C18" s="1">
        <f>SUM(C14:C16)</f>
        <v>1917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jribeiro@niaid.nih.gov</dc:creator>
  <cp:keywords/>
  <dc:description/>
  <cp:lastModifiedBy>JRIBEIRO</cp:lastModifiedBy>
  <dcterms:created xsi:type="dcterms:W3CDTF">2005-01-10T20:03:11Z</dcterms:created>
  <dcterms:modified xsi:type="dcterms:W3CDTF">2006-01-19T15:14:18Z</dcterms:modified>
  <cp:category/>
  <cp:version/>
  <cp:contentType/>
  <cp:contentStatus/>
</cp:coreProperties>
</file>