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5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65521" windowWidth="12120" windowHeight="8745" tabRatio="779" firstSheet="1" activeTab="1"/>
  </bookViews>
  <sheets>
    <sheet name="Behind" sheetId="1" state="hidden" r:id="rId1"/>
    <sheet name="Upgrade1" sheetId="2" r:id="rId2"/>
    <sheet name="Upgrade2" sheetId="3" r:id="rId3"/>
    <sheet name="Upgrade3" sheetId="4" r:id="rId4"/>
    <sheet name="Upgrade4" sheetId="5" r:id="rId5"/>
    <sheet name="RollUp" sheetId="6" r:id="rId6"/>
  </sheets>
  <definedNames>
    <definedName name="Existing1">'Upgrade1'!$I$2</definedName>
    <definedName name="Existing2">'Upgrade2'!$I$2</definedName>
    <definedName name="Existing3">'Upgrade3'!$I$2</definedName>
    <definedName name="Existing4">'Upgrade4'!$I$2</definedName>
    <definedName name="Existing5">'RollUp'!$I$2</definedName>
    <definedName name="Input1">'Upgrade1'!$C$2</definedName>
    <definedName name="Input1v2">'Upgrade1'!$C$24</definedName>
    <definedName name="Input2">'Upgrade2'!$C$2</definedName>
    <definedName name="Input2v2">'Upgrade2'!$C$24</definedName>
    <definedName name="Input3">'Upgrade3'!$C$2</definedName>
    <definedName name="Input3v2">'Upgrade3'!$C$24</definedName>
    <definedName name="Input4">'Upgrade4'!$C$2</definedName>
    <definedName name="Input4v2">'Upgrade4'!$C$24</definedName>
    <definedName name="Input5">'RollUp'!$C$2</definedName>
    <definedName name="Input5v2">'RollUp'!$C$22</definedName>
    <definedName name="Net1">'Upgrade1'!$Z$2</definedName>
    <definedName name="Net2">'Upgrade2'!$Z$2</definedName>
    <definedName name="Net3">'Upgrade3'!$Z$2</definedName>
    <definedName name="Net4">'Upgrade4'!$Z$2</definedName>
    <definedName name="Net5">'RollUp'!$Z$2</definedName>
    <definedName name="_xlnm.Print_Area" localSheetId="5">'RollUp'!$C$1:$AR$42</definedName>
    <definedName name="_xlnm.Print_Area" localSheetId="1">'Upgrade1'!$C$1:$AR$42</definedName>
    <definedName name="_xlnm.Print_Area" localSheetId="2">'Upgrade2'!$C$1:$AR$42</definedName>
    <definedName name="_xlnm.Print_Area" localSheetId="3">'Upgrade3'!$C$1:$AR$42</definedName>
    <definedName name="_xlnm.Print_Area" localSheetId="4">'Upgrade4'!$C$1:$AR$42</definedName>
    <definedName name="Results1">'Upgrade1'!$AJ$2</definedName>
    <definedName name="Results2">'Upgrade2'!$AJ$2</definedName>
    <definedName name="Results3">'Upgrade3'!$AJ$2</definedName>
    <definedName name="Results4">'Upgrade4'!$AJ$2</definedName>
    <definedName name="Results5">'RollUp'!$AJ$2</definedName>
    <definedName name="Upgrade1">'Upgrade1'!$Q$2</definedName>
    <definedName name="Upgrade1_NavSelection">'Behind'!$A$10</definedName>
    <definedName name="Upgrade2">'Upgrade2'!$Q$2</definedName>
    <definedName name="Upgrade3">'Upgrade3'!$Q$2</definedName>
    <definedName name="Upgrade4">'Upgrade4'!$Q$2</definedName>
    <definedName name="Upgrade5">'RollUp'!$Q$2</definedName>
  </definedNames>
  <calcPr fullCalcOnLoad="1" iterate="1" iterateCount="50" iterateDelta="0.001"/>
</workbook>
</file>

<file path=xl/sharedStrings.xml><?xml version="1.0" encoding="utf-8"?>
<sst xmlns="http://schemas.openxmlformats.org/spreadsheetml/2006/main" count="535" uniqueCount="114">
  <si>
    <t xml:space="preserve">Fixture Type </t>
  </si>
  <si>
    <t>Lamp Type</t>
  </si>
  <si>
    <t>Ballast Type</t>
  </si>
  <si>
    <t>Lamp Wattage</t>
  </si>
  <si>
    <t>Fixture Wattage</t>
  </si>
  <si>
    <t>Lamp Life</t>
  </si>
  <si>
    <t>32W T8</t>
  </si>
  <si>
    <t>40W T12</t>
  </si>
  <si>
    <t>Electronic</t>
  </si>
  <si>
    <t xml:space="preserve">Building Information </t>
  </si>
  <si>
    <t xml:space="preserve">LIGHTING UPGRADE ANALYSIS </t>
  </si>
  <si>
    <t xml:space="preserve"> </t>
  </si>
  <si>
    <t xml:space="preserve">Building Name/Location: </t>
  </si>
  <si>
    <t xml:space="preserve">Hours of use per week:  </t>
  </si>
  <si>
    <t xml:space="preserve">Financial Information </t>
  </si>
  <si>
    <t>No of Ballasts/fixture</t>
  </si>
  <si>
    <t>No of Lamps/fixture</t>
  </si>
  <si>
    <t>Year 1</t>
  </si>
  <si>
    <t>Year</t>
  </si>
  <si>
    <t xml:space="preserve">Annual System Consumption and Costs  </t>
  </si>
  <si>
    <t xml:space="preserve">Annual kWh Usage </t>
  </si>
  <si>
    <t xml:space="preserve">   Annual Lamp Material</t>
  </si>
  <si>
    <t xml:space="preserve">   Annual Lamp Labor</t>
  </si>
  <si>
    <t>Year 5</t>
  </si>
  <si>
    <t xml:space="preserve">Year 10 </t>
  </si>
  <si>
    <t>Year 15</t>
  </si>
  <si>
    <t>Year 20</t>
  </si>
  <si>
    <t>Upgrade Space/Name:</t>
  </si>
  <si>
    <t>Internal Rate of Return (%)</t>
  </si>
  <si>
    <t>Simple Payback (Years)</t>
  </si>
  <si>
    <t>(Initial) 0</t>
  </si>
  <si>
    <t>Totals</t>
  </si>
  <si>
    <t>Total Expenditures</t>
  </si>
  <si>
    <t>Cumulative Present Value</t>
  </si>
  <si>
    <t>Cumulative Expenditures</t>
  </si>
  <si>
    <t>NOTES:</t>
  </si>
  <si>
    <t xml:space="preserve">Present Value </t>
  </si>
  <si>
    <t>Energy Savings</t>
  </si>
  <si>
    <t>Maintenance Savings</t>
  </si>
  <si>
    <t xml:space="preserve">Upgrade Cost </t>
  </si>
  <si>
    <t>Total Savings</t>
  </si>
  <si>
    <t>RESULTS (Cumulative)*</t>
  </si>
  <si>
    <t>Energy Savings (kWh)</t>
  </si>
  <si>
    <t>Upgrade</t>
  </si>
  <si>
    <t>TOTAL Annual Lamp Replacement Costs*</t>
  </si>
  <si>
    <t xml:space="preserve">Inflation Rate </t>
  </si>
  <si>
    <t>Lamp Replacement Labor+Materials*</t>
  </si>
  <si>
    <t>Ballast Replacement Labor+Materials*</t>
  </si>
  <si>
    <t xml:space="preserve">Discount Rate for Present Value Analysis </t>
  </si>
  <si>
    <t>Typical</t>
  </si>
  <si>
    <t>* All cumulative cash flows are adjusted for inflation</t>
  </si>
  <si>
    <t>Magnetic</t>
  </si>
  <si>
    <t xml:space="preserve">Energy Costs* </t>
  </si>
  <si>
    <t xml:space="preserve">Energy and Maintenance Savings Financial Analysis </t>
  </si>
  <si>
    <t>NA</t>
  </si>
  <si>
    <t xml:space="preserve">** Net Present Value (NPV) analysis includes initial "upgrade" costs, energy savings, and maintenance savings. </t>
  </si>
  <si>
    <t xml:space="preserve">1)  Year 0 (Initial) costs represent the material and labor costs associated with the installation of the lighting system. These costs are not applicable for existing systems. </t>
  </si>
  <si>
    <t xml:space="preserve">*Adjusted for inflation. </t>
  </si>
  <si>
    <t>Demonstration Space</t>
  </si>
  <si>
    <t>* Today's Peso</t>
  </si>
  <si>
    <t xml:space="preserve">Upgrade Cost (Peso) </t>
  </si>
  <si>
    <t>Typical System Life Cycle Cost (Peso)</t>
  </si>
  <si>
    <t>Upgrade System Life Cycle Cost (Peso)</t>
  </si>
  <si>
    <t>Energy Cost Savings (Peso)</t>
  </si>
  <si>
    <t>Maintenance Savings (Peso)</t>
  </si>
  <si>
    <t>NPV of Upgrade Savings (Peso)**</t>
  </si>
  <si>
    <t>1x4 lay-in</t>
  </si>
  <si>
    <t>Total Fixture Count</t>
  </si>
  <si>
    <t>Specific Fixture Information</t>
  </si>
  <si>
    <t>Upgrade Navagation</t>
  </si>
  <si>
    <t>RollUp Navagation</t>
  </si>
  <si>
    <t>--Select One--</t>
  </si>
  <si>
    <t>Company Name</t>
  </si>
  <si>
    <t>Existing</t>
  </si>
  <si>
    <t>Upgrade1</t>
  </si>
  <si>
    <t>Upgrade2</t>
  </si>
  <si>
    <t>Upgrade3</t>
  </si>
  <si>
    <t>Upgrade4</t>
  </si>
  <si>
    <t>Navigate Between Worksheets</t>
  </si>
  <si>
    <t>Lighting Upgrade 
Financial Analysis Worksheet
Upgrade 1</t>
  </si>
  <si>
    <t>Lighting Upgrade 
Financial Analysis Worksheet
Upgrade 2</t>
  </si>
  <si>
    <t>Lighting Upgrade 
Financial Analysis Worksheet
Upgrade 3</t>
  </si>
  <si>
    <t>Lighting Upgrade 
Financial Analysis Worksheet
Upgrade 4</t>
  </si>
  <si>
    <t>Roll-Up</t>
  </si>
  <si>
    <t>Upgrade 1:</t>
  </si>
  <si>
    <t>Upgrade 2:</t>
  </si>
  <si>
    <t>Upgrade 3:</t>
  </si>
  <si>
    <t>Upgrade 4:</t>
  </si>
  <si>
    <t>Summary of Upgrades</t>
  </si>
  <si>
    <t>1x4 40W Suspended to 1x4 32W Suspended</t>
  </si>
  <si>
    <t>2x4 40W Lay-in to 2x4 32W Lay-in</t>
  </si>
  <si>
    <t xml:space="preserve">Existing Lighting System Life-Cycle Cost Analysis </t>
  </si>
  <si>
    <t>Time to install each lamp (minutes)</t>
  </si>
  <si>
    <t>Time to install each ballast (minutes)</t>
  </si>
  <si>
    <t>2) For simplicity, it is assumed that the same number of lamps are replaced each year. This means lamp replacement cost are the same every year before adjustment for inflation.  In reality, lamp replacment and the associated costs will tend to be concentrated around the end of the rate life.</t>
  </si>
  <si>
    <t xml:space="preserve">3) Magnetic ballasts have a rated life of 14 years if installed properly (electronic ballasts have a rated life of 20+ years).  Therefore, replacement costs for magnetic ballasts are applied at year 14, and electronic ballasts replacement costs are not applicable. </t>
  </si>
  <si>
    <t xml:space="preserve">Note: Input cells are shaded. </t>
  </si>
  <si>
    <t>Page 5 of 5</t>
  </si>
  <si>
    <t>Page 4 of 5</t>
  </si>
  <si>
    <t>Page 3 of 5</t>
  </si>
  <si>
    <t>Page 2 of 5</t>
  </si>
  <si>
    <t>Page 1 of 5</t>
  </si>
  <si>
    <t xml:space="preserve"> Navigate Within Roll-Up</t>
  </si>
  <si>
    <t xml:space="preserve"> Navigate Within Upgrade 4</t>
  </si>
  <si>
    <t xml:space="preserve"> Navigate Within Upgrade 3</t>
  </si>
  <si>
    <t xml:space="preserve"> Navigate Within Upgrade 2</t>
  </si>
  <si>
    <t xml:space="preserve"> Navigate Within Upgrade 1</t>
  </si>
  <si>
    <t xml:space="preserve">Upgrade Lighting System Life-Cycle Cost Analysis </t>
  </si>
  <si>
    <t>Lighting Upgrade 
Financial Analysis Worksheet
Roll-up Analysis</t>
  </si>
  <si>
    <t>eeBuildings</t>
  </si>
  <si>
    <t xml:space="preserve">Mega Tower  </t>
  </si>
  <si>
    <t>Currency Unit</t>
  </si>
  <si>
    <t>* Today's currency</t>
  </si>
  <si>
    <t>Dollar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</si>
</sst>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PHP]\ #,##0.00"/>
    <numFmt numFmtId="165" formatCode="[$PHP]\ #,##0"/>
    <numFmt numFmtId="166" formatCode="&quot;$&quot;#,##0"/>
    <numFmt numFmtId="167" formatCode="0.0"/>
    <numFmt numFmtId="168" formatCode="#,##0.0000000000"/>
    <numFmt numFmtId="169" formatCode="#,##0.000000000"/>
    <numFmt numFmtId="170" formatCode="#,##0.00000000000"/>
    <numFmt numFmtId="171" formatCode="#,##0.000000"/>
    <numFmt numFmtId="172" formatCode="mmmm\ d\,\ yyyy"/>
  </numFmts>
  <fonts count="12">
    <font>
      <sz val="10"/>
      <name val="Arial"/>
      <family val="0"/>
    </font>
    <font>
      <sz val="10"/>
      <color indexed="12"/>
      <name val="Arial"/>
      <family val="2"/>
    </font>
    <font>
      <sz val="8"/>
      <name val="Tahoma"/>
      <family val="2"/>
    </font>
    <font>
      <sz val="7"/>
      <name val="Arial"/>
      <family val="2"/>
    </font>
    <font>
      <b/>
      <sz val="7"/>
      <color indexed="12"/>
      <name val="Verdana"/>
      <family val="2"/>
    </font>
    <font>
      <sz val="9"/>
      <color indexed="12"/>
      <name val="Arial"/>
      <family val="2"/>
    </font>
    <font>
      <b/>
      <sz val="9"/>
      <color indexed="12"/>
      <name val="Arial"/>
      <family val="2"/>
    </font>
    <font>
      <sz val="9"/>
      <name val="Arial"/>
      <family val="2"/>
    </font>
    <font>
      <u val="single"/>
      <sz val="9"/>
      <color indexed="12"/>
      <name val="Arial"/>
      <family val="2"/>
    </font>
    <font>
      <i/>
      <u val="single"/>
      <sz val="9"/>
      <color indexed="12"/>
      <name val="Arial"/>
      <family val="2"/>
    </font>
    <font>
      <b/>
      <sz val="10"/>
      <color indexed="12"/>
      <name val="Arial"/>
      <family val="2"/>
    </font>
    <font>
      <b/>
      <sz val="10"/>
      <name val="Arial"/>
      <family val="2"/>
    </font>
  </fonts>
  <fills count="6">
    <fill>
      <patternFill/>
    </fill>
    <fill>
      <patternFill patternType="gray125"/>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8"/>
        <bgColor indexed="64"/>
      </patternFill>
    </fill>
  </fills>
  <borders count="56">
    <border>
      <left/>
      <right/>
      <top/>
      <bottom/>
      <diagonal/>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medium"/>
      <top style="medium"/>
      <bottom style="thin"/>
    </border>
    <border>
      <left style="thin"/>
      <right style="thin"/>
      <top>
        <color indexed="63"/>
      </top>
      <bottom style="thin"/>
    </border>
    <border>
      <left style="thin"/>
      <right>
        <color indexed="63"/>
      </right>
      <top>
        <color indexed="63"/>
      </top>
      <bottom style="thin"/>
    </border>
    <border>
      <left style="thin"/>
      <right>
        <color indexed="63"/>
      </right>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medium"/>
      <top>
        <color indexed="63"/>
      </top>
      <bottom>
        <color indexed="63"/>
      </bottom>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style="medium"/>
    </border>
    <border>
      <left style="medium"/>
      <right style="thin"/>
      <top style="thin"/>
      <bottom style="medium"/>
    </border>
    <border>
      <left style="medium"/>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medium"/>
      <top style="thick"/>
      <bottom style="medium"/>
    </border>
    <border>
      <left style="medium"/>
      <right style="thin"/>
      <top>
        <color indexed="63"/>
      </top>
      <bottom style="thin"/>
    </border>
    <border>
      <left>
        <color indexed="63"/>
      </left>
      <right style="medium"/>
      <top>
        <color indexed="63"/>
      </top>
      <bottom>
        <color indexed="63"/>
      </bottom>
    </border>
    <border>
      <left>
        <color indexed="63"/>
      </left>
      <right style="medium"/>
      <top style="medium"/>
      <bottom style="medium"/>
    </border>
    <border>
      <left style="thick"/>
      <right>
        <color indexed="63"/>
      </right>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thin"/>
      <bottom style="medium"/>
    </border>
    <border>
      <left style="thick"/>
      <right>
        <color indexed="63"/>
      </right>
      <top>
        <color indexed="63"/>
      </top>
      <bottom style="thin"/>
    </border>
    <border>
      <left>
        <color indexed="63"/>
      </left>
      <right style="medium"/>
      <top>
        <color indexed="63"/>
      </top>
      <bottom style="thin"/>
    </border>
    <border>
      <left style="thick"/>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1" fillId="0" borderId="0" xfId="0" applyFont="1" applyAlignment="1" quotePrefix="1">
      <alignment horizontal="center"/>
    </xf>
    <xf numFmtId="0" fontId="1" fillId="0" borderId="0" xfId="0" applyFont="1" applyAlignment="1">
      <alignment horizontal="center"/>
    </xf>
    <xf numFmtId="0" fontId="0" fillId="2" borderId="1" xfId="0" applyFill="1" applyBorder="1" applyAlignment="1">
      <alignment horizontal="center"/>
    </xf>
    <xf numFmtId="0" fontId="0" fillId="0" borderId="0" xfId="0" applyAlignment="1">
      <alignment wrapText="1"/>
    </xf>
    <xf numFmtId="0" fontId="5" fillId="3" borderId="1" xfId="0"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3" fontId="5" fillId="3" borderId="1" xfId="0" applyNumberFormat="1" applyFont="1" applyFill="1" applyBorder="1" applyAlignment="1" applyProtection="1">
      <alignment horizontal="center"/>
      <protection locked="0"/>
    </xf>
    <xf numFmtId="3" fontId="5" fillId="3" borderId="2" xfId="0" applyNumberFormat="1" applyFont="1" applyFill="1" applyBorder="1" applyAlignment="1" applyProtection="1">
      <alignment horizontal="center"/>
      <protection locked="0"/>
    </xf>
    <xf numFmtId="0" fontId="5" fillId="3" borderId="3" xfId="0" applyFont="1"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5" fillId="3" borderId="6" xfId="0" applyFont="1" applyFill="1" applyBorder="1" applyAlignment="1" applyProtection="1">
      <alignment horizontal="center"/>
      <protection locked="0"/>
    </xf>
    <xf numFmtId="0" fontId="5" fillId="4" borderId="0" xfId="0" applyFont="1" applyFill="1" applyAlignment="1" applyProtection="1">
      <alignment/>
      <protection/>
    </xf>
    <xf numFmtId="0" fontId="6" fillId="4" borderId="0" xfId="0" applyFont="1" applyFill="1" applyAlignment="1" applyProtection="1">
      <alignment horizontal="center"/>
      <protection/>
    </xf>
    <xf numFmtId="0" fontId="5" fillId="0" borderId="0" xfId="0" applyFont="1" applyAlignment="1" applyProtection="1">
      <alignment/>
      <protection/>
    </xf>
    <xf numFmtId="0" fontId="6" fillId="4" borderId="0" xfId="0" applyFont="1" applyFill="1" applyAlignment="1" applyProtection="1">
      <alignment horizontal="center" vertical="top" wrapText="1"/>
      <protection/>
    </xf>
    <xf numFmtId="0" fontId="0" fillId="0" borderId="0" xfId="0" applyFill="1" applyAlignment="1">
      <alignment/>
    </xf>
    <xf numFmtId="0" fontId="0" fillId="0" borderId="0" xfId="0" applyFill="1" applyBorder="1" applyAlignment="1">
      <alignment wrapText="1"/>
    </xf>
    <xf numFmtId="0" fontId="0" fillId="0" borderId="0" xfId="0" applyFill="1" applyBorder="1" applyAlignment="1">
      <alignment horizontal="center"/>
    </xf>
    <xf numFmtId="0" fontId="5" fillId="0" borderId="0" xfId="0" applyFont="1" applyFill="1" applyAlignment="1" applyProtection="1">
      <alignment/>
      <protection/>
    </xf>
    <xf numFmtId="0" fontId="6" fillId="0" borderId="0" xfId="0" applyFont="1" applyFill="1" applyAlignment="1" applyProtection="1">
      <alignment horizontal="center"/>
      <protection/>
    </xf>
    <xf numFmtId="0" fontId="7" fillId="0"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Fill="1" applyAlignment="1" applyProtection="1">
      <alignment horizontal="left"/>
      <protection/>
    </xf>
    <xf numFmtId="0" fontId="5" fillId="0" borderId="0" xfId="0" applyFont="1" applyFill="1" applyBorder="1" applyAlignment="1" applyProtection="1">
      <alignment/>
      <protection/>
    </xf>
    <xf numFmtId="0" fontId="5" fillId="0" borderId="0" xfId="0" applyFont="1" applyFill="1" applyAlignment="1" applyProtection="1">
      <alignment horizontal="right"/>
      <protection/>
    </xf>
    <xf numFmtId="172" fontId="5" fillId="0" borderId="0" xfId="0" applyNumberFormat="1" applyFont="1" applyFill="1" applyAlignment="1" applyProtection="1">
      <alignment/>
      <protection/>
    </xf>
    <xf numFmtId="172" fontId="5" fillId="0" borderId="0" xfId="0" applyNumberFormat="1" applyFont="1" applyFill="1" applyAlignment="1" applyProtection="1">
      <alignment horizontal="left"/>
      <protection/>
    </xf>
    <xf numFmtId="0" fontId="6" fillId="0" borderId="0" xfId="0" applyFont="1" applyFill="1" applyBorder="1" applyAlignment="1" applyProtection="1">
      <alignment/>
      <protection/>
    </xf>
    <xf numFmtId="0" fontId="6" fillId="0" borderId="7" xfId="0" applyFont="1" applyFill="1" applyBorder="1" applyAlignment="1" applyProtection="1">
      <alignment/>
      <protection/>
    </xf>
    <xf numFmtId="0" fontId="5" fillId="0" borderId="8" xfId="0" applyFont="1" applyFill="1" applyBorder="1" applyAlignment="1" applyProtection="1">
      <alignment/>
      <protection/>
    </xf>
    <xf numFmtId="0" fontId="5" fillId="0" borderId="9" xfId="0" applyFont="1" applyFill="1" applyBorder="1" applyAlignment="1" applyProtection="1">
      <alignment/>
      <protection/>
    </xf>
    <xf numFmtId="0" fontId="6" fillId="0" borderId="8" xfId="0" applyFont="1" applyFill="1" applyBorder="1" applyAlignment="1" applyProtection="1">
      <alignment/>
      <protection/>
    </xf>
    <xf numFmtId="0" fontId="6" fillId="0" borderId="0" xfId="0" applyFont="1" applyFill="1" applyAlignment="1" applyProtection="1">
      <alignment horizontal="center" vertical="top" wrapText="1"/>
      <protection/>
    </xf>
    <xf numFmtId="0" fontId="5" fillId="0" borderId="10" xfId="0" applyFont="1" applyFill="1" applyBorder="1" applyAlignment="1" applyProtection="1">
      <alignment horizontal="center"/>
      <protection/>
    </xf>
    <xf numFmtId="0" fontId="5" fillId="0" borderId="11" xfId="0" applyFont="1" applyFill="1" applyBorder="1" applyAlignment="1" applyProtection="1">
      <alignment horizontal="center" wrapText="1"/>
      <protection/>
    </xf>
    <xf numFmtId="0" fontId="5" fillId="0" borderId="12" xfId="0" applyFont="1" applyFill="1" applyBorder="1" applyAlignment="1" applyProtection="1">
      <alignment horizontal="center" wrapText="1"/>
      <protection/>
    </xf>
    <xf numFmtId="0" fontId="5" fillId="0" borderId="13" xfId="0" applyFont="1" applyFill="1" applyBorder="1" applyAlignment="1" applyProtection="1">
      <alignment horizontal="center" wrapText="1"/>
      <protection/>
    </xf>
    <xf numFmtId="0" fontId="5" fillId="0" borderId="14" xfId="0" applyFont="1" applyFill="1" applyBorder="1" applyAlignment="1" applyProtection="1">
      <alignment horizontal="center" wrapText="1"/>
      <protection/>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wrapText="1"/>
      <protection/>
    </xf>
    <xf numFmtId="0" fontId="5" fillId="0" borderId="15" xfId="0" applyFont="1" applyFill="1" applyBorder="1" applyAlignment="1" applyProtection="1">
      <alignment horizontal="center" wrapText="1"/>
      <protection/>
    </xf>
    <xf numFmtId="0" fontId="5" fillId="0" borderId="16" xfId="0" applyFont="1" applyFill="1" applyBorder="1" applyAlignment="1" applyProtection="1">
      <alignment horizontal="center" wrapText="1"/>
      <protection/>
    </xf>
    <xf numFmtId="0" fontId="5" fillId="0" borderId="17" xfId="0" applyFont="1" applyFill="1" applyBorder="1" applyAlignment="1" applyProtection="1">
      <alignment horizontal="center" wrapText="1"/>
      <protection/>
    </xf>
    <xf numFmtId="0" fontId="5" fillId="0" borderId="18" xfId="0" applyFont="1" applyFill="1" applyBorder="1" applyAlignment="1" applyProtection="1">
      <alignment horizontal="center" wrapText="1"/>
      <protection/>
    </xf>
    <xf numFmtId="0" fontId="5" fillId="0" borderId="13" xfId="0" applyFont="1" applyFill="1" applyBorder="1" applyAlignment="1" applyProtection="1">
      <alignment horizontal="center" vertical="center" wrapText="1"/>
      <protection/>
    </xf>
    <xf numFmtId="3" fontId="5" fillId="0" borderId="0" xfId="0" applyNumberFormat="1" applyFont="1" applyFill="1" applyAlignment="1" applyProtection="1">
      <alignment/>
      <protection/>
    </xf>
    <xf numFmtId="0" fontId="6" fillId="0" borderId="19" xfId="0" applyFont="1" applyFill="1" applyBorder="1" applyAlignment="1" applyProtection="1">
      <alignment/>
      <protection/>
    </xf>
    <xf numFmtId="0" fontId="5" fillId="0" borderId="20" xfId="0" applyFont="1" applyFill="1" applyBorder="1" applyAlignment="1" applyProtection="1">
      <alignment/>
      <protection/>
    </xf>
    <xf numFmtId="0" fontId="5" fillId="0" borderId="14" xfId="0" applyFont="1" applyFill="1" applyBorder="1" applyAlignment="1" applyProtection="1">
      <alignment/>
      <protection/>
    </xf>
    <xf numFmtId="0" fontId="5" fillId="0" borderId="21" xfId="0" applyFont="1" applyFill="1" applyBorder="1" applyAlignment="1" applyProtection="1">
      <alignment horizontal="right"/>
      <protection/>
    </xf>
    <xf numFmtId="3" fontId="5" fillId="0" borderId="1" xfId="0" applyNumberFormat="1" applyFont="1" applyFill="1" applyBorder="1" applyAlignment="1" applyProtection="1">
      <alignment/>
      <protection/>
    </xf>
    <xf numFmtId="0" fontId="5" fillId="0" borderId="22" xfId="0" applyFont="1" applyFill="1" applyBorder="1" applyAlignment="1" applyProtection="1">
      <alignment/>
      <protection/>
    </xf>
    <xf numFmtId="3" fontId="5" fillId="0" borderId="23" xfId="0" applyNumberFormat="1" applyFont="1" applyFill="1" applyBorder="1" applyAlignment="1" applyProtection="1">
      <alignment/>
      <protection/>
    </xf>
    <xf numFmtId="3" fontId="5" fillId="0" borderId="2"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3" fontId="5" fillId="0" borderId="24" xfId="0" applyNumberFormat="1" applyFont="1" applyFill="1" applyBorder="1" applyAlignment="1" applyProtection="1">
      <alignment/>
      <protection/>
    </xf>
    <xf numFmtId="3" fontId="5" fillId="0" borderId="23" xfId="0" applyNumberFormat="1" applyFont="1" applyFill="1" applyBorder="1" applyAlignment="1" applyProtection="1">
      <alignment horizontal="right"/>
      <protection/>
    </xf>
    <xf numFmtId="3" fontId="5" fillId="0" borderId="25" xfId="0" applyNumberFormat="1" applyFont="1" applyFill="1" applyBorder="1" applyAlignment="1" applyProtection="1">
      <alignment/>
      <protection/>
    </xf>
    <xf numFmtId="0" fontId="5" fillId="0" borderId="26" xfId="0" applyFont="1" applyFill="1" applyBorder="1" applyAlignment="1" applyProtection="1">
      <alignment/>
      <protection/>
    </xf>
    <xf numFmtId="0" fontId="5" fillId="0" borderId="0" xfId="0" applyFont="1" applyFill="1" applyBorder="1" applyAlignment="1" applyProtection="1">
      <alignment/>
      <protection/>
    </xf>
    <xf numFmtId="0" fontId="5" fillId="0" borderId="21" xfId="0" applyFont="1" applyFill="1" applyBorder="1" applyAlignment="1" applyProtection="1">
      <alignment/>
      <protection/>
    </xf>
    <xf numFmtId="0" fontId="5" fillId="0" borderId="23" xfId="0" applyFont="1" applyFill="1" applyBorder="1" applyAlignment="1" applyProtection="1">
      <alignment/>
      <protection/>
    </xf>
    <xf numFmtId="3" fontId="5" fillId="0" borderId="0" xfId="0" applyNumberFormat="1" applyFont="1" applyFill="1" applyAlignment="1" applyProtection="1">
      <alignment wrapText="1"/>
      <protection/>
    </xf>
    <xf numFmtId="0" fontId="5" fillId="0" borderId="27" xfId="0" applyFont="1" applyFill="1" applyBorder="1" applyAlignment="1" applyProtection="1">
      <alignment/>
      <protection/>
    </xf>
    <xf numFmtId="0" fontId="5" fillId="0" borderId="0" xfId="0" applyFont="1" applyFill="1" applyBorder="1" applyAlignment="1" applyProtection="1">
      <alignment horizontal="left"/>
      <protection/>
    </xf>
    <xf numFmtId="0" fontId="7" fillId="0" borderId="0" xfId="0" applyFont="1" applyFill="1" applyBorder="1" applyAlignment="1" applyProtection="1">
      <alignment horizontal="left"/>
      <protection/>
    </xf>
    <xf numFmtId="0" fontId="6" fillId="0" borderId="20" xfId="0" applyFont="1" applyFill="1" applyBorder="1" applyAlignment="1" applyProtection="1">
      <alignment/>
      <protection/>
    </xf>
    <xf numFmtId="0" fontId="5" fillId="0" borderId="14" xfId="0" applyFont="1" applyFill="1" applyBorder="1" applyAlignment="1" applyProtection="1">
      <alignment/>
      <protection/>
    </xf>
    <xf numFmtId="0" fontId="5" fillId="0" borderId="1" xfId="0" applyFont="1" applyFill="1" applyBorder="1" applyAlignment="1" applyProtection="1">
      <alignment/>
      <protection/>
    </xf>
    <xf numFmtId="0" fontId="8" fillId="0" borderId="0" xfId="0" applyFont="1" applyFill="1" applyAlignment="1" applyProtection="1">
      <alignment horizontal="center"/>
      <protection/>
    </xf>
    <xf numFmtId="0" fontId="5" fillId="0" borderId="28" xfId="0" applyFont="1" applyFill="1" applyBorder="1" applyAlignment="1" applyProtection="1">
      <alignment/>
      <protection/>
    </xf>
    <xf numFmtId="0" fontId="5" fillId="0" borderId="26" xfId="0" applyFont="1" applyFill="1" applyBorder="1" applyAlignment="1" applyProtection="1">
      <alignment/>
      <protection/>
    </xf>
    <xf numFmtId="0" fontId="5" fillId="0" borderId="27" xfId="0" applyFont="1" applyFill="1" applyBorder="1" applyAlignment="1" applyProtection="1">
      <alignment/>
      <protection/>
    </xf>
    <xf numFmtId="0" fontId="5"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6" fillId="0" borderId="19" xfId="0" applyFont="1" applyFill="1" applyBorder="1" applyAlignment="1" applyProtection="1">
      <alignment/>
      <protection/>
    </xf>
    <xf numFmtId="0" fontId="6" fillId="0" borderId="20" xfId="0" applyFont="1" applyFill="1" applyBorder="1" applyAlignment="1" applyProtection="1">
      <alignment/>
      <protection/>
    </xf>
    <xf numFmtId="0" fontId="6" fillId="0" borderId="14" xfId="0" applyFont="1" applyFill="1" applyBorder="1" applyAlignment="1" applyProtection="1">
      <alignment/>
      <protection/>
    </xf>
    <xf numFmtId="0" fontId="6" fillId="0" borderId="0" xfId="0" applyFont="1" applyFill="1" applyBorder="1" applyAlignment="1" applyProtection="1">
      <alignment/>
      <protection/>
    </xf>
    <xf numFmtId="0" fontId="9" fillId="0" borderId="1" xfId="0" applyFont="1" applyFill="1" applyBorder="1" applyAlignment="1" applyProtection="1">
      <alignment horizontal="center"/>
      <protection/>
    </xf>
    <xf numFmtId="0" fontId="9" fillId="0" borderId="2" xfId="0" applyFont="1" applyFill="1" applyBorder="1" applyAlignment="1" applyProtection="1">
      <alignment horizontal="center"/>
      <protection/>
    </xf>
    <xf numFmtId="0" fontId="9" fillId="0" borderId="0" xfId="0" applyFont="1" applyFill="1" applyBorder="1" applyAlignment="1" applyProtection="1">
      <alignment/>
      <protection/>
    </xf>
    <xf numFmtId="0" fontId="5" fillId="0" borderId="29" xfId="0" applyFont="1" applyFill="1" applyBorder="1" applyAlignment="1" applyProtection="1">
      <alignment/>
      <protection/>
    </xf>
    <xf numFmtId="3" fontId="5" fillId="0" borderId="3" xfId="0" applyNumberFormat="1" applyFont="1" applyFill="1" applyBorder="1" applyAlignment="1" applyProtection="1">
      <alignment/>
      <protection/>
    </xf>
    <xf numFmtId="0" fontId="5" fillId="0" borderId="3" xfId="0" applyFont="1" applyFill="1" applyBorder="1" applyAlignment="1" applyProtection="1">
      <alignment/>
      <protection/>
    </xf>
    <xf numFmtId="3" fontId="5" fillId="0" borderId="4" xfId="0" applyNumberFormat="1" applyFont="1" applyFill="1" applyBorder="1" applyAlignment="1" applyProtection="1">
      <alignment/>
      <protection/>
    </xf>
    <xf numFmtId="3" fontId="5" fillId="0" borderId="30" xfId="0" applyNumberFormat="1" applyFont="1" applyFill="1" applyBorder="1" applyAlignment="1" applyProtection="1">
      <alignment/>
      <protection/>
    </xf>
    <xf numFmtId="0" fontId="5" fillId="0" borderId="30" xfId="0" applyFont="1" applyFill="1" applyBorder="1" applyAlignment="1" applyProtection="1">
      <alignment/>
      <protection/>
    </xf>
    <xf numFmtId="3" fontId="5" fillId="0" borderId="31" xfId="0" applyNumberFormat="1" applyFont="1" applyFill="1" applyBorder="1" applyAlignment="1" applyProtection="1">
      <alignment/>
      <protection/>
    </xf>
    <xf numFmtId="3" fontId="5" fillId="0" borderId="32" xfId="0" applyNumberFormat="1" applyFont="1" applyFill="1" applyBorder="1" applyAlignment="1" applyProtection="1">
      <alignment/>
      <protection/>
    </xf>
    <xf numFmtId="8" fontId="5" fillId="0" borderId="0" xfId="0" applyNumberFormat="1" applyFont="1" applyFill="1" applyBorder="1" applyAlignment="1" applyProtection="1">
      <alignment/>
      <protection/>
    </xf>
    <xf numFmtId="0" fontId="5" fillId="0" borderId="33" xfId="0" applyFont="1" applyFill="1" applyBorder="1" applyAlignment="1" applyProtection="1">
      <alignment/>
      <protection/>
    </xf>
    <xf numFmtId="3" fontId="5" fillId="0" borderId="34" xfId="0" applyNumberFormat="1" applyFont="1" applyFill="1" applyBorder="1" applyAlignment="1" applyProtection="1">
      <alignment horizontal="right"/>
      <protection/>
    </xf>
    <xf numFmtId="3" fontId="5" fillId="0" borderId="35" xfId="0" applyNumberFormat="1" applyFont="1" applyFill="1" applyBorder="1" applyAlignment="1" applyProtection="1">
      <alignment horizontal="right"/>
      <protection/>
    </xf>
    <xf numFmtId="3" fontId="5" fillId="0" borderId="36" xfId="0" applyNumberFormat="1" applyFont="1" applyFill="1" applyBorder="1" applyAlignment="1" applyProtection="1">
      <alignment horizontal="right"/>
      <protection/>
    </xf>
    <xf numFmtId="0" fontId="5" fillId="0" borderId="34" xfId="0" applyFont="1" applyFill="1" applyBorder="1" applyAlignment="1" applyProtection="1">
      <alignment/>
      <protection/>
    </xf>
    <xf numFmtId="3" fontId="5" fillId="0" borderId="37" xfId="0" applyNumberFormat="1" applyFont="1" applyFill="1" applyBorder="1" applyAlignment="1" applyProtection="1">
      <alignment horizontal="right"/>
      <protection/>
    </xf>
    <xf numFmtId="3" fontId="5" fillId="0" borderId="38" xfId="0" applyNumberFormat="1" applyFont="1" applyFill="1" applyBorder="1" applyAlignment="1" applyProtection="1">
      <alignment horizontal="right"/>
      <protection/>
    </xf>
    <xf numFmtId="3" fontId="5" fillId="0" borderId="39" xfId="0" applyNumberFormat="1" applyFont="1" applyFill="1" applyBorder="1" applyAlignment="1" applyProtection="1">
      <alignment/>
      <protection/>
    </xf>
    <xf numFmtId="8" fontId="5" fillId="0" borderId="0" xfId="0" applyNumberFormat="1" applyFont="1" applyFill="1" applyAlignment="1" applyProtection="1">
      <alignment/>
      <protection/>
    </xf>
    <xf numFmtId="0" fontId="5" fillId="0" borderId="0" xfId="0" applyFont="1" applyFill="1" applyBorder="1" applyAlignment="1" applyProtection="1">
      <alignment wrapText="1"/>
      <protection/>
    </xf>
    <xf numFmtId="0" fontId="5" fillId="0" borderId="0" xfId="0" applyFont="1" applyFill="1" applyAlignment="1" applyProtection="1">
      <alignment/>
      <protection/>
    </xf>
    <xf numFmtId="0" fontId="6" fillId="0" borderId="10" xfId="0" applyFont="1" applyFill="1" applyBorder="1" applyAlignment="1" applyProtection="1">
      <alignment/>
      <protection/>
    </xf>
    <xf numFmtId="0" fontId="6" fillId="0" borderId="11" xfId="0" applyFont="1" applyFill="1" applyBorder="1" applyAlignment="1" applyProtection="1">
      <alignment/>
      <protection/>
    </xf>
    <xf numFmtId="0" fontId="5" fillId="0" borderId="11" xfId="0" applyFont="1" applyFill="1" applyBorder="1" applyAlignment="1" applyProtection="1">
      <alignment/>
      <protection/>
    </xf>
    <xf numFmtId="0" fontId="5" fillId="0" borderId="12" xfId="0" applyFont="1" applyFill="1" applyBorder="1" applyAlignment="1" applyProtection="1">
      <alignment/>
      <protection/>
    </xf>
    <xf numFmtId="0" fontId="6" fillId="0" borderId="26" xfId="0" applyFont="1" applyFill="1" applyBorder="1" applyAlignment="1" applyProtection="1">
      <alignment/>
      <protection/>
    </xf>
    <xf numFmtId="0" fontId="5" fillId="0" borderId="21" xfId="0" applyFont="1" applyFill="1" applyBorder="1" applyAlignment="1" applyProtection="1">
      <alignment/>
      <protection/>
    </xf>
    <xf numFmtId="3" fontId="5" fillId="0" borderId="1" xfId="0" applyNumberFormat="1" applyFont="1" applyFill="1" applyBorder="1" applyAlignment="1" applyProtection="1">
      <alignment horizontal="center"/>
      <protection/>
    </xf>
    <xf numFmtId="3" fontId="5" fillId="0" borderId="2" xfId="0" applyNumberFormat="1" applyFont="1" applyFill="1" applyBorder="1" applyAlignment="1" applyProtection="1">
      <alignment horizontal="center"/>
      <protection/>
    </xf>
    <xf numFmtId="0" fontId="5" fillId="0" borderId="40" xfId="0" applyFont="1" applyFill="1" applyBorder="1" applyAlignment="1" applyProtection="1">
      <alignment/>
      <protection/>
    </xf>
    <xf numFmtId="165" fontId="5" fillId="0" borderId="0" xfId="0" applyNumberFormat="1" applyFont="1" applyFill="1" applyBorder="1" applyAlignment="1" applyProtection="1">
      <alignment/>
      <protection/>
    </xf>
    <xf numFmtId="3" fontId="5" fillId="0" borderId="5" xfId="0" applyNumberFormat="1" applyFont="1" applyFill="1" applyBorder="1" applyAlignment="1" applyProtection="1">
      <alignment horizontal="center"/>
      <protection/>
    </xf>
    <xf numFmtId="3" fontId="5" fillId="0" borderId="6" xfId="0" applyNumberFormat="1" applyFont="1" applyFill="1" applyBorder="1" applyAlignment="1" applyProtection="1">
      <alignment horizontal="center"/>
      <protection/>
    </xf>
    <xf numFmtId="0" fontId="5" fillId="0" borderId="41" xfId="0" applyFont="1" applyFill="1" applyBorder="1" applyAlignment="1" applyProtection="1">
      <alignment/>
      <protection/>
    </xf>
    <xf numFmtId="0" fontId="5" fillId="0" borderId="39" xfId="0" applyFont="1" applyFill="1" applyBorder="1" applyAlignment="1" applyProtection="1">
      <alignment/>
      <protection/>
    </xf>
    <xf numFmtId="0" fontId="5" fillId="0" borderId="20" xfId="0" applyFont="1" applyFill="1" applyBorder="1" applyAlignment="1" applyProtection="1">
      <alignment/>
      <protection/>
    </xf>
    <xf numFmtId="0" fontId="5" fillId="0" borderId="13" xfId="0" applyFont="1" applyFill="1" applyBorder="1" applyAlignment="1" applyProtection="1">
      <alignment/>
      <protection/>
    </xf>
    <xf numFmtId="0" fontId="5" fillId="0" borderId="11" xfId="0" applyFont="1" applyFill="1" applyBorder="1" applyAlignment="1" applyProtection="1">
      <alignment/>
      <protection/>
    </xf>
    <xf numFmtId="0" fontId="5" fillId="0" borderId="12" xfId="0" applyFont="1" applyFill="1" applyBorder="1" applyAlignment="1" applyProtection="1">
      <alignment/>
      <protection/>
    </xf>
    <xf numFmtId="0" fontId="5" fillId="0" borderId="42" xfId="0" applyFont="1" applyFill="1" applyBorder="1" applyAlignment="1" applyProtection="1">
      <alignment/>
      <protection/>
    </xf>
    <xf numFmtId="0" fontId="5" fillId="0" borderId="43" xfId="0" applyFont="1" applyFill="1" applyBorder="1" applyAlignment="1" applyProtection="1">
      <alignment/>
      <protection/>
    </xf>
    <xf numFmtId="0" fontId="5" fillId="0" borderId="44" xfId="0" applyFont="1" applyFill="1" applyBorder="1" applyAlignment="1" applyProtection="1">
      <alignment/>
      <protection/>
    </xf>
    <xf numFmtId="2" fontId="5" fillId="0" borderId="5" xfId="0" applyNumberFormat="1" applyFont="1" applyFill="1" applyBorder="1" applyAlignment="1" applyProtection="1">
      <alignment horizontal="center"/>
      <protection/>
    </xf>
    <xf numFmtId="2" fontId="5" fillId="0" borderId="6" xfId="0" applyNumberFormat="1" applyFont="1" applyFill="1" applyBorder="1" applyAlignment="1" applyProtection="1">
      <alignment horizontal="center"/>
      <protection/>
    </xf>
    <xf numFmtId="0" fontId="9" fillId="0" borderId="0" xfId="0" applyFont="1" applyFill="1" applyBorder="1" applyAlignment="1" applyProtection="1">
      <alignment horizontal="center"/>
      <protection/>
    </xf>
    <xf numFmtId="3" fontId="5" fillId="0" borderId="0" xfId="0" applyNumberFormat="1" applyFont="1" applyFill="1" applyBorder="1" applyAlignment="1" applyProtection="1">
      <alignment horizontal="center"/>
      <protection/>
    </xf>
    <xf numFmtId="9" fontId="5" fillId="5" borderId="45" xfId="0" applyNumberFormat="1" applyFont="1" applyFill="1" applyBorder="1" applyAlignment="1" applyProtection="1">
      <alignment/>
      <protection/>
    </xf>
    <xf numFmtId="0" fontId="5" fillId="5" borderId="26" xfId="0" applyFont="1" applyFill="1" applyBorder="1" applyAlignment="1" applyProtection="1">
      <alignment/>
      <protection/>
    </xf>
    <xf numFmtId="0" fontId="5" fillId="5" borderId="42" xfId="0" applyFont="1" applyFill="1" applyBorder="1" applyAlignment="1" applyProtection="1">
      <alignment/>
      <protection/>
    </xf>
    <xf numFmtId="0" fontId="5" fillId="5" borderId="23" xfId="0" applyFont="1" applyFill="1" applyBorder="1" applyAlignment="1" applyProtection="1">
      <alignment/>
      <protection/>
    </xf>
    <xf numFmtId="0" fontId="5" fillId="5" borderId="1" xfId="0" applyFont="1" applyFill="1" applyBorder="1" applyAlignment="1" applyProtection="1">
      <alignment horizontal="center"/>
      <protection/>
    </xf>
    <xf numFmtId="0" fontId="5" fillId="5" borderId="2" xfId="0" applyFont="1" applyFill="1" applyBorder="1" applyAlignment="1" applyProtection="1">
      <alignment horizontal="center"/>
      <protection/>
    </xf>
    <xf numFmtId="0" fontId="5" fillId="5" borderId="35" xfId="0" applyFont="1" applyFill="1" applyBorder="1" applyAlignment="1" applyProtection="1">
      <alignment/>
      <protection/>
    </xf>
    <xf numFmtId="0" fontId="5" fillId="0" borderId="46" xfId="0" applyFont="1" applyFill="1" applyBorder="1" applyAlignment="1" applyProtection="1">
      <alignment horizontal="center"/>
      <protection/>
    </xf>
    <xf numFmtId="0" fontId="5" fillId="0" borderId="47" xfId="0" applyFont="1" applyFill="1" applyBorder="1" applyAlignment="1" applyProtection="1">
      <alignment horizontal="center" wrapText="1"/>
      <protection/>
    </xf>
    <xf numFmtId="0" fontId="5" fillId="0" borderId="10" xfId="0" applyFont="1" applyFill="1" applyBorder="1" applyAlignment="1" applyProtection="1">
      <alignment horizontal="center" wrapText="1"/>
      <protection/>
    </xf>
    <xf numFmtId="3" fontId="5" fillId="0" borderId="21" xfId="0" applyNumberFormat="1" applyFont="1" applyFill="1" applyBorder="1" applyAlignment="1" applyProtection="1">
      <alignment/>
      <protection/>
    </xf>
    <xf numFmtId="3" fontId="5" fillId="0" borderId="29" xfId="0" applyNumberFormat="1" applyFont="1" applyFill="1" applyBorder="1" applyAlignment="1" applyProtection="1">
      <alignment/>
      <protection/>
    </xf>
    <xf numFmtId="3" fontId="5" fillId="0" borderId="33" xfId="0" applyNumberFormat="1" applyFont="1" applyFill="1" applyBorder="1" applyAlignment="1" applyProtection="1">
      <alignment horizontal="right"/>
      <protection/>
    </xf>
    <xf numFmtId="9" fontId="5" fillId="5" borderId="35" xfId="0" applyNumberFormat="1" applyFont="1" applyFill="1" applyBorder="1" applyAlignment="1" applyProtection="1">
      <alignment/>
      <protection/>
    </xf>
    <xf numFmtId="0" fontId="6" fillId="0" borderId="41" xfId="0" applyFont="1" applyFill="1" applyBorder="1" applyAlignment="1" applyProtection="1">
      <alignment/>
      <protection/>
    </xf>
    <xf numFmtId="0" fontId="5" fillId="0" borderId="48" xfId="0" applyFont="1" applyFill="1" applyBorder="1" applyAlignment="1" applyProtection="1">
      <alignment/>
      <protection/>
    </xf>
    <xf numFmtId="9" fontId="5" fillId="0" borderId="1" xfId="0" applyNumberFormat="1" applyFont="1" applyFill="1" applyBorder="1" applyAlignment="1" applyProtection="1">
      <alignment horizontal="center"/>
      <protection/>
    </xf>
    <xf numFmtId="9" fontId="5" fillId="0" borderId="2" xfId="0" applyNumberFormat="1" applyFont="1" applyFill="1" applyBorder="1" applyAlignment="1" applyProtection="1">
      <alignment horizontal="center"/>
      <protection/>
    </xf>
    <xf numFmtId="0" fontId="11" fillId="0" borderId="20" xfId="0" applyFont="1" applyBorder="1" applyAlignment="1">
      <alignment/>
    </xf>
    <xf numFmtId="0" fontId="11" fillId="0" borderId="14" xfId="0" applyFont="1" applyBorder="1" applyAlignment="1">
      <alignment/>
    </xf>
    <xf numFmtId="0" fontId="10" fillId="0" borderId="19" xfId="0" applyFont="1" applyFill="1" applyBorder="1" applyAlignment="1">
      <alignment/>
    </xf>
    <xf numFmtId="0" fontId="5" fillId="0" borderId="21" xfId="0" applyFont="1" applyFill="1" applyBorder="1" applyAlignment="1" applyProtection="1">
      <alignment horizontal="left"/>
      <protection/>
    </xf>
    <xf numFmtId="0" fontId="5" fillId="0" borderId="40" xfId="0" applyFont="1" applyFill="1" applyBorder="1" applyAlignment="1" applyProtection="1">
      <alignment horizontal="left"/>
      <protection/>
    </xf>
    <xf numFmtId="0" fontId="0" fillId="0" borderId="0" xfId="0" applyFill="1" applyAlignment="1" applyProtection="1">
      <alignment/>
      <protection/>
    </xf>
    <xf numFmtId="0" fontId="0" fillId="0" borderId="0" xfId="0" applyFill="1" applyAlignment="1" applyProtection="1">
      <alignment horizontal="left" wrapText="1"/>
      <protection/>
    </xf>
    <xf numFmtId="0" fontId="5" fillId="4" borderId="0" xfId="0" applyFont="1" applyFill="1" applyAlignment="1" applyProtection="1">
      <alignment horizontal="center"/>
      <protection/>
    </xf>
    <xf numFmtId="0" fontId="5" fillId="3" borderId="0" xfId="0" applyFont="1" applyFill="1" applyAlignment="1" applyProtection="1">
      <alignment horizontal="center"/>
      <protection/>
    </xf>
    <xf numFmtId="0" fontId="0" fillId="0" borderId="0" xfId="0" applyAlignment="1">
      <alignment horizontal="left" wrapText="1"/>
    </xf>
    <xf numFmtId="0" fontId="5" fillId="4" borderId="0" xfId="0" applyFont="1" applyFill="1" applyAlignment="1" applyProtection="1">
      <alignment horizontal="center" vertical="top" wrapText="1"/>
      <protection/>
    </xf>
    <xf numFmtId="0" fontId="5" fillId="0" borderId="0" xfId="0" applyFont="1" applyFill="1" applyAlignment="1" applyProtection="1">
      <alignment vertical="top"/>
      <protection/>
    </xf>
    <xf numFmtId="0" fontId="5" fillId="0" borderId="28" xfId="0" applyFont="1" applyFill="1" applyBorder="1" applyAlignment="1" applyProtection="1">
      <alignment/>
      <protection/>
    </xf>
    <xf numFmtId="0" fontId="6" fillId="0" borderId="0" xfId="0" applyFont="1" applyFill="1" applyAlignment="1" applyProtection="1">
      <alignment horizontal="center" wrapText="1"/>
      <protection/>
    </xf>
    <xf numFmtId="0" fontId="0" fillId="0" borderId="0" xfId="0" applyAlignment="1" applyProtection="1">
      <alignment horizontal="center" wrapText="1"/>
      <protection/>
    </xf>
    <xf numFmtId="0" fontId="0" fillId="0" borderId="0" xfId="0" applyFill="1" applyAlignment="1" applyProtection="1">
      <alignment/>
      <protection/>
    </xf>
    <xf numFmtId="0" fontId="5" fillId="3" borderId="49" xfId="0" applyFont="1" applyFill="1" applyBorder="1" applyAlignment="1" applyProtection="1">
      <alignment horizontal="center"/>
      <protection locked="0"/>
    </xf>
    <xf numFmtId="0" fontId="7" fillId="3" borderId="50" xfId="0" applyFont="1" applyFill="1" applyBorder="1" applyAlignment="1" applyProtection="1">
      <alignment horizontal="center"/>
      <protection locked="0"/>
    </xf>
    <xf numFmtId="0" fontId="0" fillId="0" borderId="0" xfId="0" applyFill="1" applyAlignment="1" applyProtection="1">
      <alignment horizontal="center"/>
      <protection/>
    </xf>
    <xf numFmtId="0" fontId="6" fillId="0" borderId="26" xfId="0" applyFont="1" applyFill="1" applyBorder="1" applyAlignment="1" applyProtection="1">
      <alignment/>
      <protection/>
    </xf>
    <xf numFmtId="0" fontId="0" fillId="0" borderId="42" xfId="0" applyFill="1" applyBorder="1" applyAlignment="1" applyProtection="1">
      <alignment/>
      <protection/>
    </xf>
    <xf numFmtId="0" fontId="0" fillId="0" borderId="23" xfId="0" applyFill="1" applyBorder="1" applyAlignment="1" applyProtection="1">
      <alignment/>
      <protection/>
    </xf>
    <xf numFmtId="0" fontId="5" fillId="0" borderId="26" xfId="0" applyFont="1" applyFill="1" applyBorder="1" applyAlignment="1" applyProtection="1">
      <alignment/>
      <protection/>
    </xf>
    <xf numFmtId="0" fontId="0" fillId="0" borderId="42" xfId="0" applyFont="1" applyFill="1" applyBorder="1" applyAlignment="1" applyProtection="1">
      <alignment/>
      <protection/>
    </xf>
    <xf numFmtId="0" fontId="0" fillId="0" borderId="23" xfId="0" applyFont="1" applyFill="1" applyBorder="1" applyAlignment="1" applyProtection="1">
      <alignment/>
      <protection/>
    </xf>
    <xf numFmtId="0" fontId="6" fillId="0" borderId="0" xfId="0" applyFont="1" applyFill="1" applyAlignment="1" applyProtection="1">
      <alignment horizontal="center"/>
      <protection/>
    </xf>
    <xf numFmtId="0" fontId="0" fillId="0" borderId="0" xfId="0" applyAlignment="1">
      <alignment/>
    </xf>
    <xf numFmtId="0" fontId="5" fillId="3" borderId="24" xfId="0" applyFont="1" applyFill="1" applyBorder="1" applyAlignment="1" applyProtection="1">
      <alignment/>
      <protection locked="0"/>
    </xf>
    <xf numFmtId="0" fontId="7" fillId="3" borderId="42" xfId="0" applyFont="1" applyFill="1" applyBorder="1" applyAlignment="1" applyProtection="1">
      <alignment/>
      <protection locked="0"/>
    </xf>
    <xf numFmtId="0" fontId="7" fillId="3" borderId="51" xfId="0" applyFont="1" applyFill="1" applyBorder="1" applyAlignment="1" applyProtection="1">
      <alignment/>
      <protection locked="0"/>
    </xf>
    <xf numFmtId="0" fontId="5" fillId="3" borderId="52" xfId="0" applyFont="1" applyFill="1" applyBorder="1" applyAlignment="1" applyProtection="1">
      <alignment horizontal="left"/>
      <protection locked="0"/>
    </xf>
    <xf numFmtId="0" fontId="7" fillId="3" borderId="43" xfId="0" applyFont="1" applyFill="1" applyBorder="1" applyAlignment="1" applyProtection="1">
      <alignment horizontal="left"/>
      <protection locked="0"/>
    </xf>
    <xf numFmtId="0" fontId="7" fillId="3" borderId="50" xfId="0" applyFont="1" applyFill="1" applyBorder="1" applyAlignment="1" applyProtection="1">
      <alignment horizontal="left"/>
      <protection locked="0"/>
    </xf>
    <xf numFmtId="4" fontId="5" fillId="3" borderId="53" xfId="0" applyNumberFormat="1" applyFont="1" applyFill="1" applyBorder="1" applyAlignment="1" applyProtection="1">
      <alignment horizontal="center"/>
      <protection locked="0"/>
    </xf>
    <xf numFmtId="0" fontId="7" fillId="3" borderId="54" xfId="0" applyFont="1" applyFill="1" applyBorder="1" applyAlignment="1" applyProtection="1">
      <alignment horizontal="center"/>
      <protection locked="0"/>
    </xf>
    <xf numFmtId="0" fontId="6" fillId="3" borderId="0" xfId="0" applyFont="1" applyFill="1" applyAlignment="1" applyProtection="1">
      <alignment horizontal="center"/>
      <protection locked="0"/>
    </xf>
    <xf numFmtId="0" fontId="0" fillId="0" borderId="0" xfId="0" applyAlignment="1">
      <alignment horizontal="center"/>
    </xf>
    <xf numFmtId="8" fontId="5" fillId="0" borderId="0" xfId="0" applyNumberFormat="1" applyFont="1" applyFill="1" applyAlignment="1" applyProtection="1">
      <alignment/>
      <protection/>
    </xf>
    <xf numFmtId="0" fontId="5" fillId="0" borderId="0" xfId="0" applyFont="1" applyFill="1" applyAlignment="1" applyProtection="1">
      <alignment/>
      <protection/>
    </xf>
    <xf numFmtId="0" fontId="5" fillId="0" borderId="0" xfId="0" applyFont="1" applyFill="1" applyBorder="1" applyAlignment="1" applyProtection="1">
      <alignment horizontal="left" wrapText="1"/>
      <protection/>
    </xf>
    <xf numFmtId="0" fontId="5" fillId="0" borderId="27" xfId="0" applyFont="1" applyFill="1" applyBorder="1" applyAlignment="1" applyProtection="1">
      <alignment/>
      <protection/>
    </xf>
    <xf numFmtId="0" fontId="0" fillId="0" borderId="43" xfId="0" applyFont="1" applyFill="1" applyBorder="1" applyAlignment="1" applyProtection="1">
      <alignment/>
      <protection/>
    </xf>
    <xf numFmtId="0" fontId="0" fillId="0" borderId="44" xfId="0" applyFont="1" applyFill="1" applyBorder="1" applyAlignment="1" applyProtection="1">
      <alignment/>
      <protection/>
    </xf>
    <xf numFmtId="0" fontId="5" fillId="3" borderId="55" xfId="0" applyFont="1" applyFill="1" applyBorder="1" applyAlignment="1" applyProtection="1">
      <alignment horizontal="center"/>
      <protection locked="0"/>
    </xf>
    <xf numFmtId="0" fontId="7" fillId="3" borderId="51" xfId="0" applyFont="1" applyFill="1" applyBorder="1" applyAlignment="1" applyProtection="1">
      <alignment horizontal="center"/>
      <protection locked="0"/>
    </xf>
    <xf numFmtId="9" fontId="5" fillId="3" borderId="55" xfId="19" applyFont="1" applyFill="1" applyBorder="1" applyAlignment="1" applyProtection="1">
      <alignment horizontal="center"/>
      <protection locked="0"/>
    </xf>
    <xf numFmtId="9" fontId="7" fillId="3" borderId="51" xfId="19" applyFont="1" applyFill="1" applyBorder="1" applyAlignment="1" applyProtection="1">
      <alignment horizontal="center"/>
      <protection locked="0"/>
    </xf>
    <xf numFmtId="0" fontId="5" fillId="0" borderId="0" xfId="0" applyFont="1" applyFill="1" applyBorder="1" applyAlignment="1" applyProtection="1" quotePrefix="1">
      <alignment horizontal="left" wrapText="1"/>
      <protection/>
    </xf>
    <xf numFmtId="0" fontId="5" fillId="0" borderId="0" xfId="0" applyFont="1" applyFill="1" applyBorder="1" applyAlignment="1" applyProtection="1">
      <alignment wrapText="1"/>
      <protection/>
    </xf>
    <xf numFmtId="0" fontId="0" fillId="0" borderId="0" xfId="0" applyAlignment="1">
      <alignment wrapText="1"/>
    </xf>
    <xf numFmtId="9" fontId="5" fillId="3" borderId="37" xfId="19" applyFont="1" applyFill="1" applyBorder="1" applyAlignment="1" applyProtection="1">
      <alignment horizontal="center"/>
      <protection locked="0"/>
    </xf>
    <xf numFmtId="9" fontId="7" fillId="3" borderId="48" xfId="19" applyFont="1" applyFill="1" applyBorder="1" applyAlignment="1" applyProtection="1">
      <alignment horizontal="center"/>
      <protection locked="0"/>
    </xf>
    <xf numFmtId="0" fontId="5" fillId="3" borderId="24" xfId="0" applyFont="1" applyFill="1" applyBorder="1" applyAlignment="1" applyProtection="1">
      <alignment horizontal="left"/>
      <protection locked="0"/>
    </xf>
    <xf numFmtId="0" fontId="7" fillId="3" borderId="42" xfId="0" applyFont="1" applyFill="1" applyBorder="1" applyAlignment="1" applyProtection="1">
      <alignment horizontal="left"/>
      <protection locked="0"/>
    </xf>
    <xf numFmtId="0" fontId="0" fillId="0" borderId="51" xfId="0" applyBorder="1" applyAlignment="1" applyProtection="1">
      <alignment horizontal="left"/>
      <protection locked="0"/>
    </xf>
    <xf numFmtId="0" fontId="5" fillId="3" borderId="1" xfId="0" applyFont="1" applyFill="1" applyBorder="1" applyAlignment="1" applyProtection="1">
      <alignment horizontal="left"/>
      <protection locked="0"/>
    </xf>
    <xf numFmtId="0" fontId="7" fillId="3" borderId="1" xfId="0" applyFont="1" applyFill="1" applyBorder="1" applyAlignment="1" applyProtection="1">
      <alignment horizontal="left"/>
      <protection locked="0"/>
    </xf>
    <xf numFmtId="0" fontId="0" fillId="0" borderId="2" xfId="0" applyBorder="1" applyAlignment="1" applyProtection="1">
      <alignment horizontal="left"/>
      <protection locked="0"/>
    </xf>
    <xf numFmtId="0" fontId="5" fillId="3" borderId="5" xfId="0" applyFont="1" applyFill="1" applyBorder="1" applyAlignment="1" applyProtection="1">
      <alignment horizontal="left"/>
      <protection locked="0"/>
    </xf>
    <xf numFmtId="0" fontId="7" fillId="3" borderId="5" xfId="0" applyFont="1" applyFill="1" applyBorder="1" applyAlignment="1" applyProtection="1">
      <alignment horizontal="left"/>
      <protection locked="0"/>
    </xf>
    <xf numFmtId="0" fontId="0" fillId="0" borderId="6" xfId="0" applyBorder="1" applyAlignment="1" applyProtection="1">
      <alignment horizontal="lef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2.emf" /><Relationship Id="rId7"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14</xdr:row>
      <xdr:rowOff>104775</xdr:rowOff>
    </xdr:from>
    <xdr:to>
      <xdr:col>0</xdr:col>
      <xdr:colOff>1647825</xdr:colOff>
      <xdr:row>18</xdr:row>
      <xdr:rowOff>28575</xdr:rowOff>
    </xdr:to>
    <xdr:sp>
      <xdr:nvSpPr>
        <xdr:cNvPr id="1" name="Rectangle 151"/>
        <xdr:cNvSpPr>
          <a:spLocks/>
        </xdr:cNvSpPr>
      </xdr:nvSpPr>
      <xdr:spPr>
        <a:xfrm>
          <a:off x="438150" y="2676525"/>
          <a:ext cx="1209675" cy="552450"/>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14</xdr:row>
      <xdr:rowOff>104775</xdr:rowOff>
    </xdr:from>
    <xdr:to>
      <xdr:col>0</xdr:col>
      <xdr:colOff>1590675</xdr:colOff>
      <xdr:row>16</xdr:row>
      <xdr:rowOff>85725</xdr:rowOff>
    </xdr:to>
    <xdr:sp>
      <xdr:nvSpPr>
        <xdr:cNvPr id="2" name="Text 82"/>
        <xdr:cNvSpPr txBox="1">
          <a:spLocks noChangeArrowheads="1"/>
        </xdr:cNvSpPr>
      </xdr:nvSpPr>
      <xdr:spPr>
        <a:xfrm>
          <a:off x="476250" y="2676525"/>
          <a:ext cx="1114425" cy="304800"/>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104775</xdr:rowOff>
    </xdr:from>
    <xdr:to>
      <xdr:col>0</xdr:col>
      <xdr:colOff>0</xdr:colOff>
      <xdr:row>19</xdr:row>
      <xdr:rowOff>28575</xdr:rowOff>
    </xdr:to>
    <xdr:grpSp>
      <xdr:nvGrpSpPr>
        <xdr:cNvPr id="1" name="Group 24"/>
        <xdr:cNvGrpSpPr>
          <a:grpSpLocks/>
        </xdr:cNvGrpSpPr>
      </xdr:nvGrpSpPr>
      <xdr:grpSpPr>
        <a:xfrm>
          <a:off x="0" y="2838450"/>
          <a:ext cx="0" cy="542925"/>
          <a:chOff x="44" y="266"/>
          <a:chExt cx="127" cy="57"/>
        </a:xfrm>
        <a:solidFill>
          <a:srgbClr val="FFFFFF"/>
        </a:solidFill>
      </xdr:grpSpPr>
      <xdr:sp>
        <xdr:nvSpPr>
          <xdr:cNvPr id="2" name="Rectangle 25"/>
          <xdr:cNvSpPr>
            <a:spLocks/>
          </xdr:cNvSpPr>
        </xdr:nvSpPr>
        <xdr:spPr>
          <a:xfrm>
            <a:off x="44" y="266"/>
            <a:ext cx="127" cy="57"/>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82"/>
          <xdr:cNvSpPr txBox="1">
            <a:spLocks noChangeArrowheads="1"/>
          </xdr:cNvSpPr>
        </xdr:nvSpPr>
        <xdr:spPr>
          <a:xfrm>
            <a:off x="48" y="266"/>
            <a:ext cx="117" cy="31"/>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grpSp>
    <xdr:clientData/>
  </xdr:twoCellAnchor>
  <xdr:twoCellAnchor>
    <xdr:from>
      <xdr:col>0</xdr:col>
      <xdr:colOff>0</xdr:colOff>
      <xdr:row>15</xdr:row>
      <xdr:rowOff>104775</xdr:rowOff>
    </xdr:from>
    <xdr:to>
      <xdr:col>0</xdr:col>
      <xdr:colOff>0</xdr:colOff>
      <xdr:row>19</xdr:row>
      <xdr:rowOff>28575</xdr:rowOff>
    </xdr:to>
    <xdr:sp>
      <xdr:nvSpPr>
        <xdr:cNvPr id="5" name="Rectangle 47"/>
        <xdr:cNvSpPr>
          <a:spLocks/>
        </xdr:cNvSpPr>
      </xdr:nvSpPr>
      <xdr:spPr>
        <a:xfrm>
          <a:off x="0" y="2838450"/>
          <a:ext cx="0" cy="542925"/>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104775</xdr:rowOff>
    </xdr:from>
    <xdr:to>
      <xdr:col>0</xdr:col>
      <xdr:colOff>0</xdr:colOff>
      <xdr:row>17</xdr:row>
      <xdr:rowOff>85725</xdr:rowOff>
    </xdr:to>
    <xdr:sp>
      <xdr:nvSpPr>
        <xdr:cNvPr id="6" name="Text 82"/>
        <xdr:cNvSpPr txBox="1">
          <a:spLocks noChangeArrowheads="1"/>
        </xdr:cNvSpPr>
      </xdr:nvSpPr>
      <xdr:spPr>
        <a:xfrm>
          <a:off x="0" y="2838450"/>
          <a:ext cx="0" cy="295275"/>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clientData/>
  </xdr:twoCellAnchor>
  <xdr:twoCellAnchor>
    <xdr:from>
      <xdr:col>0</xdr:col>
      <xdr:colOff>438150</xdr:colOff>
      <xdr:row>14</xdr:row>
      <xdr:rowOff>104775</xdr:rowOff>
    </xdr:from>
    <xdr:to>
      <xdr:col>0</xdr:col>
      <xdr:colOff>1647825</xdr:colOff>
      <xdr:row>18</xdr:row>
      <xdr:rowOff>28575</xdr:rowOff>
    </xdr:to>
    <xdr:sp>
      <xdr:nvSpPr>
        <xdr:cNvPr id="7" name="Rectangle 57"/>
        <xdr:cNvSpPr>
          <a:spLocks/>
        </xdr:cNvSpPr>
      </xdr:nvSpPr>
      <xdr:spPr>
        <a:xfrm>
          <a:off x="438150" y="2676525"/>
          <a:ext cx="1209675" cy="552450"/>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14</xdr:row>
      <xdr:rowOff>104775</xdr:rowOff>
    </xdr:from>
    <xdr:to>
      <xdr:col>0</xdr:col>
      <xdr:colOff>1590675</xdr:colOff>
      <xdr:row>16</xdr:row>
      <xdr:rowOff>85725</xdr:rowOff>
    </xdr:to>
    <xdr:sp>
      <xdr:nvSpPr>
        <xdr:cNvPr id="8" name="Text 82"/>
        <xdr:cNvSpPr txBox="1">
          <a:spLocks noChangeArrowheads="1"/>
        </xdr:cNvSpPr>
      </xdr:nvSpPr>
      <xdr:spPr>
        <a:xfrm>
          <a:off x="476250" y="2676525"/>
          <a:ext cx="1114425" cy="304800"/>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clientData/>
  </xdr:twoCellAnchor>
  <xdr:twoCellAnchor>
    <xdr:from>
      <xdr:col>0</xdr:col>
      <xdr:colOff>438150</xdr:colOff>
      <xdr:row>14</xdr:row>
      <xdr:rowOff>104775</xdr:rowOff>
    </xdr:from>
    <xdr:to>
      <xdr:col>0</xdr:col>
      <xdr:colOff>1647825</xdr:colOff>
      <xdr:row>18</xdr:row>
      <xdr:rowOff>28575</xdr:rowOff>
    </xdr:to>
    <xdr:sp>
      <xdr:nvSpPr>
        <xdr:cNvPr id="9" name="Rectangle 71"/>
        <xdr:cNvSpPr>
          <a:spLocks/>
        </xdr:cNvSpPr>
      </xdr:nvSpPr>
      <xdr:spPr>
        <a:xfrm>
          <a:off x="438150" y="2676525"/>
          <a:ext cx="1209675" cy="552450"/>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14</xdr:row>
      <xdr:rowOff>104775</xdr:rowOff>
    </xdr:from>
    <xdr:to>
      <xdr:col>0</xdr:col>
      <xdr:colOff>1590675</xdr:colOff>
      <xdr:row>16</xdr:row>
      <xdr:rowOff>85725</xdr:rowOff>
    </xdr:to>
    <xdr:sp>
      <xdr:nvSpPr>
        <xdr:cNvPr id="10" name="Text 82"/>
        <xdr:cNvSpPr txBox="1">
          <a:spLocks noChangeArrowheads="1"/>
        </xdr:cNvSpPr>
      </xdr:nvSpPr>
      <xdr:spPr>
        <a:xfrm>
          <a:off x="476250" y="2676525"/>
          <a:ext cx="1114425" cy="304800"/>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104775</xdr:rowOff>
    </xdr:from>
    <xdr:to>
      <xdr:col>0</xdr:col>
      <xdr:colOff>0</xdr:colOff>
      <xdr:row>19</xdr:row>
      <xdr:rowOff>28575</xdr:rowOff>
    </xdr:to>
    <xdr:grpSp>
      <xdr:nvGrpSpPr>
        <xdr:cNvPr id="1" name="Group 24"/>
        <xdr:cNvGrpSpPr>
          <a:grpSpLocks/>
        </xdr:cNvGrpSpPr>
      </xdr:nvGrpSpPr>
      <xdr:grpSpPr>
        <a:xfrm>
          <a:off x="0" y="2838450"/>
          <a:ext cx="0" cy="542925"/>
          <a:chOff x="44" y="266"/>
          <a:chExt cx="127" cy="57"/>
        </a:xfrm>
        <a:solidFill>
          <a:srgbClr val="FFFFFF"/>
        </a:solidFill>
      </xdr:grpSpPr>
      <xdr:sp>
        <xdr:nvSpPr>
          <xdr:cNvPr id="2" name="Rectangle 25"/>
          <xdr:cNvSpPr>
            <a:spLocks/>
          </xdr:cNvSpPr>
        </xdr:nvSpPr>
        <xdr:spPr>
          <a:xfrm>
            <a:off x="44" y="266"/>
            <a:ext cx="127" cy="57"/>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82"/>
          <xdr:cNvSpPr txBox="1">
            <a:spLocks noChangeArrowheads="1"/>
          </xdr:cNvSpPr>
        </xdr:nvSpPr>
        <xdr:spPr>
          <a:xfrm>
            <a:off x="48" y="266"/>
            <a:ext cx="117" cy="31"/>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grpSp>
    <xdr:clientData/>
  </xdr:twoCellAnchor>
  <xdr:twoCellAnchor>
    <xdr:from>
      <xdr:col>0</xdr:col>
      <xdr:colOff>0</xdr:colOff>
      <xdr:row>15</xdr:row>
      <xdr:rowOff>104775</xdr:rowOff>
    </xdr:from>
    <xdr:to>
      <xdr:col>0</xdr:col>
      <xdr:colOff>0</xdr:colOff>
      <xdr:row>19</xdr:row>
      <xdr:rowOff>28575</xdr:rowOff>
    </xdr:to>
    <xdr:sp>
      <xdr:nvSpPr>
        <xdr:cNvPr id="5" name="Rectangle 35"/>
        <xdr:cNvSpPr>
          <a:spLocks/>
        </xdr:cNvSpPr>
      </xdr:nvSpPr>
      <xdr:spPr>
        <a:xfrm>
          <a:off x="0" y="2838450"/>
          <a:ext cx="0" cy="542925"/>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104775</xdr:rowOff>
    </xdr:from>
    <xdr:to>
      <xdr:col>0</xdr:col>
      <xdr:colOff>0</xdr:colOff>
      <xdr:row>17</xdr:row>
      <xdr:rowOff>85725</xdr:rowOff>
    </xdr:to>
    <xdr:sp>
      <xdr:nvSpPr>
        <xdr:cNvPr id="6" name="Text 82"/>
        <xdr:cNvSpPr txBox="1">
          <a:spLocks noChangeArrowheads="1"/>
        </xdr:cNvSpPr>
      </xdr:nvSpPr>
      <xdr:spPr>
        <a:xfrm>
          <a:off x="0" y="2838450"/>
          <a:ext cx="0" cy="295275"/>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clientData/>
  </xdr:twoCellAnchor>
  <xdr:twoCellAnchor>
    <xdr:from>
      <xdr:col>0</xdr:col>
      <xdr:colOff>438150</xdr:colOff>
      <xdr:row>14</xdr:row>
      <xdr:rowOff>104775</xdr:rowOff>
    </xdr:from>
    <xdr:to>
      <xdr:col>0</xdr:col>
      <xdr:colOff>1647825</xdr:colOff>
      <xdr:row>18</xdr:row>
      <xdr:rowOff>28575</xdr:rowOff>
    </xdr:to>
    <xdr:sp>
      <xdr:nvSpPr>
        <xdr:cNvPr id="7" name="Rectangle 45"/>
        <xdr:cNvSpPr>
          <a:spLocks/>
        </xdr:cNvSpPr>
      </xdr:nvSpPr>
      <xdr:spPr>
        <a:xfrm>
          <a:off x="438150" y="2676525"/>
          <a:ext cx="1209675" cy="552450"/>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14</xdr:row>
      <xdr:rowOff>104775</xdr:rowOff>
    </xdr:from>
    <xdr:to>
      <xdr:col>0</xdr:col>
      <xdr:colOff>1590675</xdr:colOff>
      <xdr:row>16</xdr:row>
      <xdr:rowOff>85725</xdr:rowOff>
    </xdr:to>
    <xdr:sp>
      <xdr:nvSpPr>
        <xdr:cNvPr id="8" name="Text 82"/>
        <xdr:cNvSpPr txBox="1">
          <a:spLocks noChangeArrowheads="1"/>
        </xdr:cNvSpPr>
      </xdr:nvSpPr>
      <xdr:spPr>
        <a:xfrm>
          <a:off x="476250" y="2676525"/>
          <a:ext cx="1114425" cy="304800"/>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clientData/>
  </xdr:twoCellAnchor>
  <xdr:twoCellAnchor>
    <xdr:from>
      <xdr:col>0</xdr:col>
      <xdr:colOff>438150</xdr:colOff>
      <xdr:row>14</xdr:row>
      <xdr:rowOff>104775</xdr:rowOff>
    </xdr:from>
    <xdr:to>
      <xdr:col>0</xdr:col>
      <xdr:colOff>1647825</xdr:colOff>
      <xdr:row>18</xdr:row>
      <xdr:rowOff>28575</xdr:rowOff>
    </xdr:to>
    <xdr:sp>
      <xdr:nvSpPr>
        <xdr:cNvPr id="9" name="Rectangle 56"/>
        <xdr:cNvSpPr>
          <a:spLocks/>
        </xdr:cNvSpPr>
      </xdr:nvSpPr>
      <xdr:spPr>
        <a:xfrm>
          <a:off x="438150" y="2676525"/>
          <a:ext cx="1209675" cy="552450"/>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14</xdr:row>
      <xdr:rowOff>104775</xdr:rowOff>
    </xdr:from>
    <xdr:to>
      <xdr:col>0</xdr:col>
      <xdr:colOff>1590675</xdr:colOff>
      <xdr:row>16</xdr:row>
      <xdr:rowOff>85725</xdr:rowOff>
    </xdr:to>
    <xdr:sp>
      <xdr:nvSpPr>
        <xdr:cNvPr id="10" name="Text 82"/>
        <xdr:cNvSpPr txBox="1">
          <a:spLocks noChangeArrowheads="1"/>
        </xdr:cNvSpPr>
      </xdr:nvSpPr>
      <xdr:spPr>
        <a:xfrm>
          <a:off x="476250" y="2676525"/>
          <a:ext cx="1114425" cy="304800"/>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104775</xdr:rowOff>
    </xdr:from>
    <xdr:to>
      <xdr:col>0</xdr:col>
      <xdr:colOff>0</xdr:colOff>
      <xdr:row>19</xdr:row>
      <xdr:rowOff>28575</xdr:rowOff>
    </xdr:to>
    <xdr:grpSp>
      <xdr:nvGrpSpPr>
        <xdr:cNvPr id="1" name="Group 24"/>
        <xdr:cNvGrpSpPr>
          <a:grpSpLocks/>
        </xdr:cNvGrpSpPr>
      </xdr:nvGrpSpPr>
      <xdr:grpSpPr>
        <a:xfrm>
          <a:off x="0" y="2838450"/>
          <a:ext cx="0" cy="542925"/>
          <a:chOff x="44" y="266"/>
          <a:chExt cx="127" cy="57"/>
        </a:xfrm>
        <a:solidFill>
          <a:srgbClr val="FFFFFF"/>
        </a:solidFill>
      </xdr:grpSpPr>
      <xdr:sp>
        <xdr:nvSpPr>
          <xdr:cNvPr id="2" name="Rectangle 25"/>
          <xdr:cNvSpPr>
            <a:spLocks/>
          </xdr:cNvSpPr>
        </xdr:nvSpPr>
        <xdr:spPr>
          <a:xfrm>
            <a:off x="44" y="266"/>
            <a:ext cx="127" cy="57"/>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82"/>
          <xdr:cNvSpPr txBox="1">
            <a:spLocks noChangeArrowheads="1"/>
          </xdr:cNvSpPr>
        </xdr:nvSpPr>
        <xdr:spPr>
          <a:xfrm>
            <a:off x="48" y="266"/>
            <a:ext cx="117" cy="31"/>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grpSp>
    <xdr:clientData/>
  </xdr:twoCellAnchor>
  <xdr:twoCellAnchor>
    <xdr:from>
      <xdr:col>0</xdr:col>
      <xdr:colOff>0</xdr:colOff>
      <xdr:row>15</xdr:row>
      <xdr:rowOff>104775</xdr:rowOff>
    </xdr:from>
    <xdr:to>
      <xdr:col>0</xdr:col>
      <xdr:colOff>0</xdr:colOff>
      <xdr:row>19</xdr:row>
      <xdr:rowOff>28575</xdr:rowOff>
    </xdr:to>
    <xdr:sp>
      <xdr:nvSpPr>
        <xdr:cNvPr id="5" name="Rectangle 35"/>
        <xdr:cNvSpPr>
          <a:spLocks/>
        </xdr:cNvSpPr>
      </xdr:nvSpPr>
      <xdr:spPr>
        <a:xfrm>
          <a:off x="0" y="2838450"/>
          <a:ext cx="0" cy="542925"/>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104775</xdr:rowOff>
    </xdr:from>
    <xdr:to>
      <xdr:col>0</xdr:col>
      <xdr:colOff>0</xdr:colOff>
      <xdr:row>17</xdr:row>
      <xdr:rowOff>85725</xdr:rowOff>
    </xdr:to>
    <xdr:sp>
      <xdr:nvSpPr>
        <xdr:cNvPr id="6" name="Text 82"/>
        <xdr:cNvSpPr txBox="1">
          <a:spLocks noChangeArrowheads="1"/>
        </xdr:cNvSpPr>
      </xdr:nvSpPr>
      <xdr:spPr>
        <a:xfrm>
          <a:off x="0" y="2838450"/>
          <a:ext cx="0" cy="295275"/>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clientData/>
  </xdr:twoCellAnchor>
  <xdr:twoCellAnchor>
    <xdr:from>
      <xdr:col>0</xdr:col>
      <xdr:colOff>438150</xdr:colOff>
      <xdr:row>14</xdr:row>
      <xdr:rowOff>104775</xdr:rowOff>
    </xdr:from>
    <xdr:to>
      <xdr:col>0</xdr:col>
      <xdr:colOff>1647825</xdr:colOff>
      <xdr:row>18</xdr:row>
      <xdr:rowOff>28575</xdr:rowOff>
    </xdr:to>
    <xdr:sp>
      <xdr:nvSpPr>
        <xdr:cNvPr id="7" name="Rectangle 45"/>
        <xdr:cNvSpPr>
          <a:spLocks/>
        </xdr:cNvSpPr>
      </xdr:nvSpPr>
      <xdr:spPr>
        <a:xfrm>
          <a:off x="438150" y="2676525"/>
          <a:ext cx="1209675" cy="552450"/>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14</xdr:row>
      <xdr:rowOff>104775</xdr:rowOff>
    </xdr:from>
    <xdr:to>
      <xdr:col>0</xdr:col>
      <xdr:colOff>1590675</xdr:colOff>
      <xdr:row>16</xdr:row>
      <xdr:rowOff>85725</xdr:rowOff>
    </xdr:to>
    <xdr:sp>
      <xdr:nvSpPr>
        <xdr:cNvPr id="8" name="Text 82"/>
        <xdr:cNvSpPr txBox="1">
          <a:spLocks noChangeArrowheads="1"/>
        </xdr:cNvSpPr>
      </xdr:nvSpPr>
      <xdr:spPr>
        <a:xfrm>
          <a:off x="476250" y="2676525"/>
          <a:ext cx="1114425" cy="304800"/>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clientData/>
  </xdr:twoCellAnchor>
  <xdr:twoCellAnchor>
    <xdr:from>
      <xdr:col>0</xdr:col>
      <xdr:colOff>438150</xdr:colOff>
      <xdr:row>14</xdr:row>
      <xdr:rowOff>104775</xdr:rowOff>
    </xdr:from>
    <xdr:to>
      <xdr:col>0</xdr:col>
      <xdr:colOff>1647825</xdr:colOff>
      <xdr:row>18</xdr:row>
      <xdr:rowOff>28575</xdr:rowOff>
    </xdr:to>
    <xdr:sp>
      <xdr:nvSpPr>
        <xdr:cNvPr id="9" name="Rectangle 56"/>
        <xdr:cNvSpPr>
          <a:spLocks/>
        </xdr:cNvSpPr>
      </xdr:nvSpPr>
      <xdr:spPr>
        <a:xfrm>
          <a:off x="438150" y="2676525"/>
          <a:ext cx="1209675" cy="552450"/>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14</xdr:row>
      <xdr:rowOff>104775</xdr:rowOff>
    </xdr:from>
    <xdr:to>
      <xdr:col>0</xdr:col>
      <xdr:colOff>1590675</xdr:colOff>
      <xdr:row>16</xdr:row>
      <xdr:rowOff>85725</xdr:rowOff>
    </xdr:to>
    <xdr:sp>
      <xdr:nvSpPr>
        <xdr:cNvPr id="10" name="Text 82"/>
        <xdr:cNvSpPr txBox="1">
          <a:spLocks noChangeArrowheads="1"/>
        </xdr:cNvSpPr>
      </xdr:nvSpPr>
      <xdr:spPr>
        <a:xfrm>
          <a:off x="476250" y="2676525"/>
          <a:ext cx="1114425" cy="304800"/>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104775</xdr:rowOff>
    </xdr:from>
    <xdr:to>
      <xdr:col>0</xdr:col>
      <xdr:colOff>0</xdr:colOff>
      <xdr:row>19</xdr:row>
      <xdr:rowOff>28575</xdr:rowOff>
    </xdr:to>
    <xdr:grpSp>
      <xdr:nvGrpSpPr>
        <xdr:cNvPr id="1" name="Group 24"/>
        <xdr:cNvGrpSpPr>
          <a:grpSpLocks/>
        </xdr:cNvGrpSpPr>
      </xdr:nvGrpSpPr>
      <xdr:grpSpPr>
        <a:xfrm>
          <a:off x="0" y="2790825"/>
          <a:ext cx="0" cy="590550"/>
          <a:chOff x="44" y="266"/>
          <a:chExt cx="127" cy="57"/>
        </a:xfrm>
        <a:solidFill>
          <a:srgbClr val="FFFFFF"/>
        </a:solidFill>
      </xdr:grpSpPr>
      <xdr:sp>
        <xdr:nvSpPr>
          <xdr:cNvPr id="2" name="Rectangle 25"/>
          <xdr:cNvSpPr>
            <a:spLocks/>
          </xdr:cNvSpPr>
        </xdr:nvSpPr>
        <xdr:spPr>
          <a:xfrm>
            <a:off x="44" y="266"/>
            <a:ext cx="127" cy="57"/>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82"/>
          <xdr:cNvSpPr txBox="1">
            <a:spLocks noChangeArrowheads="1"/>
          </xdr:cNvSpPr>
        </xdr:nvSpPr>
        <xdr:spPr>
          <a:xfrm>
            <a:off x="48" y="266"/>
            <a:ext cx="117" cy="31"/>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grpSp>
    <xdr:clientData/>
  </xdr:twoCellAnchor>
  <xdr:twoCellAnchor>
    <xdr:from>
      <xdr:col>0</xdr:col>
      <xdr:colOff>0</xdr:colOff>
      <xdr:row>15</xdr:row>
      <xdr:rowOff>104775</xdr:rowOff>
    </xdr:from>
    <xdr:to>
      <xdr:col>0</xdr:col>
      <xdr:colOff>0</xdr:colOff>
      <xdr:row>19</xdr:row>
      <xdr:rowOff>28575</xdr:rowOff>
    </xdr:to>
    <xdr:sp>
      <xdr:nvSpPr>
        <xdr:cNvPr id="5" name="Rectangle 35"/>
        <xdr:cNvSpPr>
          <a:spLocks/>
        </xdr:cNvSpPr>
      </xdr:nvSpPr>
      <xdr:spPr>
        <a:xfrm>
          <a:off x="0" y="2790825"/>
          <a:ext cx="0" cy="590550"/>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xdr:row>
      <xdr:rowOff>104775</xdr:rowOff>
    </xdr:from>
    <xdr:to>
      <xdr:col>0</xdr:col>
      <xdr:colOff>0</xdr:colOff>
      <xdr:row>17</xdr:row>
      <xdr:rowOff>85725</xdr:rowOff>
    </xdr:to>
    <xdr:sp>
      <xdr:nvSpPr>
        <xdr:cNvPr id="6" name="Text 82"/>
        <xdr:cNvSpPr txBox="1">
          <a:spLocks noChangeArrowheads="1"/>
        </xdr:cNvSpPr>
      </xdr:nvSpPr>
      <xdr:spPr>
        <a:xfrm>
          <a:off x="0" y="2790825"/>
          <a:ext cx="0" cy="304800"/>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clientData/>
  </xdr:twoCellAnchor>
  <xdr:twoCellAnchor>
    <xdr:from>
      <xdr:col>0</xdr:col>
      <xdr:colOff>438150</xdr:colOff>
      <xdr:row>14</xdr:row>
      <xdr:rowOff>104775</xdr:rowOff>
    </xdr:from>
    <xdr:to>
      <xdr:col>0</xdr:col>
      <xdr:colOff>1647825</xdr:colOff>
      <xdr:row>18</xdr:row>
      <xdr:rowOff>28575</xdr:rowOff>
    </xdr:to>
    <xdr:sp>
      <xdr:nvSpPr>
        <xdr:cNvPr id="7" name="Rectangle 45"/>
        <xdr:cNvSpPr>
          <a:spLocks/>
        </xdr:cNvSpPr>
      </xdr:nvSpPr>
      <xdr:spPr>
        <a:xfrm>
          <a:off x="438150" y="2628900"/>
          <a:ext cx="1209675" cy="581025"/>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14</xdr:row>
      <xdr:rowOff>104775</xdr:rowOff>
    </xdr:from>
    <xdr:to>
      <xdr:col>0</xdr:col>
      <xdr:colOff>1590675</xdr:colOff>
      <xdr:row>16</xdr:row>
      <xdr:rowOff>85725</xdr:rowOff>
    </xdr:to>
    <xdr:sp>
      <xdr:nvSpPr>
        <xdr:cNvPr id="8" name="Text 82"/>
        <xdr:cNvSpPr txBox="1">
          <a:spLocks noChangeArrowheads="1"/>
        </xdr:cNvSpPr>
      </xdr:nvSpPr>
      <xdr:spPr>
        <a:xfrm>
          <a:off x="476250" y="2628900"/>
          <a:ext cx="1114425" cy="304800"/>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clientData/>
  </xdr:twoCellAnchor>
  <xdr:twoCellAnchor>
    <xdr:from>
      <xdr:col>0</xdr:col>
      <xdr:colOff>438150</xdr:colOff>
      <xdr:row>14</xdr:row>
      <xdr:rowOff>104775</xdr:rowOff>
    </xdr:from>
    <xdr:to>
      <xdr:col>0</xdr:col>
      <xdr:colOff>1647825</xdr:colOff>
      <xdr:row>18</xdr:row>
      <xdr:rowOff>28575</xdr:rowOff>
    </xdr:to>
    <xdr:sp>
      <xdr:nvSpPr>
        <xdr:cNvPr id="9" name="Rectangle 56"/>
        <xdr:cNvSpPr>
          <a:spLocks/>
        </xdr:cNvSpPr>
      </xdr:nvSpPr>
      <xdr:spPr>
        <a:xfrm>
          <a:off x="438150" y="2628900"/>
          <a:ext cx="1209675" cy="581025"/>
        </a:xfrm>
        <a:prstGeom prst="rect">
          <a:avLst/>
        </a:prstGeom>
        <a:solidFill>
          <a:srgbClr val="CCCCFF"/>
        </a:solidFill>
        <a:ln w="9525" cmpd="sng">
          <a:solidFill>
            <a:srgbClr val="99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14</xdr:row>
      <xdr:rowOff>104775</xdr:rowOff>
    </xdr:from>
    <xdr:to>
      <xdr:col>0</xdr:col>
      <xdr:colOff>1590675</xdr:colOff>
      <xdr:row>16</xdr:row>
      <xdr:rowOff>85725</xdr:rowOff>
    </xdr:to>
    <xdr:sp>
      <xdr:nvSpPr>
        <xdr:cNvPr id="10" name="Text 82"/>
        <xdr:cNvSpPr txBox="1">
          <a:spLocks noChangeArrowheads="1"/>
        </xdr:cNvSpPr>
      </xdr:nvSpPr>
      <xdr:spPr>
        <a:xfrm>
          <a:off x="476250" y="2628900"/>
          <a:ext cx="1114425" cy="304800"/>
        </a:xfrm>
        <a:prstGeom prst="rect">
          <a:avLst/>
        </a:prstGeom>
        <a:noFill/>
        <a:ln w="9525" cmpd="sng">
          <a:noFill/>
        </a:ln>
      </xdr:spPr>
      <xdr:txBody>
        <a:bodyPr vertOverflow="clip" wrap="square"/>
        <a:p>
          <a:pPr algn="ctr">
            <a:defRPr/>
          </a:pPr>
          <a:r>
            <a:rPr lang="en-US" cap="none" sz="700" b="1" i="0" u="none" baseline="0">
              <a:solidFill>
                <a:srgbClr val="0000FF"/>
              </a:solidFill>
            </a:rPr>
            <a:t>Go to 
Data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vmlDrawing" Target="../drawings/vmlDrawing2.vml" /><Relationship Id="rId9" Type="http://schemas.openxmlformats.org/officeDocument/2006/relationships/drawing" Target="../drawings/drawing2.xml" /><Relationship Id="rId10"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vmlDrawing" Target="../drawings/vmlDrawing3.vml" /><Relationship Id="rId9" Type="http://schemas.openxmlformats.org/officeDocument/2006/relationships/drawing" Target="../drawings/drawing3.xml" /><Relationship Id="rId10"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vmlDrawing" Target="../drawings/vmlDrawing4.vml" /><Relationship Id="rId9" Type="http://schemas.openxmlformats.org/officeDocument/2006/relationships/drawing" Target="../drawings/drawing4.xml" /><Relationship Id="rId10"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oleObject" Target="../embeddings/oleObject_5_6.bin" /><Relationship Id="rId8" Type="http://schemas.openxmlformats.org/officeDocument/2006/relationships/vmlDrawing" Target="../drawings/vmlDrawing5.vml" /><Relationship Id="rId9" Type="http://schemas.openxmlformats.org/officeDocument/2006/relationships/drawing" Target="../drawings/drawing5.xml" /><Relationship Id="rId10"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dimension ref="A1:E10"/>
  <sheetViews>
    <sheetView workbookViewId="0" topLeftCell="A1">
      <selection activeCell="A17" sqref="A17"/>
    </sheetView>
  </sheetViews>
  <sheetFormatPr defaultColWidth="9.140625" defaultRowHeight="12.75"/>
  <cols>
    <col min="1" max="5" width="10.57421875" style="0" customWidth="1"/>
  </cols>
  <sheetData>
    <row r="1" spans="1:3" ht="12.75">
      <c r="A1" t="s">
        <v>69</v>
      </c>
      <c r="C1" t="s">
        <v>70</v>
      </c>
    </row>
    <row r="2" ht="12.75">
      <c r="A2" s="1" t="s">
        <v>71</v>
      </c>
    </row>
    <row r="3" ht="12.75">
      <c r="A3" s="2" t="s">
        <v>74</v>
      </c>
    </row>
    <row r="4" ht="12.75">
      <c r="A4" s="2" t="s">
        <v>75</v>
      </c>
    </row>
    <row r="5" ht="12.75">
      <c r="A5" s="2" t="s">
        <v>76</v>
      </c>
    </row>
    <row r="6" ht="12.75">
      <c r="A6" s="2" t="s">
        <v>77</v>
      </c>
    </row>
    <row r="7" ht="12.75">
      <c r="A7" s="2" t="s">
        <v>83</v>
      </c>
    </row>
    <row r="8" spans="2:5" ht="12.75">
      <c r="B8" s="17"/>
      <c r="C8" s="17"/>
      <c r="D8" s="17"/>
      <c r="E8" s="17"/>
    </row>
    <row r="9" spans="1:5" ht="25.5">
      <c r="A9" s="4" t="s">
        <v>69</v>
      </c>
      <c r="B9" s="18"/>
      <c r="C9" s="18"/>
      <c r="D9" s="18"/>
      <c r="E9" s="18"/>
    </row>
    <row r="10" spans="1:5" ht="12.75">
      <c r="A10" s="3">
        <v>2</v>
      </c>
      <c r="B10" s="19"/>
      <c r="C10" s="19"/>
      <c r="D10" s="19"/>
      <c r="E10" s="19"/>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2:AQ48"/>
  <sheetViews>
    <sheetView showGridLines="0" showRowColHeaders="0" tabSelected="1" zoomScaleSheetLayoutView="100" workbookViewId="0" topLeftCell="A1">
      <pane xSplit="1" topLeftCell="B1" activePane="topRight" state="frozen"/>
      <selection pane="topLeft" activeCell="A1" sqref="A1"/>
      <selection pane="topRight" activeCell="R9" sqref="R9:R28"/>
    </sheetView>
  </sheetViews>
  <sheetFormatPr defaultColWidth="9.140625" defaultRowHeight="12.75"/>
  <cols>
    <col min="1" max="1" width="32.57421875" style="13" customWidth="1"/>
    <col min="2" max="2" width="0.5625" style="20" customWidth="1"/>
    <col min="3" max="3" width="37.421875" style="20" customWidth="1"/>
    <col min="4" max="6" width="12.7109375" style="20" customWidth="1"/>
    <col min="7" max="7" width="10.8515625" style="20" customWidth="1"/>
    <col min="8" max="8" width="0.85546875" style="22" customWidth="1"/>
    <col min="9" max="9" width="7.57421875" style="20" customWidth="1"/>
    <col min="10" max="10" width="15.7109375" style="20" customWidth="1"/>
    <col min="11" max="11" width="16.140625" style="20" customWidth="1"/>
    <col min="12" max="12" width="10.140625" style="20" bestFit="1" customWidth="1"/>
    <col min="13" max="14" width="11.28125" style="20" customWidth="1"/>
    <col min="15" max="15" width="15.421875" style="20" customWidth="1"/>
    <col min="16" max="16" width="0.9921875" style="20" customWidth="1"/>
    <col min="17" max="17" width="7.140625" style="20" customWidth="1"/>
    <col min="18" max="18" width="16.7109375" style="20" customWidth="1"/>
    <col min="19" max="19" width="17.00390625" style="20" customWidth="1"/>
    <col min="20" max="20" width="10.140625" style="20" customWidth="1"/>
    <col min="21" max="21" width="11.57421875" style="20" customWidth="1"/>
    <col min="22" max="22" width="11.28125" style="20" customWidth="1"/>
    <col min="23" max="23" width="11.140625" style="20" customWidth="1"/>
    <col min="24" max="24" width="8.57421875" style="20" customWidth="1"/>
    <col min="25" max="25" width="1.1484375" style="20" customWidth="1"/>
    <col min="26" max="26" width="9.8515625" style="20" customWidth="1"/>
    <col min="27" max="27" width="10.421875" style="20" customWidth="1"/>
    <col min="28" max="28" width="12.00390625" style="20" customWidth="1"/>
    <col min="29" max="29" width="10.421875" style="20" customWidth="1"/>
    <col min="30" max="30" width="10.7109375" style="20" customWidth="1"/>
    <col min="31" max="31" width="10.28125" style="20" customWidth="1"/>
    <col min="32" max="32" width="11.28125" style="20" bestFit="1" customWidth="1"/>
    <col min="33" max="33" width="10.8515625" style="20" customWidth="1"/>
    <col min="34" max="34" width="9.140625" style="20" customWidth="1"/>
    <col min="35" max="35" width="1.1484375" style="20" customWidth="1"/>
    <col min="36" max="38" width="11.421875" style="20" customWidth="1"/>
    <col min="39" max="43" width="10.140625" style="20" customWidth="1"/>
    <col min="44" max="44" width="5.57421875" style="20" customWidth="1"/>
    <col min="45" max="59" width="9.140625" style="20" customWidth="1"/>
    <col min="60" max="16384" width="9.140625" style="15" customWidth="1"/>
  </cols>
  <sheetData>
    <row r="2" spans="3:42" ht="12.75">
      <c r="C2" s="172" t="s">
        <v>10</v>
      </c>
      <c r="D2" s="172"/>
      <c r="E2" s="172"/>
      <c r="F2" s="172"/>
      <c r="G2" s="21"/>
      <c r="I2" s="172" t="s">
        <v>10</v>
      </c>
      <c r="J2" s="183"/>
      <c r="K2" s="183"/>
      <c r="L2" s="183"/>
      <c r="M2" s="183"/>
      <c r="N2" s="183"/>
      <c r="O2" s="21"/>
      <c r="Q2" s="172" t="s">
        <v>10</v>
      </c>
      <c r="R2" s="173"/>
      <c r="S2" s="173"/>
      <c r="T2" s="173"/>
      <c r="U2" s="173"/>
      <c r="V2" s="173"/>
      <c r="W2" s="21"/>
      <c r="Z2" s="172" t="s">
        <v>10</v>
      </c>
      <c r="AA2" s="173"/>
      <c r="AB2" s="173"/>
      <c r="AC2" s="173"/>
      <c r="AD2" s="173"/>
      <c r="AE2" s="173"/>
      <c r="AF2" s="173"/>
      <c r="AG2" s="21"/>
      <c r="AJ2" s="172" t="s">
        <v>10</v>
      </c>
      <c r="AK2" s="173"/>
      <c r="AL2" s="173"/>
      <c r="AM2" s="173"/>
      <c r="AN2" s="173"/>
      <c r="AO2" s="173"/>
      <c r="AP2" s="173"/>
    </row>
    <row r="3" spans="3:42" ht="12.75">
      <c r="C3" s="182" t="s">
        <v>72</v>
      </c>
      <c r="D3" s="183"/>
      <c r="E3" s="183"/>
      <c r="F3" s="183"/>
      <c r="G3" s="21"/>
      <c r="I3" s="172" t="str">
        <f>C3</f>
        <v>Company Name</v>
      </c>
      <c r="J3" s="183"/>
      <c r="K3" s="183"/>
      <c r="L3" s="183"/>
      <c r="M3" s="183"/>
      <c r="N3" s="183"/>
      <c r="O3" s="21"/>
      <c r="Q3" s="172" t="str">
        <f>C3</f>
        <v>Company Name</v>
      </c>
      <c r="R3" s="173"/>
      <c r="S3" s="173"/>
      <c r="T3" s="173"/>
      <c r="U3" s="173"/>
      <c r="V3" s="173"/>
      <c r="W3" s="21"/>
      <c r="Z3" s="172" t="str">
        <f>C3</f>
        <v>Company Name</v>
      </c>
      <c r="AA3" s="173"/>
      <c r="AB3" s="173"/>
      <c r="AC3" s="173"/>
      <c r="AD3" s="173"/>
      <c r="AE3" s="173"/>
      <c r="AF3" s="173"/>
      <c r="AG3" s="21"/>
      <c r="AJ3" s="172" t="str">
        <f>C3</f>
        <v>Company Name</v>
      </c>
      <c r="AK3" s="173"/>
      <c r="AL3" s="173"/>
      <c r="AM3" s="173"/>
      <c r="AN3" s="173"/>
      <c r="AO3" s="173"/>
      <c r="AP3" s="173"/>
    </row>
    <row r="4" spans="3:42" ht="12">
      <c r="C4" s="21"/>
      <c r="D4" s="21"/>
      <c r="E4" s="21"/>
      <c r="F4" s="23" t="s">
        <v>101</v>
      </c>
      <c r="N4" s="24" t="s">
        <v>100</v>
      </c>
      <c r="Q4" s="25"/>
      <c r="R4" s="25"/>
      <c r="S4" s="25"/>
      <c r="T4" s="25"/>
      <c r="V4" s="24" t="s">
        <v>99</v>
      </c>
      <c r="AF4" s="24" t="s">
        <v>98</v>
      </c>
      <c r="AP4" s="24" t="s">
        <v>97</v>
      </c>
    </row>
    <row r="5" spans="3:33" ht="12.75" thickBot="1">
      <c r="C5" s="21"/>
      <c r="D5" s="21"/>
      <c r="E5" s="21"/>
      <c r="F5" s="26"/>
      <c r="G5" s="27"/>
      <c r="N5" s="26"/>
      <c r="O5" s="28"/>
      <c r="Q5" s="29"/>
      <c r="R5" s="29"/>
      <c r="S5" s="25"/>
      <c r="T5" s="25"/>
      <c r="V5" s="26"/>
      <c r="W5" s="28"/>
      <c r="AF5" s="26"/>
      <c r="AG5" s="28"/>
    </row>
    <row r="6" spans="1:40" ht="12.75" thickBot="1">
      <c r="A6" s="14" t="s">
        <v>109</v>
      </c>
      <c r="B6" s="21"/>
      <c r="C6" s="21" t="s">
        <v>11</v>
      </c>
      <c r="D6" s="21"/>
      <c r="E6" s="21"/>
      <c r="F6" s="21"/>
      <c r="G6" s="21"/>
      <c r="I6" s="30" t="s">
        <v>91</v>
      </c>
      <c r="J6" s="31"/>
      <c r="K6" s="31"/>
      <c r="L6" s="31"/>
      <c r="M6" s="31"/>
      <c r="N6" s="32"/>
      <c r="O6" s="25"/>
      <c r="P6" s="25"/>
      <c r="Q6" s="143" t="s">
        <v>107</v>
      </c>
      <c r="R6" s="117"/>
      <c r="S6" s="117"/>
      <c r="T6" s="117"/>
      <c r="U6" s="117"/>
      <c r="V6" s="144"/>
      <c r="W6" s="25"/>
      <c r="X6" s="25"/>
      <c r="Z6" s="30" t="s">
        <v>53</v>
      </c>
      <c r="AA6" s="33"/>
      <c r="AB6" s="31"/>
      <c r="AC6" s="31"/>
      <c r="AD6" s="31"/>
      <c r="AE6" s="31"/>
      <c r="AF6" s="32"/>
      <c r="AJ6" s="104" t="s">
        <v>19</v>
      </c>
      <c r="AK6" s="105"/>
      <c r="AL6" s="105"/>
      <c r="AM6" s="106"/>
      <c r="AN6" s="107"/>
    </row>
    <row r="7" spans="1:40" ht="36.75" thickBot="1">
      <c r="A7" s="16" t="s">
        <v>79</v>
      </c>
      <c r="B7" s="34"/>
      <c r="C7" s="158"/>
      <c r="D7" s="158"/>
      <c r="I7" s="35" t="s">
        <v>18</v>
      </c>
      <c r="J7" s="36" t="s">
        <v>46</v>
      </c>
      <c r="K7" s="36" t="s">
        <v>47</v>
      </c>
      <c r="L7" s="37" t="s">
        <v>52</v>
      </c>
      <c r="M7" s="38" t="s">
        <v>32</v>
      </c>
      <c r="N7" s="39" t="s">
        <v>34</v>
      </c>
      <c r="O7" s="40"/>
      <c r="P7" s="41"/>
      <c r="Q7" s="136" t="s">
        <v>18</v>
      </c>
      <c r="R7" s="42" t="s">
        <v>46</v>
      </c>
      <c r="S7" s="42" t="s">
        <v>47</v>
      </c>
      <c r="T7" s="43" t="s">
        <v>52</v>
      </c>
      <c r="U7" s="138" t="s">
        <v>32</v>
      </c>
      <c r="V7" s="137" t="s">
        <v>34</v>
      </c>
      <c r="W7" s="40"/>
      <c r="X7" s="41"/>
      <c r="Z7" s="35" t="s">
        <v>18</v>
      </c>
      <c r="AA7" s="38" t="s">
        <v>39</v>
      </c>
      <c r="AB7" s="36" t="s">
        <v>38</v>
      </c>
      <c r="AC7" s="44" t="s">
        <v>37</v>
      </c>
      <c r="AD7" s="45" t="s">
        <v>40</v>
      </c>
      <c r="AE7" s="46" t="s">
        <v>36</v>
      </c>
      <c r="AF7" s="37" t="s">
        <v>33</v>
      </c>
      <c r="AJ7" s="166"/>
      <c r="AK7" s="167"/>
      <c r="AL7" s="168"/>
      <c r="AM7" s="81" t="s">
        <v>49</v>
      </c>
      <c r="AN7" s="82" t="s">
        <v>43</v>
      </c>
    </row>
    <row r="8" spans="1:40" ht="12.75">
      <c r="A8" s="14"/>
      <c r="B8" s="21"/>
      <c r="C8" s="48" t="s">
        <v>9</v>
      </c>
      <c r="D8" s="49" t="s">
        <v>11</v>
      </c>
      <c r="E8" s="49"/>
      <c r="F8" s="50"/>
      <c r="I8" s="51" t="s">
        <v>30</v>
      </c>
      <c r="J8" s="52">
        <v>0</v>
      </c>
      <c r="K8" s="52">
        <v>0</v>
      </c>
      <c r="L8" s="53"/>
      <c r="M8" s="54">
        <f aca="true" t="shared" si="0" ref="M8:M28">SUM(J8:L8)</f>
        <v>0</v>
      </c>
      <c r="N8" s="55">
        <f>M8</f>
        <v>0</v>
      </c>
      <c r="O8" s="56"/>
      <c r="P8" s="56"/>
      <c r="Q8" s="51" t="s">
        <v>30</v>
      </c>
      <c r="R8" s="52">
        <f>E34*E30*(E35+(D17*D20/60))</f>
        <v>291000</v>
      </c>
      <c r="S8" s="52">
        <f>$E$34*$E$31*(E36+D17*D21/60)</f>
        <v>841500</v>
      </c>
      <c r="T8" s="57"/>
      <c r="U8" s="139">
        <f aca="true" t="shared" si="1" ref="U8:U28">SUM(R8:T8)</f>
        <v>1132500</v>
      </c>
      <c r="V8" s="55">
        <f>U8</f>
        <v>1132500</v>
      </c>
      <c r="W8" s="56"/>
      <c r="X8" s="56"/>
      <c r="Z8" s="51" t="s">
        <v>30</v>
      </c>
      <c r="AA8" s="58">
        <f>($J$8+$K$8)-($R$8+$S$8)</f>
        <v>-1132500</v>
      </c>
      <c r="AB8" s="52" t="s">
        <v>11</v>
      </c>
      <c r="AC8" s="57"/>
      <c r="AD8" s="59">
        <f aca="true" t="shared" si="2" ref="AD8:AD28">SUM(AA8:AC8)</f>
        <v>-1132500</v>
      </c>
      <c r="AE8" s="54">
        <f>AD8</f>
        <v>-1132500</v>
      </c>
      <c r="AF8" s="55">
        <f>AE8</f>
        <v>-1132500</v>
      </c>
      <c r="AJ8" s="169" t="s">
        <v>20</v>
      </c>
      <c r="AK8" s="170"/>
      <c r="AL8" s="171"/>
      <c r="AM8" s="110">
        <f>($D$11*52)*$D$33*$D$34/1000</f>
        <v>269568</v>
      </c>
      <c r="AN8" s="111">
        <f>($D$11*52)*E33*E34/1000</f>
        <v>174096</v>
      </c>
    </row>
    <row r="9" spans="1:40" ht="12.75">
      <c r="A9" s="157" t="s">
        <v>106</v>
      </c>
      <c r="B9" s="34"/>
      <c r="C9" s="60" t="s">
        <v>12</v>
      </c>
      <c r="D9" s="174" t="s">
        <v>110</v>
      </c>
      <c r="E9" s="175"/>
      <c r="F9" s="176"/>
      <c r="G9" s="61"/>
      <c r="I9" s="62">
        <v>1</v>
      </c>
      <c r="J9" s="52">
        <f>FV($D$19,I9,0,-1*$AM$10)</f>
        <v>53831.700000000004</v>
      </c>
      <c r="K9" s="52"/>
      <c r="L9" s="55">
        <f>(($D$11*52)*$D$33*$D$34/1000)*$D$16</f>
        <v>1145664</v>
      </c>
      <c r="M9" s="54">
        <f t="shared" si="0"/>
        <v>1199495.7</v>
      </c>
      <c r="N9" s="55">
        <f aca="true" t="shared" si="3" ref="N9:N28">M9+N8</f>
        <v>1199495.7</v>
      </c>
      <c r="O9" s="56"/>
      <c r="P9" s="56"/>
      <c r="Q9" s="62">
        <v>1</v>
      </c>
      <c r="R9" s="52">
        <f>FV($D$19,Q9,0,-1*$AN$10)</f>
        <v>48573.72</v>
      </c>
      <c r="S9" s="52"/>
      <c r="T9" s="57">
        <f>(($D$11*52)*$E$33*$E$34/1000)*$D$16</f>
        <v>739908</v>
      </c>
      <c r="U9" s="139">
        <f t="shared" si="1"/>
        <v>788481.72</v>
      </c>
      <c r="V9" s="55">
        <f aca="true" t="shared" si="4" ref="V9:V28">U9+V8</f>
        <v>1920981.72</v>
      </c>
      <c r="W9" s="56"/>
      <c r="X9" s="56"/>
      <c r="Z9" s="62">
        <v>1</v>
      </c>
      <c r="AA9" s="63"/>
      <c r="AB9" s="52">
        <f aca="true" t="shared" si="5" ref="AB9:AB28">(J9+K9)-(R9+S9)</f>
        <v>5257.980000000003</v>
      </c>
      <c r="AC9" s="57">
        <f aca="true" t="shared" si="6" ref="AC9:AC28">L9-T9</f>
        <v>405756</v>
      </c>
      <c r="AD9" s="59">
        <f t="shared" si="2"/>
        <v>411013.98</v>
      </c>
      <c r="AE9" s="54">
        <f aca="true" t="shared" si="7" ref="AE9:AE28">AD9/POWER((1+$D$19),Z9)</f>
        <v>384125.214953271</v>
      </c>
      <c r="AF9" s="55">
        <f aca="true" t="shared" si="8" ref="AF9:AF28">AE9+AF8</f>
        <v>-748374.785046729</v>
      </c>
      <c r="AJ9" s="169" t="str">
        <f>"Annual Energy Costs ("&amp;D15&amp;"/Year)"</f>
        <v>Annual Energy Costs (Dollar/Year)</v>
      </c>
      <c r="AK9" s="170"/>
      <c r="AL9" s="171"/>
      <c r="AM9" s="110">
        <f>AM8*$D$16</f>
        <v>1145664</v>
      </c>
      <c r="AN9" s="111">
        <f>AN8*$D$16</f>
        <v>739908</v>
      </c>
    </row>
    <row r="10" spans="3:40" ht="12.75">
      <c r="C10" s="60" t="s">
        <v>27</v>
      </c>
      <c r="D10" s="174" t="s">
        <v>58</v>
      </c>
      <c r="E10" s="175"/>
      <c r="F10" s="176"/>
      <c r="G10" s="61"/>
      <c r="I10" s="62">
        <v>2</v>
      </c>
      <c r="J10" s="52">
        <f aca="true" t="shared" si="9" ref="J10:J28">FV($D$19,I10,0,-1*$AM$10)</f>
        <v>57599.919</v>
      </c>
      <c r="K10" s="52"/>
      <c r="L10" s="55">
        <f aca="true" t="shared" si="10" ref="L10:L28">L9*(1+$D$18)</f>
        <v>1225860.48</v>
      </c>
      <c r="M10" s="54">
        <f t="shared" si="0"/>
        <v>1283460.399</v>
      </c>
      <c r="N10" s="55">
        <f t="shared" si="3"/>
        <v>2482956.099</v>
      </c>
      <c r="O10" s="56"/>
      <c r="P10" s="56"/>
      <c r="Q10" s="62">
        <v>2</v>
      </c>
      <c r="R10" s="52">
        <f aca="true" t="shared" si="11" ref="R10:R28">FV($D$19,Q10,0,-1*$AN$10)</f>
        <v>51973.8804</v>
      </c>
      <c r="S10" s="52"/>
      <c r="T10" s="57">
        <f aca="true" t="shared" si="12" ref="T10:T28">T9*(1+$D$18)</f>
        <v>791701.56</v>
      </c>
      <c r="U10" s="139">
        <f t="shared" si="1"/>
        <v>843675.4404000001</v>
      </c>
      <c r="V10" s="55">
        <f t="shared" si="4"/>
        <v>2764657.1604</v>
      </c>
      <c r="W10" s="56"/>
      <c r="X10" s="56"/>
      <c r="Z10" s="62">
        <v>2</v>
      </c>
      <c r="AA10" s="63"/>
      <c r="AB10" s="52">
        <f t="shared" si="5"/>
        <v>5626.0386</v>
      </c>
      <c r="AC10" s="57">
        <f t="shared" si="6"/>
        <v>434158.9199999999</v>
      </c>
      <c r="AD10" s="59">
        <f t="shared" si="2"/>
        <v>439784.9585999999</v>
      </c>
      <c r="AE10" s="54">
        <f t="shared" si="7"/>
        <v>384125.2149532709</v>
      </c>
      <c r="AF10" s="55">
        <f t="shared" si="8"/>
        <v>-364249.5700934581</v>
      </c>
      <c r="AJ10" s="169" t="s">
        <v>44</v>
      </c>
      <c r="AK10" s="170"/>
      <c r="AL10" s="171"/>
      <c r="AM10" s="110">
        <f>SUM(AM11:AM12)</f>
        <v>50310</v>
      </c>
      <c r="AN10" s="111">
        <f>SUM(AN11:AN12)</f>
        <v>45396</v>
      </c>
    </row>
    <row r="11" spans="3:40" ht="13.5" thickBot="1">
      <c r="C11" s="65" t="s">
        <v>13</v>
      </c>
      <c r="D11" s="177">
        <v>60</v>
      </c>
      <c r="E11" s="178"/>
      <c r="F11" s="179"/>
      <c r="G11" s="66"/>
      <c r="I11" s="62">
        <v>3</v>
      </c>
      <c r="J11" s="52">
        <f t="shared" si="9"/>
        <v>61631.91333</v>
      </c>
      <c r="K11" s="52"/>
      <c r="L11" s="55">
        <f t="shared" si="10"/>
        <v>1311670.7136000001</v>
      </c>
      <c r="M11" s="54">
        <f t="shared" si="0"/>
        <v>1373302.62693</v>
      </c>
      <c r="N11" s="55">
        <f t="shared" si="3"/>
        <v>3856258.7259299997</v>
      </c>
      <c r="O11" s="56"/>
      <c r="P11" s="56"/>
      <c r="Q11" s="62">
        <v>3</v>
      </c>
      <c r="R11" s="52">
        <f t="shared" si="11"/>
        <v>55612.052028000006</v>
      </c>
      <c r="S11" s="52"/>
      <c r="T11" s="57">
        <f t="shared" si="12"/>
        <v>847120.6692000001</v>
      </c>
      <c r="U11" s="139">
        <f t="shared" si="1"/>
        <v>902732.7212280001</v>
      </c>
      <c r="V11" s="55">
        <f t="shared" si="4"/>
        <v>3667389.881628</v>
      </c>
      <c r="W11" s="56"/>
      <c r="X11" s="56"/>
      <c r="Z11" s="62">
        <v>3</v>
      </c>
      <c r="AA11" s="63"/>
      <c r="AB11" s="52">
        <f t="shared" si="5"/>
        <v>6019.8613019999975</v>
      </c>
      <c r="AC11" s="57">
        <f t="shared" si="6"/>
        <v>464550.0444</v>
      </c>
      <c r="AD11" s="59">
        <f t="shared" si="2"/>
        <v>470569.905702</v>
      </c>
      <c r="AE11" s="54">
        <f t="shared" si="7"/>
        <v>384125.21495327103</v>
      </c>
      <c r="AF11" s="55">
        <f t="shared" si="8"/>
        <v>19875.64485981292</v>
      </c>
      <c r="AJ11" s="169" t="s">
        <v>21</v>
      </c>
      <c r="AK11" s="170"/>
      <c r="AL11" s="171"/>
      <c r="AM11" s="110">
        <f>(($D$11*52)/$D$32*$D$30*$D$34)*$D$35</f>
        <v>42120</v>
      </c>
      <c r="AN11" s="111">
        <f>(($D$11*52)/$E$32*$E$30*$E$34)*$E$35</f>
        <v>42120</v>
      </c>
    </row>
    <row r="12" spans="3:40" ht="13.5" thickBot="1">
      <c r="C12" s="25"/>
      <c r="D12" s="66"/>
      <c r="E12" s="67"/>
      <c r="F12" s="67"/>
      <c r="G12" s="66"/>
      <c r="I12" s="62">
        <v>4</v>
      </c>
      <c r="J12" s="52">
        <f t="shared" si="9"/>
        <v>65946.1472631</v>
      </c>
      <c r="K12" s="52"/>
      <c r="L12" s="55">
        <f t="shared" si="10"/>
        <v>1403487.6635520002</v>
      </c>
      <c r="M12" s="54">
        <f t="shared" si="0"/>
        <v>1469433.8108151</v>
      </c>
      <c r="N12" s="55">
        <f t="shared" si="3"/>
        <v>5325692.536745099</v>
      </c>
      <c r="O12" s="56"/>
      <c r="P12" s="56"/>
      <c r="Q12" s="62">
        <v>4</v>
      </c>
      <c r="R12" s="52">
        <f t="shared" si="11"/>
        <v>59504.89566996</v>
      </c>
      <c r="S12" s="52"/>
      <c r="T12" s="57">
        <f t="shared" si="12"/>
        <v>906419.1160440001</v>
      </c>
      <c r="U12" s="139">
        <f t="shared" si="1"/>
        <v>965924.0117139601</v>
      </c>
      <c r="V12" s="55">
        <f t="shared" si="4"/>
        <v>4633313.89334196</v>
      </c>
      <c r="W12" s="56"/>
      <c r="X12" s="56"/>
      <c r="Z12" s="62">
        <v>4</v>
      </c>
      <c r="AA12" s="63"/>
      <c r="AB12" s="52">
        <f t="shared" si="5"/>
        <v>6441.251593140005</v>
      </c>
      <c r="AC12" s="57">
        <f t="shared" si="6"/>
        <v>497068.54750800005</v>
      </c>
      <c r="AD12" s="59">
        <f t="shared" si="2"/>
        <v>503509.79910114006</v>
      </c>
      <c r="AE12" s="54">
        <f t="shared" si="7"/>
        <v>384125.2149532711</v>
      </c>
      <c r="AF12" s="55">
        <f t="shared" si="8"/>
        <v>404000.859813084</v>
      </c>
      <c r="AJ12" s="187" t="s">
        <v>22</v>
      </c>
      <c r="AK12" s="188"/>
      <c r="AL12" s="189"/>
      <c r="AM12" s="114">
        <f>(($D$11*52)/$D$32*$D$30*$D$34)*($D$17*$D$20/60)</f>
        <v>8190</v>
      </c>
      <c r="AN12" s="115">
        <f>(($D$11*52)/$E$32*$E$30*$E$34)*($D$17*$D$20/60)</f>
        <v>3276</v>
      </c>
    </row>
    <row r="13" spans="3:36" ht="12.75" thickBot="1">
      <c r="C13" s="25"/>
      <c r="D13" s="66"/>
      <c r="E13" s="66"/>
      <c r="F13" s="66"/>
      <c r="G13" s="66"/>
      <c r="I13" s="62">
        <v>5</v>
      </c>
      <c r="J13" s="52">
        <f t="shared" si="9"/>
        <v>70562.377571517</v>
      </c>
      <c r="K13" s="52"/>
      <c r="L13" s="55">
        <f t="shared" si="10"/>
        <v>1501731.8000006403</v>
      </c>
      <c r="M13" s="54">
        <f t="shared" si="0"/>
        <v>1572294.1775721572</v>
      </c>
      <c r="N13" s="55">
        <f t="shared" si="3"/>
        <v>6897986.714317257</v>
      </c>
      <c r="O13" s="56"/>
      <c r="P13" s="56"/>
      <c r="Q13" s="62">
        <v>5</v>
      </c>
      <c r="R13" s="52">
        <f t="shared" si="11"/>
        <v>63670.23836685721</v>
      </c>
      <c r="S13" s="52"/>
      <c r="T13" s="57">
        <f t="shared" si="12"/>
        <v>969868.4541670802</v>
      </c>
      <c r="U13" s="139">
        <f t="shared" si="1"/>
        <v>1033538.6925339374</v>
      </c>
      <c r="V13" s="55">
        <f t="shared" si="4"/>
        <v>5666852.585875898</v>
      </c>
      <c r="W13" s="56"/>
      <c r="X13" s="56"/>
      <c r="Z13" s="62">
        <v>5</v>
      </c>
      <c r="AA13" s="63"/>
      <c r="AB13" s="52">
        <f t="shared" si="5"/>
        <v>6892.1392046597975</v>
      </c>
      <c r="AC13" s="57">
        <f t="shared" si="6"/>
        <v>531863.3458335601</v>
      </c>
      <c r="AD13" s="59">
        <f t="shared" si="2"/>
        <v>538755.48503822</v>
      </c>
      <c r="AE13" s="54">
        <f t="shared" si="7"/>
        <v>384125.2149532711</v>
      </c>
      <c r="AF13" s="55">
        <f t="shared" si="8"/>
        <v>788126.0747663551</v>
      </c>
      <c r="AJ13" s="20" t="s">
        <v>112</v>
      </c>
    </row>
    <row r="14" spans="1:36" ht="12.75" thickBot="1">
      <c r="A14" s="154" t="s">
        <v>78</v>
      </c>
      <c r="C14" s="48" t="s">
        <v>14</v>
      </c>
      <c r="D14" s="68"/>
      <c r="E14" s="69"/>
      <c r="I14" s="62">
        <v>6</v>
      </c>
      <c r="J14" s="52">
        <f t="shared" si="9"/>
        <v>75501.7440015232</v>
      </c>
      <c r="K14" s="70"/>
      <c r="L14" s="55">
        <f t="shared" si="10"/>
        <v>1606853.0260006853</v>
      </c>
      <c r="M14" s="54">
        <f t="shared" si="0"/>
        <v>1682354.7700022084</v>
      </c>
      <c r="N14" s="55">
        <f t="shared" si="3"/>
        <v>8580341.484319465</v>
      </c>
      <c r="O14" s="56"/>
      <c r="P14" s="56"/>
      <c r="Q14" s="62">
        <v>6</v>
      </c>
      <c r="R14" s="52">
        <f t="shared" si="11"/>
        <v>68127.1550525372</v>
      </c>
      <c r="S14" s="70"/>
      <c r="T14" s="57">
        <f t="shared" si="12"/>
        <v>1037759.2459587759</v>
      </c>
      <c r="U14" s="139">
        <f t="shared" si="1"/>
        <v>1105886.401011313</v>
      </c>
      <c r="V14" s="55">
        <f t="shared" si="4"/>
        <v>6772738.986887211</v>
      </c>
      <c r="W14" s="56"/>
      <c r="X14" s="56"/>
      <c r="Z14" s="62">
        <v>6</v>
      </c>
      <c r="AA14" s="63"/>
      <c r="AB14" s="52">
        <f t="shared" si="5"/>
        <v>7374.588948985998</v>
      </c>
      <c r="AC14" s="57">
        <f t="shared" si="6"/>
        <v>569093.7800419094</v>
      </c>
      <c r="AD14" s="59">
        <f t="shared" si="2"/>
        <v>576468.3689908955</v>
      </c>
      <c r="AE14" s="54">
        <f t="shared" si="7"/>
        <v>384125.2149532712</v>
      </c>
      <c r="AF14" s="55">
        <f t="shared" si="8"/>
        <v>1172251.2897196263</v>
      </c>
      <c r="AJ14" s="20" t="s">
        <v>11</v>
      </c>
    </row>
    <row r="15" spans="2:39" ht="12.75" thickBot="1">
      <c r="B15" s="71"/>
      <c r="C15" s="159" t="s">
        <v>111</v>
      </c>
      <c r="D15" s="180" t="s">
        <v>113</v>
      </c>
      <c r="E15" s="181"/>
      <c r="I15" s="62">
        <v>7</v>
      </c>
      <c r="J15" s="52">
        <f t="shared" si="9"/>
        <v>80786.86608162982</v>
      </c>
      <c r="K15" s="70"/>
      <c r="L15" s="55">
        <f t="shared" si="10"/>
        <v>1719332.7378207333</v>
      </c>
      <c r="M15" s="54">
        <f t="shared" si="0"/>
        <v>1800119.6039023632</v>
      </c>
      <c r="N15" s="55">
        <f t="shared" si="3"/>
        <v>10380461.08822183</v>
      </c>
      <c r="O15" s="56"/>
      <c r="P15" s="56"/>
      <c r="Q15" s="62">
        <v>7</v>
      </c>
      <c r="R15" s="52">
        <f t="shared" si="11"/>
        <v>72896.05590621481</v>
      </c>
      <c r="S15" s="70"/>
      <c r="T15" s="57">
        <f t="shared" si="12"/>
        <v>1110402.3931758902</v>
      </c>
      <c r="U15" s="139">
        <f t="shared" si="1"/>
        <v>1183298.449082105</v>
      </c>
      <c r="V15" s="55">
        <f t="shared" si="4"/>
        <v>7956037.4359693155</v>
      </c>
      <c r="W15" s="56"/>
      <c r="X15" s="56"/>
      <c r="Z15" s="62">
        <v>7</v>
      </c>
      <c r="AA15" s="63"/>
      <c r="AB15" s="52">
        <f>(J15+K15)-(R15+S15)</f>
        <v>7890.810175415012</v>
      </c>
      <c r="AC15" s="57">
        <f t="shared" si="6"/>
        <v>608930.3446448431</v>
      </c>
      <c r="AD15" s="59">
        <f t="shared" si="2"/>
        <v>616821.1548202581</v>
      </c>
      <c r="AE15" s="54">
        <f t="shared" si="7"/>
        <v>384125.21495327115</v>
      </c>
      <c r="AF15" s="55">
        <f t="shared" si="8"/>
        <v>1556376.5046728975</v>
      </c>
      <c r="AJ15" s="116" t="str">
        <f>"Upgrade Cost ("&amp;D15&amp;")"</f>
        <v>Upgrade Cost (Dollar)</v>
      </c>
      <c r="AK15" s="117"/>
      <c r="AL15" s="117"/>
      <c r="AM15" s="95">
        <f>($R$8+$S$8)-($J$8+$K$8)</f>
        <v>1132500</v>
      </c>
    </row>
    <row r="16" spans="3:32" ht="12.75" thickBot="1">
      <c r="C16" s="72" t="str">
        <f>"Energy Rate ("&amp;D15&amp;"/kWh)"</f>
        <v>Energy Rate (Dollar/kWh)</v>
      </c>
      <c r="D16" s="180">
        <v>4.25</v>
      </c>
      <c r="E16" s="181"/>
      <c r="I16" s="62">
        <v>8</v>
      </c>
      <c r="J16" s="52">
        <f t="shared" si="9"/>
        <v>86441.9467073439</v>
      </c>
      <c r="K16" s="70"/>
      <c r="L16" s="55">
        <f t="shared" si="10"/>
        <v>1839686.0294681848</v>
      </c>
      <c r="M16" s="54">
        <f t="shared" si="0"/>
        <v>1926127.9761755287</v>
      </c>
      <c r="N16" s="55">
        <f t="shared" si="3"/>
        <v>12306589.064397357</v>
      </c>
      <c r="O16" s="56"/>
      <c r="P16" s="56"/>
      <c r="Q16" s="62">
        <v>8</v>
      </c>
      <c r="R16" s="52">
        <f t="shared" si="11"/>
        <v>77998.77981964985</v>
      </c>
      <c r="S16" s="70"/>
      <c r="T16" s="57">
        <f t="shared" si="12"/>
        <v>1188130.5606982026</v>
      </c>
      <c r="U16" s="139">
        <f t="shared" si="1"/>
        <v>1266129.3405178525</v>
      </c>
      <c r="V16" s="55">
        <f t="shared" si="4"/>
        <v>9222166.776487168</v>
      </c>
      <c r="W16" s="56"/>
      <c r="X16" s="56"/>
      <c r="Z16" s="62">
        <v>8</v>
      </c>
      <c r="AA16" s="63"/>
      <c r="AB16" s="52">
        <f t="shared" si="5"/>
        <v>8443.166887694053</v>
      </c>
      <c r="AC16" s="57">
        <f t="shared" si="6"/>
        <v>651555.4687699822</v>
      </c>
      <c r="AD16" s="59">
        <f t="shared" si="2"/>
        <v>659998.6356576763</v>
      </c>
      <c r="AE16" s="54">
        <f t="shared" si="7"/>
        <v>384125.2149532712</v>
      </c>
      <c r="AF16" s="55">
        <f t="shared" si="8"/>
        <v>1940501.7196261687</v>
      </c>
    </row>
    <row r="17" spans="3:43" ht="12">
      <c r="C17" s="60" t="str">
        <f>"Labor Rate ("&amp;D15&amp;"/hr)"</f>
        <v>Labor Rate (Dollar/hr)</v>
      </c>
      <c r="D17" s="190">
        <v>70</v>
      </c>
      <c r="E17" s="191"/>
      <c r="I17" s="62">
        <v>9</v>
      </c>
      <c r="J17" s="52">
        <f t="shared" si="9"/>
        <v>92492.88297685799</v>
      </c>
      <c r="K17" s="70"/>
      <c r="L17" s="55">
        <f t="shared" si="10"/>
        <v>1968464.051530958</v>
      </c>
      <c r="M17" s="54">
        <f t="shared" si="0"/>
        <v>2060956.9345078159</v>
      </c>
      <c r="N17" s="55">
        <f t="shared" si="3"/>
        <v>14367545.998905173</v>
      </c>
      <c r="O17" s="56"/>
      <c r="P17" s="56"/>
      <c r="Q17" s="62">
        <v>9</v>
      </c>
      <c r="R17" s="52">
        <f t="shared" si="11"/>
        <v>83458.69440702535</v>
      </c>
      <c r="S17" s="70"/>
      <c r="T17" s="57">
        <f t="shared" si="12"/>
        <v>1271299.6999470768</v>
      </c>
      <c r="U17" s="139">
        <f t="shared" si="1"/>
        <v>1354758.3943541022</v>
      </c>
      <c r="V17" s="55">
        <f t="shared" si="4"/>
        <v>10576925.17084127</v>
      </c>
      <c r="W17" s="56"/>
      <c r="X17" s="56"/>
      <c r="Z17" s="62">
        <v>9</v>
      </c>
      <c r="AA17" s="63"/>
      <c r="AB17" s="52">
        <f t="shared" si="5"/>
        <v>9034.188569832637</v>
      </c>
      <c r="AC17" s="57">
        <f t="shared" si="6"/>
        <v>697164.3515838811</v>
      </c>
      <c r="AD17" s="59">
        <f t="shared" si="2"/>
        <v>706198.5401537137</v>
      </c>
      <c r="AE17" s="54">
        <f t="shared" si="7"/>
        <v>384125.2149532712</v>
      </c>
      <c r="AF17" s="55">
        <f t="shared" si="8"/>
        <v>2324626.93457944</v>
      </c>
      <c r="AJ17" s="77" t="s">
        <v>41</v>
      </c>
      <c r="AK17" s="118"/>
      <c r="AL17" s="119"/>
      <c r="AM17" s="120"/>
      <c r="AN17" s="120"/>
      <c r="AO17" s="120"/>
      <c r="AP17" s="120"/>
      <c r="AQ17" s="121"/>
    </row>
    <row r="18" spans="3:43" ht="12">
      <c r="C18" s="60" t="s">
        <v>45</v>
      </c>
      <c r="D18" s="192">
        <v>0.07</v>
      </c>
      <c r="E18" s="193"/>
      <c r="I18" s="62">
        <v>10</v>
      </c>
      <c r="J18" s="52">
        <f t="shared" si="9"/>
        <v>98967.38478523804</v>
      </c>
      <c r="K18" s="70"/>
      <c r="L18" s="55">
        <f t="shared" si="10"/>
        <v>2106256.535138125</v>
      </c>
      <c r="M18" s="54">
        <f t="shared" si="0"/>
        <v>2205223.9199233633</v>
      </c>
      <c r="N18" s="55">
        <f t="shared" si="3"/>
        <v>16572769.918828536</v>
      </c>
      <c r="O18" s="56"/>
      <c r="P18" s="56"/>
      <c r="Q18" s="62">
        <v>10</v>
      </c>
      <c r="R18" s="52">
        <f t="shared" si="11"/>
        <v>89300.80301551711</v>
      </c>
      <c r="S18" s="70"/>
      <c r="T18" s="57">
        <f t="shared" si="12"/>
        <v>1360290.6789433723</v>
      </c>
      <c r="U18" s="139">
        <f t="shared" si="1"/>
        <v>1449591.4819588894</v>
      </c>
      <c r="V18" s="55">
        <f t="shared" si="4"/>
        <v>12026516.652800158</v>
      </c>
      <c r="W18" s="56"/>
      <c r="X18" s="56"/>
      <c r="Z18" s="62">
        <v>10</v>
      </c>
      <c r="AA18" s="63"/>
      <c r="AB18" s="52">
        <f t="shared" si="5"/>
        <v>9666.581769720928</v>
      </c>
      <c r="AC18" s="57">
        <f t="shared" si="6"/>
        <v>745965.8561947527</v>
      </c>
      <c r="AD18" s="59">
        <f t="shared" si="2"/>
        <v>755632.4379644736</v>
      </c>
      <c r="AE18" s="54">
        <f t="shared" si="7"/>
        <v>384125.2149532712</v>
      </c>
      <c r="AF18" s="55">
        <f t="shared" si="8"/>
        <v>2708752.149532711</v>
      </c>
      <c r="AJ18" s="108"/>
      <c r="AK18" s="122"/>
      <c r="AL18" s="63"/>
      <c r="AM18" s="81" t="s">
        <v>17</v>
      </c>
      <c r="AN18" s="81" t="s">
        <v>23</v>
      </c>
      <c r="AO18" s="81" t="s">
        <v>24</v>
      </c>
      <c r="AP18" s="81" t="s">
        <v>25</v>
      </c>
      <c r="AQ18" s="82" t="s">
        <v>26</v>
      </c>
    </row>
    <row r="19" spans="3:43" ht="12">
      <c r="C19" s="60" t="s">
        <v>48</v>
      </c>
      <c r="D19" s="192">
        <v>0.07</v>
      </c>
      <c r="E19" s="193"/>
      <c r="I19" s="62">
        <v>11</v>
      </c>
      <c r="J19" s="52">
        <f t="shared" si="9"/>
        <v>105895.10172020472</v>
      </c>
      <c r="K19" s="70"/>
      <c r="L19" s="55">
        <f t="shared" si="10"/>
        <v>2253694.492597794</v>
      </c>
      <c r="M19" s="54">
        <f t="shared" si="0"/>
        <v>2359589.5943179987</v>
      </c>
      <c r="N19" s="55">
        <f>M19+N18</f>
        <v>18932359.513146535</v>
      </c>
      <c r="O19" s="56"/>
      <c r="P19" s="56"/>
      <c r="Q19" s="62">
        <v>11</v>
      </c>
      <c r="R19" s="52">
        <f t="shared" si="11"/>
        <v>95551.85922660334</v>
      </c>
      <c r="S19" s="70"/>
      <c r="T19" s="57">
        <f t="shared" si="12"/>
        <v>1455511.0264694085</v>
      </c>
      <c r="U19" s="139">
        <f t="shared" si="1"/>
        <v>1551062.8856960118</v>
      </c>
      <c r="V19" s="55">
        <f>U19+V18</f>
        <v>13577579.53849617</v>
      </c>
      <c r="W19" s="56"/>
      <c r="X19" s="56"/>
      <c r="Z19" s="62">
        <v>11</v>
      </c>
      <c r="AA19" s="63"/>
      <c r="AB19" s="52">
        <f t="shared" si="5"/>
        <v>10343.242493601385</v>
      </c>
      <c r="AC19" s="57">
        <f t="shared" si="6"/>
        <v>798183.4661283856</v>
      </c>
      <c r="AD19" s="59">
        <f t="shared" si="2"/>
        <v>808526.708621987</v>
      </c>
      <c r="AE19" s="54">
        <f t="shared" si="7"/>
        <v>384125.21495327126</v>
      </c>
      <c r="AF19" s="55">
        <f>AE19+AF18</f>
        <v>3092877.3644859823</v>
      </c>
      <c r="AJ19" s="73" t="str">
        <f>"Typical System Life Cycle Cost ("&amp;D15&amp;")"</f>
        <v>Typical System Life Cycle Cost (Dollar)</v>
      </c>
      <c r="AK19" s="122"/>
      <c r="AL19" s="63"/>
      <c r="AM19" s="110">
        <f>$N$9</f>
        <v>1199495.7</v>
      </c>
      <c r="AN19" s="110">
        <f>$N$13</f>
        <v>6897986.714317257</v>
      </c>
      <c r="AO19" s="110">
        <f>$N$18</f>
        <v>16572769.918828536</v>
      </c>
      <c r="AP19" s="110">
        <f>$N$23</f>
        <v>31267684.00302597</v>
      </c>
      <c r="AQ19" s="111">
        <f>$N$28</f>
        <v>50299446.91526264</v>
      </c>
    </row>
    <row r="20" spans="1:43" ht="12">
      <c r="A20" s="155" t="s">
        <v>96</v>
      </c>
      <c r="C20" s="73" t="s">
        <v>92</v>
      </c>
      <c r="D20" s="190">
        <v>10</v>
      </c>
      <c r="E20" s="191"/>
      <c r="I20" s="62">
        <v>12</v>
      </c>
      <c r="J20" s="52">
        <f t="shared" si="9"/>
        <v>113307.75884061903</v>
      </c>
      <c r="K20" s="70"/>
      <c r="L20" s="55">
        <f t="shared" si="10"/>
        <v>2411453.10707964</v>
      </c>
      <c r="M20" s="54">
        <f t="shared" si="0"/>
        <v>2524760.865920259</v>
      </c>
      <c r="N20" s="55">
        <f t="shared" si="3"/>
        <v>21457120.379066795</v>
      </c>
      <c r="O20" s="56"/>
      <c r="P20" s="56"/>
      <c r="Q20" s="62">
        <v>12</v>
      </c>
      <c r="R20" s="52">
        <f t="shared" si="11"/>
        <v>102240.48937246554</v>
      </c>
      <c r="S20" s="70"/>
      <c r="T20" s="57">
        <f t="shared" si="12"/>
        <v>1557396.7983222671</v>
      </c>
      <c r="U20" s="139">
        <f t="shared" si="1"/>
        <v>1659637.2876947327</v>
      </c>
      <c r="V20" s="55">
        <f t="shared" si="4"/>
        <v>15237216.826190904</v>
      </c>
      <c r="W20" s="56"/>
      <c r="X20" s="56"/>
      <c r="Z20" s="62">
        <v>12</v>
      </c>
      <c r="AA20" s="63"/>
      <c r="AB20" s="52">
        <f t="shared" si="5"/>
        <v>11067.269468153492</v>
      </c>
      <c r="AC20" s="57">
        <f t="shared" si="6"/>
        <v>854056.3087573729</v>
      </c>
      <c r="AD20" s="59">
        <f t="shared" si="2"/>
        <v>865123.5782255264</v>
      </c>
      <c r="AE20" s="54">
        <f t="shared" si="7"/>
        <v>384125.2149532715</v>
      </c>
      <c r="AF20" s="55">
        <f t="shared" si="8"/>
        <v>3477002.579439254</v>
      </c>
      <c r="AJ20" s="73" t="str">
        <f>"Upgrade System Life Cycle Cost ("&amp;D15&amp;")"</f>
        <v>Upgrade System Life Cycle Cost (Dollar)</v>
      </c>
      <c r="AK20" s="122"/>
      <c r="AL20" s="63"/>
      <c r="AM20" s="110">
        <f>$V$9</f>
        <v>1920981.72</v>
      </c>
      <c r="AN20" s="110">
        <f>$V$13</f>
        <v>5666852.585875898</v>
      </c>
      <c r="AO20" s="110">
        <f>$V$18</f>
        <v>12026516.652800158</v>
      </c>
      <c r="AP20" s="110">
        <f>$V$23</f>
        <v>20946274.496535383</v>
      </c>
      <c r="AQ20" s="111">
        <f>$V$28</f>
        <v>33456696.297691133</v>
      </c>
    </row>
    <row r="21" spans="3:43" ht="12.75" thickBot="1">
      <c r="C21" s="74" t="s">
        <v>93</v>
      </c>
      <c r="D21" s="163">
        <v>30</v>
      </c>
      <c r="E21" s="164"/>
      <c r="I21" s="62">
        <v>13</v>
      </c>
      <c r="J21" s="52">
        <f t="shared" si="9"/>
        <v>121239.30195946238</v>
      </c>
      <c r="K21" s="70"/>
      <c r="L21" s="55">
        <f t="shared" si="10"/>
        <v>2580254.824575215</v>
      </c>
      <c r="M21" s="54">
        <f t="shared" si="0"/>
        <v>2701494.1265346776</v>
      </c>
      <c r="N21" s="55">
        <f t="shared" si="3"/>
        <v>24158614.505601473</v>
      </c>
      <c r="O21" s="56"/>
      <c r="P21" s="56"/>
      <c r="Q21" s="62">
        <v>13</v>
      </c>
      <c r="R21" s="52">
        <f t="shared" si="11"/>
        <v>109397.32362853814</v>
      </c>
      <c r="S21" s="70"/>
      <c r="T21" s="57">
        <f t="shared" si="12"/>
        <v>1666414.574204826</v>
      </c>
      <c r="U21" s="139">
        <f t="shared" si="1"/>
        <v>1775811.897833364</v>
      </c>
      <c r="V21" s="55">
        <f t="shared" si="4"/>
        <v>17013028.724024266</v>
      </c>
      <c r="W21" s="56"/>
      <c r="X21" s="56"/>
      <c r="Z21" s="62">
        <v>13</v>
      </c>
      <c r="AA21" s="63"/>
      <c r="AB21" s="52">
        <f t="shared" si="5"/>
        <v>11841.978330924234</v>
      </c>
      <c r="AC21" s="57">
        <f t="shared" si="6"/>
        <v>913840.2503703891</v>
      </c>
      <c r="AD21" s="59">
        <f t="shared" si="2"/>
        <v>925682.2287013133</v>
      </c>
      <c r="AE21" s="54">
        <f t="shared" si="7"/>
        <v>384125.21495327144</v>
      </c>
      <c r="AF21" s="55">
        <f t="shared" si="8"/>
        <v>3861127.794392525</v>
      </c>
      <c r="AJ21" s="130"/>
      <c r="AK21" s="131"/>
      <c r="AL21" s="132"/>
      <c r="AM21" s="133"/>
      <c r="AN21" s="133"/>
      <c r="AO21" s="133"/>
      <c r="AP21" s="133"/>
      <c r="AQ21" s="134"/>
    </row>
    <row r="22" spans="3:43" ht="12">
      <c r="C22" s="61"/>
      <c r="D22" s="75"/>
      <c r="E22" s="76"/>
      <c r="I22" s="62">
        <v>14</v>
      </c>
      <c r="J22" s="52">
        <f t="shared" si="9"/>
        <v>129726.05309662473</v>
      </c>
      <c r="K22" s="52">
        <f>FV($D$18,I22,0,-1*$D$34*$D$31*($D$36+$D$21/60*$D$17))</f>
        <v>1125530.1565628443</v>
      </c>
      <c r="L22" s="55">
        <f t="shared" si="10"/>
        <v>2760872.6622954803</v>
      </c>
      <c r="M22" s="54">
        <f t="shared" si="0"/>
        <v>4016128.8719549496</v>
      </c>
      <c r="N22" s="55">
        <f t="shared" si="3"/>
        <v>28174743.37755642</v>
      </c>
      <c r="O22" s="56"/>
      <c r="P22" s="56"/>
      <c r="Q22" s="62">
        <v>14</v>
      </c>
      <c r="R22" s="52">
        <f t="shared" si="11"/>
        <v>117055.13628253581</v>
      </c>
      <c r="S22" s="70"/>
      <c r="T22" s="57">
        <f t="shared" si="12"/>
        <v>1783063.594399164</v>
      </c>
      <c r="U22" s="139">
        <f t="shared" si="1"/>
        <v>1900118.7306816997</v>
      </c>
      <c r="V22" s="55">
        <f t="shared" si="4"/>
        <v>18913147.454705965</v>
      </c>
      <c r="W22" s="56"/>
      <c r="X22" s="56"/>
      <c r="Z22" s="62">
        <v>14</v>
      </c>
      <c r="AA22" s="63"/>
      <c r="AB22" s="52">
        <f>(J22+K22)-(R22+S22)</f>
        <v>1138201.0733769333</v>
      </c>
      <c r="AC22" s="57">
        <f t="shared" si="6"/>
        <v>977809.0678963163</v>
      </c>
      <c r="AD22" s="59">
        <f t="shared" si="2"/>
        <v>2116010.14127325</v>
      </c>
      <c r="AE22" s="54">
        <f t="shared" si="7"/>
        <v>820625.2149532717</v>
      </c>
      <c r="AF22" s="55">
        <f t="shared" si="8"/>
        <v>4681753.009345797</v>
      </c>
      <c r="AJ22" s="73" t="s">
        <v>42</v>
      </c>
      <c r="AK22" s="122"/>
      <c r="AL22" s="63"/>
      <c r="AM22" s="110">
        <f>($AM$8-$AN$8)*1</f>
        <v>95472</v>
      </c>
      <c r="AN22" s="110">
        <f>($AM$8-$AN$8)*5</f>
        <v>477360</v>
      </c>
      <c r="AO22" s="110">
        <f>($AM$8-$AN$8)*10</f>
        <v>954720</v>
      </c>
      <c r="AP22" s="110">
        <f>($AM$8-$AN$8)*15</f>
        <v>1432080</v>
      </c>
      <c r="AQ22" s="111">
        <f>($AM$8-$AN$8)*20</f>
        <v>1909440</v>
      </c>
    </row>
    <row r="23" spans="3:43" ht="12.75" thickBot="1">
      <c r="C23" s="61"/>
      <c r="D23" s="75"/>
      <c r="E23" s="76"/>
      <c r="F23" s="80"/>
      <c r="G23" s="80"/>
      <c r="I23" s="62">
        <v>15</v>
      </c>
      <c r="J23" s="52">
        <f t="shared" si="9"/>
        <v>138806.8768133885</v>
      </c>
      <c r="K23" s="70"/>
      <c r="L23" s="55">
        <f t="shared" si="10"/>
        <v>2954133.748656164</v>
      </c>
      <c r="M23" s="54">
        <f t="shared" si="0"/>
        <v>3092940.6254695524</v>
      </c>
      <c r="N23" s="55">
        <f t="shared" si="3"/>
        <v>31267684.00302597</v>
      </c>
      <c r="O23" s="56"/>
      <c r="P23" s="56"/>
      <c r="Q23" s="62">
        <v>15</v>
      </c>
      <c r="R23" s="52">
        <f t="shared" si="11"/>
        <v>125248.99582231333</v>
      </c>
      <c r="S23" s="70"/>
      <c r="T23" s="57">
        <f t="shared" si="12"/>
        <v>1907878.0460071056</v>
      </c>
      <c r="U23" s="139">
        <f t="shared" si="1"/>
        <v>2033127.0418294189</v>
      </c>
      <c r="V23" s="55">
        <f t="shared" si="4"/>
        <v>20946274.496535383</v>
      </c>
      <c r="W23" s="56"/>
      <c r="X23" s="56"/>
      <c r="Z23" s="62">
        <v>15</v>
      </c>
      <c r="AA23" s="63"/>
      <c r="AB23" s="52">
        <f t="shared" si="5"/>
        <v>13557.880991075159</v>
      </c>
      <c r="AC23" s="57">
        <f t="shared" si="6"/>
        <v>1046255.7026490583</v>
      </c>
      <c r="AD23" s="59">
        <f t="shared" si="2"/>
        <v>1059813.5836401335</v>
      </c>
      <c r="AE23" s="54">
        <f t="shared" si="7"/>
        <v>384125.21495327144</v>
      </c>
      <c r="AF23" s="55">
        <f t="shared" si="8"/>
        <v>5065878.224299069</v>
      </c>
      <c r="AJ23" s="73" t="str">
        <f>"Energy Cost Savings ("&amp;D15&amp;")"</f>
        <v>Energy Cost Savings (Dollar)</v>
      </c>
      <c r="AK23" s="122"/>
      <c r="AL23" s="63"/>
      <c r="AM23" s="110">
        <f>AC9</f>
        <v>405756</v>
      </c>
      <c r="AN23" s="110">
        <f>SUM(AC9:AC13)</f>
        <v>2333396.85774156</v>
      </c>
      <c r="AO23" s="110">
        <f>SUM(AC9:AC18)</f>
        <v>5606106.658976929</v>
      </c>
      <c r="AP23" s="110">
        <f>SUM(AC9:AC23)</f>
        <v>10196251.454778451</v>
      </c>
      <c r="AQ23" s="111">
        <f>SUM(AC9:AC28)</f>
        <v>16634166.982293475</v>
      </c>
    </row>
    <row r="24" spans="3:43" ht="12">
      <c r="C24" s="77" t="s">
        <v>68</v>
      </c>
      <c r="D24" s="78"/>
      <c r="E24" s="79"/>
      <c r="F24" s="83"/>
      <c r="G24" s="83"/>
      <c r="I24" s="62">
        <v>16</v>
      </c>
      <c r="J24" s="52">
        <f t="shared" si="9"/>
        <v>148523.35819032564</v>
      </c>
      <c r="K24" s="70"/>
      <c r="L24" s="55">
        <f t="shared" si="10"/>
        <v>3160923.1110620955</v>
      </c>
      <c r="M24" s="54">
        <f t="shared" si="0"/>
        <v>3309446.469252421</v>
      </c>
      <c r="N24" s="55">
        <f>M24+N23</f>
        <v>34577130.472278394</v>
      </c>
      <c r="O24" s="56"/>
      <c r="P24" s="56"/>
      <c r="Q24" s="62">
        <v>16</v>
      </c>
      <c r="R24" s="52">
        <f t="shared" si="11"/>
        <v>134016.42552987524</v>
      </c>
      <c r="S24" s="70"/>
      <c r="T24" s="57">
        <f t="shared" si="12"/>
        <v>2041429.5092276032</v>
      </c>
      <c r="U24" s="139">
        <f t="shared" si="1"/>
        <v>2175445.9347574785</v>
      </c>
      <c r="V24" s="55">
        <f>U24+V23</f>
        <v>23121720.43129286</v>
      </c>
      <c r="W24" s="56"/>
      <c r="X24" s="56"/>
      <c r="Z24" s="62">
        <v>16</v>
      </c>
      <c r="AA24" s="63"/>
      <c r="AB24" s="52">
        <f t="shared" si="5"/>
        <v>14506.932660450402</v>
      </c>
      <c r="AC24" s="57">
        <f t="shared" si="6"/>
        <v>1119493.6018344923</v>
      </c>
      <c r="AD24" s="59">
        <f t="shared" si="2"/>
        <v>1134000.5344949428</v>
      </c>
      <c r="AE24" s="54">
        <f t="shared" si="7"/>
        <v>384125.21495327144</v>
      </c>
      <c r="AF24" s="55">
        <f>AE24+AF23</f>
        <v>5450003.43925234</v>
      </c>
      <c r="AJ24" s="73" t="str">
        <f>"Maintenance Savings ("&amp;D15&amp;")"</f>
        <v>Maintenance Savings (Dollar)</v>
      </c>
      <c r="AK24" s="122"/>
      <c r="AL24" s="63"/>
      <c r="AM24" s="110">
        <f>AB9</f>
        <v>5257.980000000003</v>
      </c>
      <c r="AN24" s="110">
        <f>SUM(AB9:AB13)</f>
        <v>30237.270699799803</v>
      </c>
      <c r="AO24" s="110">
        <f>SUM(AB9:AB18)</f>
        <v>72646.60705144843</v>
      </c>
      <c r="AP24" s="110">
        <f>SUM(AB9:AB23)</f>
        <v>1257658.051712136</v>
      </c>
      <c r="AQ24" s="111">
        <f>SUM(AB9:AB28)</f>
        <v>1341083.6352780312</v>
      </c>
    </row>
    <row r="25" spans="3:43" ht="12">
      <c r="C25" s="62"/>
      <c r="D25" s="81" t="s">
        <v>73</v>
      </c>
      <c r="E25" s="82" t="s">
        <v>43</v>
      </c>
      <c r="F25" s="25"/>
      <c r="G25" s="25"/>
      <c r="I25" s="62">
        <v>17</v>
      </c>
      <c r="J25" s="52">
        <f t="shared" si="9"/>
        <v>158919.99326364844</v>
      </c>
      <c r="K25" s="70"/>
      <c r="L25" s="55">
        <f t="shared" si="10"/>
        <v>3382187.7288364423</v>
      </c>
      <c r="M25" s="54">
        <f t="shared" si="0"/>
        <v>3541107.7221000907</v>
      </c>
      <c r="N25" s="55">
        <f t="shared" si="3"/>
        <v>38118238.19437849</v>
      </c>
      <c r="O25" s="56"/>
      <c r="P25" s="56"/>
      <c r="Q25" s="62">
        <v>17</v>
      </c>
      <c r="R25" s="52">
        <f t="shared" si="11"/>
        <v>143397.5753169665</v>
      </c>
      <c r="S25" s="70"/>
      <c r="T25" s="57">
        <f t="shared" si="12"/>
        <v>2184329.5748735354</v>
      </c>
      <c r="U25" s="139">
        <f t="shared" si="1"/>
        <v>2327727.150190502</v>
      </c>
      <c r="V25" s="55">
        <f t="shared" si="4"/>
        <v>25449447.581483364</v>
      </c>
      <c r="W25" s="56"/>
      <c r="X25" s="56"/>
      <c r="Z25" s="62">
        <v>17</v>
      </c>
      <c r="AA25" s="63"/>
      <c r="AB25" s="52">
        <f t="shared" si="5"/>
        <v>15522.417946681933</v>
      </c>
      <c r="AC25" s="57">
        <f t="shared" si="6"/>
        <v>1197858.153962907</v>
      </c>
      <c r="AD25" s="59">
        <f t="shared" si="2"/>
        <v>1213380.5719095888</v>
      </c>
      <c r="AE25" s="54">
        <f t="shared" si="7"/>
        <v>384125.21495327144</v>
      </c>
      <c r="AF25" s="55">
        <f t="shared" si="8"/>
        <v>5834128.654205612</v>
      </c>
      <c r="AJ25" s="73" t="str">
        <f>"NPV of Upgrade Savings ("&amp;D15&amp;")**"</f>
        <v>NPV of Upgrade Savings (Dollar)**</v>
      </c>
      <c r="AK25" s="122"/>
      <c r="AL25" s="63"/>
      <c r="AM25" s="110">
        <f>$AF$9</f>
        <v>-748374.785046729</v>
      </c>
      <c r="AN25" s="110">
        <f>$AF$13</f>
        <v>788126.0747663551</v>
      </c>
      <c r="AO25" s="110">
        <f>$AF$18</f>
        <v>2708752.149532711</v>
      </c>
      <c r="AP25" s="110">
        <f>$AF$23</f>
        <v>5065878.224299069</v>
      </c>
      <c r="AQ25" s="111">
        <f>$AF$28</f>
        <v>6986504.299065427</v>
      </c>
    </row>
    <row r="26" spans="3:43" ht="12">
      <c r="C26" s="62" t="s">
        <v>0</v>
      </c>
      <c r="D26" s="5" t="s">
        <v>66</v>
      </c>
      <c r="E26" s="6" t="s">
        <v>66</v>
      </c>
      <c r="F26" s="25"/>
      <c r="G26" s="25"/>
      <c r="I26" s="62">
        <v>18</v>
      </c>
      <c r="J26" s="52">
        <f t="shared" si="9"/>
        <v>170044.39279210384</v>
      </c>
      <c r="K26" s="70"/>
      <c r="L26" s="55">
        <f t="shared" si="10"/>
        <v>3618940.8698549937</v>
      </c>
      <c r="M26" s="54">
        <f t="shared" si="0"/>
        <v>3788985.2626470975</v>
      </c>
      <c r="N26" s="55">
        <f t="shared" si="3"/>
        <v>41907223.45702559</v>
      </c>
      <c r="O26" s="56"/>
      <c r="P26" s="56"/>
      <c r="Q26" s="62">
        <v>18</v>
      </c>
      <c r="R26" s="52">
        <f t="shared" si="11"/>
        <v>153435.40558915416</v>
      </c>
      <c r="S26" s="70"/>
      <c r="T26" s="57">
        <f t="shared" si="12"/>
        <v>2337232.645114683</v>
      </c>
      <c r="U26" s="139">
        <f t="shared" si="1"/>
        <v>2490668.050703837</v>
      </c>
      <c r="V26" s="55">
        <f t="shared" si="4"/>
        <v>27940115.632187203</v>
      </c>
      <c r="W26" s="56"/>
      <c r="X26" s="56"/>
      <c r="Z26" s="62">
        <v>18</v>
      </c>
      <c r="AA26" s="63"/>
      <c r="AB26" s="52">
        <f t="shared" si="5"/>
        <v>16608.987202949676</v>
      </c>
      <c r="AC26" s="57">
        <f t="shared" si="6"/>
        <v>1281708.2247403106</v>
      </c>
      <c r="AD26" s="59">
        <f t="shared" si="2"/>
        <v>1298317.2119432602</v>
      </c>
      <c r="AE26" s="54">
        <f t="shared" si="7"/>
        <v>384125.2149532715</v>
      </c>
      <c r="AF26" s="55">
        <f t="shared" si="8"/>
        <v>6218253.869158884</v>
      </c>
      <c r="AJ26" s="73" t="s">
        <v>28</v>
      </c>
      <c r="AK26" s="122"/>
      <c r="AL26" s="63"/>
      <c r="AM26" s="145" t="s">
        <v>54</v>
      </c>
      <c r="AN26" s="145">
        <f>IRR($AD$8:$AD$13)</f>
        <v>0.2909685493973997</v>
      </c>
      <c r="AO26" s="145">
        <f>IRR($AD$8:$AD$18)</f>
        <v>0.40992850717266716</v>
      </c>
      <c r="AP26" s="145">
        <f>IRR($AD$8:$AD$23)</f>
        <v>0.43065715972643537</v>
      </c>
      <c r="AQ26" s="146">
        <f>IRR($AD$8:$AD$28)</f>
        <v>0.4342137633872474</v>
      </c>
    </row>
    <row r="27" spans="3:43" ht="12.75" thickBot="1">
      <c r="C27" s="62" t="s">
        <v>1</v>
      </c>
      <c r="D27" s="5" t="s">
        <v>7</v>
      </c>
      <c r="E27" s="6" t="s">
        <v>6</v>
      </c>
      <c r="F27" s="25"/>
      <c r="G27" s="25"/>
      <c r="I27" s="62">
        <v>19</v>
      </c>
      <c r="J27" s="52">
        <f t="shared" si="9"/>
        <v>181947.5002875511</v>
      </c>
      <c r="K27" s="70"/>
      <c r="L27" s="55">
        <f t="shared" si="10"/>
        <v>3872266.7307448434</v>
      </c>
      <c r="M27" s="54">
        <f t="shared" si="0"/>
        <v>4054214.2310323943</v>
      </c>
      <c r="N27" s="55">
        <f t="shared" si="3"/>
        <v>45961437.68805798</v>
      </c>
      <c r="O27" s="56"/>
      <c r="P27" s="56"/>
      <c r="Q27" s="62">
        <v>19</v>
      </c>
      <c r="R27" s="52">
        <f t="shared" si="11"/>
        <v>164175.88398039498</v>
      </c>
      <c r="S27" s="70"/>
      <c r="T27" s="57">
        <f t="shared" si="12"/>
        <v>2500838.930272711</v>
      </c>
      <c r="U27" s="139">
        <f t="shared" si="1"/>
        <v>2665014.814253106</v>
      </c>
      <c r="V27" s="55">
        <f t="shared" si="4"/>
        <v>30605130.44644031</v>
      </c>
      <c r="W27" s="56"/>
      <c r="X27" s="56"/>
      <c r="Z27" s="62">
        <v>19</v>
      </c>
      <c r="AA27" s="63"/>
      <c r="AB27" s="52">
        <f t="shared" si="5"/>
        <v>17771.61630715613</v>
      </c>
      <c r="AC27" s="57">
        <f t="shared" si="6"/>
        <v>1371427.8004721324</v>
      </c>
      <c r="AD27" s="59">
        <f t="shared" si="2"/>
        <v>1389199.4167792886</v>
      </c>
      <c r="AE27" s="54">
        <f t="shared" si="7"/>
        <v>384125.2149532715</v>
      </c>
      <c r="AF27" s="55">
        <f t="shared" si="8"/>
        <v>6602379.084112155</v>
      </c>
      <c r="AJ27" s="74" t="s">
        <v>29</v>
      </c>
      <c r="AK27" s="123"/>
      <c r="AL27" s="124"/>
      <c r="AM27" s="125">
        <f>-1*(AA8/AC9)</f>
        <v>2.791086268594919</v>
      </c>
      <c r="AN27" s="125">
        <f>AM27</f>
        <v>2.791086268594919</v>
      </c>
      <c r="AO27" s="125">
        <f>AN27</f>
        <v>2.791086268594919</v>
      </c>
      <c r="AP27" s="125">
        <f>AO27</f>
        <v>2.791086268594919</v>
      </c>
      <c r="AQ27" s="126">
        <f>AP27</f>
        <v>2.791086268594919</v>
      </c>
    </row>
    <row r="28" spans="3:36" ht="12.75" thickBot="1">
      <c r="C28" s="62" t="s">
        <v>2</v>
      </c>
      <c r="D28" s="5" t="s">
        <v>51</v>
      </c>
      <c r="E28" s="6" t="s">
        <v>8</v>
      </c>
      <c r="F28" s="25"/>
      <c r="G28" s="25"/>
      <c r="I28" s="84">
        <v>20</v>
      </c>
      <c r="J28" s="52">
        <f t="shared" si="9"/>
        <v>194683.82530767968</v>
      </c>
      <c r="K28" s="86"/>
      <c r="L28" s="87">
        <f t="shared" si="10"/>
        <v>4143325.4018969825</v>
      </c>
      <c r="M28" s="88">
        <f t="shared" si="0"/>
        <v>4338009.227204662</v>
      </c>
      <c r="N28" s="55">
        <f t="shared" si="3"/>
        <v>50299446.91526264</v>
      </c>
      <c r="O28" s="56"/>
      <c r="P28" s="56"/>
      <c r="Q28" s="84">
        <v>20</v>
      </c>
      <c r="R28" s="52">
        <f t="shared" si="11"/>
        <v>175668.1958590226</v>
      </c>
      <c r="S28" s="86"/>
      <c r="T28" s="90">
        <f t="shared" si="12"/>
        <v>2675897.6553918007</v>
      </c>
      <c r="U28" s="140">
        <f t="shared" si="1"/>
        <v>2851565.851250823</v>
      </c>
      <c r="V28" s="87">
        <f t="shared" si="4"/>
        <v>33456696.297691133</v>
      </c>
      <c r="W28" s="56"/>
      <c r="X28" s="56"/>
      <c r="Z28" s="84">
        <v>20</v>
      </c>
      <c r="AA28" s="89"/>
      <c r="AB28" s="85">
        <f t="shared" si="5"/>
        <v>19015.62944865707</v>
      </c>
      <c r="AC28" s="90">
        <f t="shared" si="6"/>
        <v>1467427.7465051818</v>
      </c>
      <c r="AD28" s="91">
        <f t="shared" si="2"/>
        <v>1486443.375953839</v>
      </c>
      <c r="AE28" s="88">
        <f t="shared" si="7"/>
        <v>384125.2149532716</v>
      </c>
      <c r="AF28" s="87">
        <f t="shared" si="8"/>
        <v>6986504.299065427</v>
      </c>
      <c r="AJ28" s="20" t="s">
        <v>50</v>
      </c>
    </row>
    <row r="29" spans="3:36" ht="13.5" thickBot="1" thickTop="1">
      <c r="C29" s="62" t="s">
        <v>3</v>
      </c>
      <c r="D29" s="5">
        <v>40</v>
      </c>
      <c r="E29" s="6">
        <v>32</v>
      </c>
      <c r="F29" s="25"/>
      <c r="G29" s="92"/>
      <c r="I29" s="93" t="s">
        <v>31</v>
      </c>
      <c r="J29" s="94">
        <f>SUM(J8:J28)</f>
        <v>2206857.043988818</v>
      </c>
      <c r="K29" s="94">
        <f>SUM(K8:K28)</f>
        <v>1125530.1565628443</v>
      </c>
      <c r="L29" s="95">
        <f>SUM(L8:L28)</f>
        <v>46967059.71471098</v>
      </c>
      <c r="M29" s="96">
        <f>SUM(M8:M28)</f>
        <v>50299446.91526264</v>
      </c>
      <c r="N29" s="129"/>
      <c r="O29" s="56"/>
      <c r="P29" s="56"/>
      <c r="Q29" s="93" t="s">
        <v>31</v>
      </c>
      <c r="R29" s="94">
        <f>SUM(R8:R28)</f>
        <v>2282303.565273631</v>
      </c>
      <c r="S29" s="94">
        <f>SUM(S8:S28)</f>
        <v>841500</v>
      </c>
      <c r="T29" s="98">
        <f>SUM(T8:T28)</f>
        <v>30332892.732417505</v>
      </c>
      <c r="U29" s="141">
        <f>SUM(U8:U28)</f>
        <v>33456696.297691133</v>
      </c>
      <c r="V29" s="142"/>
      <c r="W29" s="56"/>
      <c r="X29" s="25"/>
      <c r="Z29" s="93" t="s">
        <v>31</v>
      </c>
      <c r="AA29" s="97"/>
      <c r="AB29" s="94">
        <f>SUM(AB8:AB28)</f>
        <v>1341083.6352780312</v>
      </c>
      <c r="AC29" s="98">
        <f>SUM(AC8:AC28)</f>
        <v>16634166.982293475</v>
      </c>
      <c r="AD29" s="99">
        <f>SUM(AD8:AD28)</f>
        <v>16842750.617571503</v>
      </c>
      <c r="AE29" s="100">
        <f>SUM(AE8:AE28)</f>
        <v>6986504.299065427</v>
      </c>
      <c r="AF29" s="135"/>
      <c r="AJ29" s="20" t="s">
        <v>55</v>
      </c>
    </row>
    <row r="30" spans="3:22" ht="12">
      <c r="C30" s="62" t="s">
        <v>16</v>
      </c>
      <c r="D30" s="5">
        <v>2</v>
      </c>
      <c r="E30" s="6">
        <v>2</v>
      </c>
      <c r="F30" s="25"/>
      <c r="G30" s="92"/>
      <c r="I30" s="20" t="s">
        <v>57</v>
      </c>
      <c r="J30" s="56"/>
      <c r="K30" s="56"/>
      <c r="L30" s="56"/>
      <c r="M30" s="56"/>
      <c r="N30" s="56"/>
      <c r="Q30" s="20" t="s">
        <v>57</v>
      </c>
      <c r="R30" s="56"/>
      <c r="S30" s="56"/>
      <c r="T30" s="56"/>
      <c r="U30" s="56"/>
      <c r="V30" s="56"/>
    </row>
    <row r="31" spans="3:30" ht="12">
      <c r="C31" s="62" t="s">
        <v>15</v>
      </c>
      <c r="D31" s="5">
        <v>1</v>
      </c>
      <c r="E31" s="6">
        <v>1</v>
      </c>
      <c r="F31" s="25"/>
      <c r="G31" s="92"/>
      <c r="M31" s="101" t="s">
        <v>11</v>
      </c>
      <c r="Q31" s="102"/>
      <c r="R31" s="102"/>
      <c r="S31" s="102"/>
      <c r="T31" s="102"/>
      <c r="U31" s="101" t="s">
        <v>11</v>
      </c>
      <c r="V31" s="102"/>
      <c r="W31" s="101" t="s">
        <v>11</v>
      </c>
      <c r="AB31" s="101"/>
      <c r="AC31" s="184"/>
      <c r="AD31" s="185"/>
    </row>
    <row r="32" spans="3:24" ht="12">
      <c r="C32" s="62" t="s">
        <v>5</v>
      </c>
      <c r="D32" s="7">
        <v>8000</v>
      </c>
      <c r="E32" s="8">
        <v>20000</v>
      </c>
      <c r="F32" s="25"/>
      <c r="G32" s="92"/>
      <c r="I32" s="20" t="s">
        <v>35</v>
      </c>
      <c r="Q32" s="25" t="s">
        <v>35</v>
      </c>
      <c r="R32" s="25"/>
      <c r="S32" s="25"/>
      <c r="T32" s="25"/>
      <c r="U32" s="25"/>
      <c r="V32" s="25"/>
      <c r="W32" s="25"/>
      <c r="X32" s="25"/>
    </row>
    <row r="33" spans="3:24" ht="12.75">
      <c r="C33" s="62" t="s">
        <v>4</v>
      </c>
      <c r="D33" s="5">
        <v>96</v>
      </c>
      <c r="E33" s="6">
        <v>62</v>
      </c>
      <c r="F33" s="25"/>
      <c r="G33" s="92"/>
      <c r="I33" s="186" t="s">
        <v>56</v>
      </c>
      <c r="J33" s="186"/>
      <c r="K33" s="186"/>
      <c r="L33" s="186"/>
      <c r="M33" s="186"/>
      <c r="N33" s="186"/>
      <c r="O33" s="152"/>
      <c r="P33" s="103"/>
      <c r="Q33" s="186" t="str">
        <f>I33</f>
        <v>1)  Year 0 (Initial) costs represent the material and labor costs associated with the installation of the lighting system. These costs are not applicable for existing systems. </v>
      </c>
      <c r="R33" s="186"/>
      <c r="S33" s="186"/>
      <c r="T33" s="186"/>
      <c r="U33" s="186"/>
      <c r="V33" s="186"/>
      <c r="W33" s="103"/>
      <c r="X33" s="103"/>
    </row>
    <row r="34" spans="3:24" ht="12.75">
      <c r="C34" s="84" t="s">
        <v>67</v>
      </c>
      <c r="D34" s="9">
        <v>900</v>
      </c>
      <c r="E34" s="10">
        <v>900</v>
      </c>
      <c r="G34" s="92"/>
      <c r="I34" s="186"/>
      <c r="J34" s="186"/>
      <c r="K34" s="186"/>
      <c r="L34" s="186"/>
      <c r="M34" s="186"/>
      <c r="N34" s="186"/>
      <c r="O34" s="152"/>
      <c r="P34" s="103"/>
      <c r="Q34" s="186"/>
      <c r="R34" s="186"/>
      <c r="S34" s="186"/>
      <c r="T34" s="186"/>
      <c r="U34" s="186"/>
      <c r="V34" s="186"/>
      <c r="W34" s="103"/>
      <c r="X34" s="103"/>
    </row>
    <row r="35" spans="3:24" ht="12.75">
      <c r="C35" s="109" t="str">
        <f>"Lamp Cost ("&amp;D15&amp;")"</f>
        <v>Lamp Cost (Dollar)</v>
      </c>
      <c r="D35" s="5">
        <v>60</v>
      </c>
      <c r="E35" s="6">
        <v>150</v>
      </c>
      <c r="F35" s="25"/>
      <c r="G35" s="92"/>
      <c r="I35" s="194" t="s">
        <v>94</v>
      </c>
      <c r="J35" s="194"/>
      <c r="K35" s="194"/>
      <c r="L35" s="194"/>
      <c r="M35" s="194"/>
      <c r="N35" s="194"/>
      <c r="O35" s="153"/>
      <c r="P35" s="195"/>
      <c r="Q35" s="194" t="str">
        <f>I35</f>
        <v>2) For simplicity, it is assumed that the same number of lamps are replaced each year. This means lamp replacement cost are the same every year before adjustment for inflation.  In reality, lamp replacment and the associated costs will tend to be concentrated around the end of the rate life.</v>
      </c>
      <c r="R35" s="194"/>
      <c r="S35" s="194"/>
      <c r="T35" s="194"/>
      <c r="U35" s="194"/>
      <c r="V35" s="194"/>
      <c r="W35" s="153"/>
      <c r="X35" s="103"/>
    </row>
    <row r="36" spans="3:24" ht="13.5" thickBot="1">
      <c r="C36" s="112" t="str">
        <f>"Ballast Cost ("&amp;D15&amp;")"</f>
        <v>Ballast Cost (Dollar)</v>
      </c>
      <c r="D36" s="11">
        <v>450</v>
      </c>
      <c r="E36" s="12">
        <v>900</v>
      </c>
      <c r="F36" s="80"/>
      <c r="G36" s="92"/>
      <c r="I36" s="194"/>
      <c r="J36" s="194"/>
      <c r="K36" s="194"/>
      <c r="L36" s="194"/>
      <c r="M36" s="194"/>
      <c r="N36" s="194"/>
      <c r="O36" s="153"/>
      <c r="P36" s="162"/>
      <c r="Q36" s="194"/>
      <c r="R36" s="194"/>
      <c r="S36" s="194"/>
      <c r="T36" s="194"/>
      <c r="U36" s="194"/>
      <c r="V36" s="194"/>
      <c r="W36" s="153"/>
      <c r="X36" s="103"/>
    </row>
    <row r="37" spans="6:24" ht="12.75">
      <c r="F37" s="113"/>
      <c r="G37" s="92"/>
      <c r="I37" s="194"/>
      <c r="J37" s="194"/>
      <c r="K37" s="194"/>
      <c r="L37" s="194"/>
      <c r="M37" s="194"/>
      <c r="N37" s="194"/>
      <c r="O37" s="156"/>
      <c r="P37" s="195"/>
      <c r="Q37" s="194"/>
      <c r="R37" s="194"/>
      <c r="S37" s="194"/>
      <c r="T37" s="194"/>
      <c r="U37" s="194"/>
      <c r="V37" s="194"/>
      <c r="W37" s="156"/>
      <c r="X37" s="103"/>
    </row>
    <row r="38" spans="3:24" ht="12.75">
      <c r="C38" s="25"/>
      <c r="D38" s="25"/>
      <c r="E38" s="25"/>
      <c r="F38" s="113"/>
      <c r="G38" s="92"/>
      <c r="I38" s="194"/>
      <c r="J38" s="194"/>
      <c r="K38" s="194"/>
      <c r="L38" s="194"/>
      <c r="M38" s="194"/>
      <c r="N38" s="194"/>
      <c r="O38" s="4"/>
      <c r="P38" s="162"/>
      <c r="Q38" s="194"/>
      <c r="R38" s="194"/>
      <c r="S38" s="194"/>
      <c r="T38" s="194"/>
      <c r="U38" s="194"/>
      <c r="V38" s="194"/>
      <c r="W38" s="4"/>
      <c r="X38" s="103"/>
    </row>
    <row r="39" spans="6:24" ht="12.75">
      <c r="F39" s="113"/>
      <c r="G39" s="92"/>
      <c r="I39" s="186" t="s">
        <v>95</v>
      </c>
      <c r="J39" s="186"/>
      <c r="K39" s="186"/>
      <c r="L39" s="186"/>
      <c r="M39" s="186"/>
      <c r="N39" s="186"/>
      <c r="O39" s="4"/>
      <c r="Q39" s="186" t="str">
        <f>I39</f>
        <v>3) Magnetic ballasts have a rated life of 14 years if installed properly (electronic ballasts have a rated life of 20+ years).  Therefore, replacement costs for magnetic ballasts are applied at year 14, and electronic ballasts replacement costs are not applicable. </v>
      </c>
      <c r="R39" s="186"/>
      <c r="S39" s="186"/>
      <c r="T39" s="186"/>
      <c r="U39" s="186"/>
      <c r="V39" s="186"/>
      <c r="W39" s="4"/>
      <c r="X39" s="103"/>
    </row>
    <row r="40" spans="6:24" ht="12.75">
      <c r="F40" s="113"/>
      <c r="G40" s="113"/>
      <c r="I40" s="186"/>
      <c r="J40" s="186"/>
      <c r="K40" s="186"/>
      <c r="L40" s="186"/>
      <c r="M40" s="186"/>
      <c r="N40" s="186"/>
      <c r="O40" s="4"/>
      <c r="Q40" s="186"/>
      <c r="R40" s="186"/>
      <c r="S40" s="186"/>
      <c r="T40" s="186"/>
      <c r="U40" s="186"/>
      <c r="V40" s="186"/>
      <c r="W40" s="4"/>
      <c r="X40" s="103"/>
    </row>
    <row r="41" spans="9:22" ht="12">
      <c r="I41" s="186"/>
      <c r="J41" s="186"/>
      <c r="K41" s="186"/>
      <c r="L41" s="186"/>
      <c r="M41" s="186"/>
      <c r="N41" s="186"/>
      <c r="O41" s="61"/>
      <c r="Q41" s="186"/>
      <c r="R41" s="186"/>
      <c r="S41" s="186"/>
      <c r="T41" s="186"/>
      <c r="U41" s="186"/>
      <c r="V41" s="186"/>
    </row>
    <row r="42" spans="9:15" ht="12.75" customHeight="1">
      <c r="I42" s="61"/>
      <c r="J42" s="61"/>
      <c r="K42" s="61"/>
      <c r="L42" s="61"/>
      <c r="M42" s="61"/>
      <c r="N42" s="61"/>
      <c r="O42" s="61"/>
    </row>
    <row r="44" ht="12.75" customHeight="1"/>
    <row r="46" spans="6:7" ht="12.75" customHeight="1">
      <c r="F46" s="61"/>
      <c r="G46" s="61"/>
    </row>
    <row r="47" spans="6:7" ht="12">
      <c r="F47" s="61"/>
      <c r="G47" s="61"/>
    </row>
    <row r="48" spans="6:7" ht="12">
      <c r="F48" s="25"/>
      <c r="G48" s="25"/>
    </row>
  </sheetData>
  <sheetProtection sheet="1" objects="1" scenarios="1"/>
  <mergeCells count="35">
    <mergeCell ref="D19:E19"/>
    <mergeCell ref="Q35:V38"/>
    <mergeCell ref="Q39:V41"/>
    <mergeCell ref="I35:N38"/>
    <mergeCell ref="I39:N41"/>
    <mergeCell ref="P37:P38"/>
    <mergeCell ref="P35:P36"/>
    <mergeCell ref="I33:N34"/>
    <mergeCell ref="D20:E20"/>
    <mergeCell ref="D21:E21"/>
    <mergeCell ref="AJ10:AL10"/>
    <mergeCell ref="D16:E16"/>
    <mergeCell ref="D17:E17"/>
    <mergeCell ref="D18:E18"/>
    <mergeCell ref="AC31:AD31"/>
    <mergeCell ref="Q33:V34"/>
    <mergeCell ref="AJ11:AL11"/>
    <mergeCell ref="AJ12:AL12"/>
    <mergeCell ref="C2:F2"/>
    <mergeCell ref="C3:F3"/>
    <mergeCell ref="I2:N2"/>
    <mergeCell ref="I3:N3"/>
    <mergeCell ref="D9:F9"/>
    <mergeCell ref="D10:F10"/>
    <mergeCell ref="D11:F11"/>
    <mergeCell ref="D15:E15"/>
    <mergeCell ref="Q2:V2"/>
    <mergeCell ref="Q3:V3"/>
    <mergeCell ref="Z2:AF2"/>
    <mergeCell ref="Z3:AF3"/>
    <mergeCell ref="AJ7:AL7"/>
    <mergeCell ref="AJ8:AL8"/>
    <mergeCell ref="AJ9:AL9"/>
    <mergeCell ref="AJ2:AP2"/>
    <mergeCell ref="AJ3:AP3"/>
  </mergeCells>
  <printOptions/>
  <pageMargins left="0.5" right="0.5" top="0.5" bottom="0.5" header="0.5" footer="0.5"/>
  <pageSetup blackAndWhite="1" fitToWidth="5" horizontalDpi="600" verticalDpi="600" orientation="portrait" scale="92" r:id="rId4"/>
  <headerFooter alignWithMargins="0">
    <oddFooter>&amp;CUpgrade 1&amp;D</oddFooter>
  </headerFooter>
  <colBreaks count="4" manualBreakCount="4">
    <brk id="7" max="41" man="1"/>
    <brk id="15" max="41" man="1"/>
    <brk id="24" max="41" man="1"/>
    <brk id="34" max="41" man="1"/>
  </colBreaks>
  <drawing r:id="rId3"/>
  <legacyDrawing r:id="rId2"/>
  <oleObjects>
    <oleObject progId="Word.Picture.8" shapeId="1443730" r:id="rId1"/>
  </oleObjects>
</worksheet>
</file>

<file path=xl/worksheets/sheet3.xml><?xml version="1.0" encoding="utf-8"?>
<worksheet xmlns="http://schemas.openxmlformats.org/spreadsheetml/2006/main" xmlns:r="http://schemas.openxmlformats.org/officeDocument/2006/relationships">
  <sheetPr codeName="Sheet2"/>
  <dimension ref="A2:AQ41"/>
  <sheetViews>
    <sheetView showGridLines="0" showRowColHeaders="0" zoomScaleSheetLayoutView="100" workbookViewId="0" topLeftCell="A1">
      <pane xSplit="1" topLeftCell="B1" activePane="topRight" state="frozen"/>
      <selection pane="topLeft" activeCell="A2" sqref="A1:A16384"/>
      <selection pane="topRight" activeCell="C2" sqref="C2:F2"/>
    </sheetView>
  </sheetViews>
  <sheetFormatPr defaultColWidth="9.140625" defaultRowHeight="12.75"/>
  <cols>
    <col min="1" max="1" width="32.57421875" style="13" customWidth="1"/>
    <col min="2" max="2" width="0.5625" style="20" customWidth="1"/>
    <col min="3" max="3" width="37.421875" style="20" customWidth="1"/>
    <col min="4" max="6" width="12.7109375" style="20" customWidth="1"/>
    <col min="7" max="7" width="10.8515625" style="20" customWidth="1"/>
    <col min="8" max="8" width="0.85546875" style="22" customWidth="1"/>
    <col min="9" max="9" width="7.57421875" style="20" customWidth="1"/>
    <col min="10" max="10" width="15.7109375" style="20" customWidth="1"/>
    <col min="11" max="11" width="16.140625" style="20" customWidth="1"/>
    <col min="12" max="12" width="10.140625" style="20" customWidth="1"/>
    <col min="13" max="14" width="11.28125" style="20" customWidth="1"/>
    <col min="15" max="15" width="15.421875" style="20" customWidth="1"/>
    <col min="16" max="16" width="0.9921875" style="20" customWidth="1"/>
    <col min="17" max="17" width="7.140625" style="20" customWidth="1"/>
    <col min="18" max="18" width="16.7109375" style="20" customWidth="1"/>
    <col min="19" max="19" width="17.00390625" style="20" customWidth="1"/>
    <col min="20" max="20" width="10.140625" style="20" customWidth="1"/>
    <col min="21" max="21" width="11.57421875" style="20" customWidth="1"/>
    <col min="22" max="22" width="11.28125" style="20" customWidth="1"/>
    <col min="23" max="23" width="11.140625" style="20" customWidth="1"/>
    <col min="24" max="24" width="8.57421875" style="20" customWidth="1"/>
    <col min="25" max="25" width="1.1484375" style="20" customWidth="1"/>
    <col min="26" max="26" width="9.8515625" style="20" customWidth="1"/>
    <col min="27" max="27" width="10.421875" style="20" customWidth="1"/>
    <col min="28" max="28" width="12.00390625" style="20" customWidth="1"/>
    <col min="29" max="29" width="10.421875" style="20" customWidth="1"/>
    <col min="30" max="30" width="10.7109375" style="20" customWidth="1"/>
    <col min="31" max="31" width="10.28125" style="20" customWidth="1"/>
    <col min="32" max="32" width="11.28125" style="20" customWidth="1"/>
    <col min="33" max="33" width="10.8515625" style="20" customWidth="1"/>
    <col min="34" max="34" width="9.140625" style="20" customWidth="1"/>
    <col min="35" max="35" width="1.1484375" style="20" customWidth="1"/>
    <col min="36" max="38" width="11.421875" style="20" customWidth="1"/>
    <col min="39" max="41" width="10.140625" style="20" customWidth="1"/>
    <col min="42" max="42" width="10.00390625" style="20" customWidth="1"/>
    <col min="43" max="43" width="10.140625" style="20" customWidth="1"/>
    <col min="44" max="49" width="9.140625" style="20" customWidth="1"/>
    <col min="50" max="16384" width="9.140625" style="15" customWidth="1"/>
  </cols>
  <sheetData>
    <row r="2" spans="3:42" ht="12.75">
      <c r="C2" s="172" t="s">
        <v>10</v>
      </c>
      <c r="D2" s="172"/>
      <c r="E2" s="172"/>
      <c r="F2" s="172"/>
      <c r="G2" s="21"/>
      <c r="I2" s="172" t="s">
        <v>10</v>
      </c>
      <c r="J2" s="183"/>
      <c r="K2" s="183"/>
      <c r="L2" s="183"/>
      <c r="M2" s="183"/>
      <c r="N2" s="183"/>
      <c r="O2" s="21"/>
      <c r="Q2" s="172" t="s">
        <v>10</v>
      </c>
      <c r="R2" s="173"/>
      <c r="S2" s="173"/>
      <c r="T2" s="173"/>
      <c r="U2" s="173"/>
      <c r="V2" s="173"/>
      <c r="W2" s="21"/>
      <c r="Z2" s="172" t="s">
        <v>10</v>
      </c>
      <c r="AA2" s="173"/>
      <c r="AB2" s="173"/>
      <c r="AC2" s="173"/>
      <c r="AD2" s="173"/>
      <c r="AE2" s="173"/>
      <c r="AF2" s="173"/>
      <c r="AG2" s="21"/>
      <c r="AJ2" s="172" t="s">
        <v>10</v>
      </c>
      <c r="AK2" s="173"/>
      <c r="AL2" s="173"/>
      <c r="AM2" s="173"/>
      <c r="AN2" s="173"/>
      <c r="AO2" s="173"/>
      <c r="AP2" s="173"/>
    </row>
    <row r="3" spans="3:42" ht="12.75">
      <c r="C3" s="172" t="str">
        <f>Upgrade1!C3</f>
        <v>Company Name</v>
      </c>
      <c r="D3" s="165"/>
      <c r="E3" s="165"/>
      <c r="F3" s="165"/>
      <c r="G3" s="21"/>
      <c r="I3" s="172" t="str">
        <f>C3</f>
        <v>Company Name</v>
      </c>
      <c r="J3" s="183"/>
      <c r="K3" s="183"/>
      <c r="L3" s="183"/>
      <c r="M3" s="183"/>
      <c r="N3" s="183"/>
      <c r="O3" s="21"/>
      <c r="Q3" s="172" t="str">
        <f>C3</f>
        <v>Company Name</v>
      </c>
      <c r="R3" s="173"/>
      <c r="S3" s="173"/>
      <c r="T3" s="173"/>
      <c r="U3" s="173"/>
      <c r="V3" s="173"/>
      <c r="W3" s="21"/>
      <c r="Z3" s="172" t="str">
        <f>C3</f>
        <v>Company Name</v>
      </c>
      <c r="AA3" s="173"/>
      <c r="AB3" s="173"/>
      <c r="AC3" s="173"/>
      <c r="AD3" s="173"/>
      <c r="AE3" s="173"/>
      <c r="AF3" s="173"/>
      <c r="AG3" s="21"/>
      <c r="AJ3" s="172" t="str">
        <f>C3</f>
        <v>Company Name</v>
      </c>
      <c r="AK3" s="173"/>
      <c r="AL3" s="173"/>
      <c r="AM3" s="173"/>
      <c r="AN3" s="173"/>
      <c r="AO3" s="173"/>
      <c r="AP3" s="173"/>
    </row>
    <row r="4" spans="3:42" ht="12">
      <c r="C4" s="21"/>
      <c r="D4" s="21"/>
      <c r="E4" s="21"/>
      <c r="F4" s="23" t="s">
        <v>101</v>
      </c>
      <c r="N4" s="24" t="s">
        <v>100</v>
      </c>
      <c r="Q4" s="25"/>
      <c r="R4" s="25"/>
      <c r="S4" s="25"/>
      <c r="T4" s="25"/>
      <c r="V4" s="24" t="s">
        <v>99</v>
      </c>
      <c r="AF4" s="24" t="s">
        <v>98</v>
      </c>
      <c r="AP4" s="24" t="s">
        <v>97</v>
      </c>
    </row>
    <row r="5" spans="3:33" ht="12.75" thickBot="1">
      <c r="C5" s="21"/>
      <c r="D5" s="21"/>
      <c r="E5" s="21"/>
      <c r="F5" s="26"/>
      <c r="G5" s="27"/>
      <c r="N5" s="26"/>
      <c r="O5" s="28"/>
      <c r="Q5" s="29"/>
      <c r="R5" s="29"/>
      <c r="S5" s="25"/>
      <c r="T5" s="25"/>
      <c r="V5" s="26"/>
      <c r="W5" s="28"/>
      <c r="AF5" s="26"/>
      <c r="AG5" s="28"/>
    </row>
    <row r="6" spans="1:40" ht="12.75" thickBot="1">
      <c r="A6" s="14" t="s">
        <v>109</v>
      </c>
      <c r="B6" s="21"/>
      <c r="C6" s="21" t="s">
        <v>11</v>
      </c>
      <c r="D6" s="21"/>
      <c r="E6" s="21"/>
      <c r="F6" s="21"/>
      <c r="G6" s="21"/>
      <c r="I6" s="30" t="s">
        <v>91</v>
      </c>
      <c r="J6" s="31"/>
      <c r="K6" s="31"/>
      <c r="L6" s="31"/>
      <c r="M6" s="31"/>
      <c r="N6" s="32"/>
      <c r="O6" s="25"/>
      <c r="P6" s="25"/>
      <c r="Q6" s="143" t="s">
        <v>107</v>
      </c>
      <c r="R6" s="117"/>
      <c r="S6" s="117"/>
      <c r="T6" s="117"/>
      <c r="U6" s="117"/>
      <c r="V6" s="144"/>
      <c r="W6" s="25"/>
      <c r="X6" s="25"/>
      <c r="Z6" s="30" t="s">
        <v>53</v>
      </c>
      <c r="AA6" s="33"/>
      <c r="AB6" s="31"/>
      <c r="AC6" s="31"/>
      <c r="AD6" s="31"/>
      <c r="AE6" s="31"/>
      <c r="AF6" s="32"/>
      <c r="AJ6" s="104" t="s">
        <v>19</v>
      </c>
      <c r="AK6" s="105"/>
      <c r="AL6" s="105"/>
      <c r="AM6" s="106"/>
      <c r="AN6" s="107"/>
    </row>
    <row r="7" spans="1:40" ht="36.75" thickBot="1">
      <c r="A7" s="16" t="s">
        <v>80</v>
      </c>
      <c r="B7" s="34"/>
      <c r="C7" s="20" t="s">
        <v>11</v>
      </c>
      <c r="I7" s="35" t="s">
        <v>18</v>
      </c>
      <c r="J7" s="36" t="s">
        <v>46</v>
      </c>
      <c r="K7" s="36" t="s">
        <v>47</v>
      </c>
      <c r="L7" s="37" t="s">
        <v>52</v>
      </c>
      <c r="M7" s="38" t="s">
        <v>32</v>
      </c>
      <c r="N7" s="39" t="s">
        <v>34</v>
      </c>
      <c r="O7" s="40"/>
      <c r="P7" s="41"/>
      <c r="Q7" s="136" t="s">
        <v>18</v>
      </c>
      <c r="R7" s="42" t="s">
        <v>46</v>
      </c>
      <c r="S7" s="42" t="s">
        <v>47</v>
      </c>
      <c r="T7" s="43" t="s">
        <v>52</v>
      </c>
      <c r="U7" s="138" t="s">
        <v>32</v>
      </c>
      <c r="V7" s="137" t="s">
        <v>34</v>
      </c>
      <c r="W7" s="40"/>
      <c r="X7" s="41"/>
      <c r="Z7" s="35" t="s">
        <v>18</v>
      </c>
      <c r="AA7" s="38" t="s">
        <v>39</v>
      </c>
      <c r="AB7" s="36" t="s">
        <v>38</v>
      </c>
      <c r="AC7" s="44" t="s">
        <v>37</v>
      </c>
      <c r="AD7" s="45" t="s">
        <v>40</v>
      </c>
      <c r="AE7" s="46" t="s">
        <v>36</v>
      </c>
      <c r="AF7" s="37" t="s">
        <v>33</v>
      </c>
      <c r="AJ7" s="166"/>
      <c r="AK7" s="167"/>
      <c r="AL7" s="168"/>
      <c r="AM7" s="81" t="s">
        <v>49</v>
      </c>
      <c r="AN7" s="82" t="s">
        <v>43</v>
      </c>
    </row>
    <row r="8" spans="1:40" ht="12.75">
      <c r="A8" s="14"/>
      <c r="B8" s="21"/>
      <c r="C8" s="48" t="s">
        <v>9</v>
      </c>
      <c r="D8" s="49" t="s">
        <v>11</v>
      </c>
      <c r="E8" s="49"/>
      <c r="F8" s="50"/>
      <c r="I8" s="51" t="s">
        <v>30</v>
      </c>
      <c r="J8" s="52">
        <v>0</v>
      </c>
      <c r="K8" s="52">
        <v>0</v>
      </c>
      <c r="L8" s="53"/>
      <c r="M8" s="54">
        <f aca="true" t="shared" si="0" ref="M8:M28">SUM(J8:L8)</f>
        <v>0</v>
      </c>
      <c r="N8" s="55">
        <f>M8</f>
        <v>0</v>
      </c>
      <c r="O8" s="56"/>
      <c r="P8" s="56"/>
      <c r="Q8" s="51" t="s">
        <v>30</v>
      </c>
      <c r="R8" s="52">
        <f>E34*E30*(E35+(D17*D20/60))</f>
        <v>291000</v>
      </c>
      <c r="S8" s="52">
        <f>$E$34*$E$31*(E36+D17*D21/60)</f>
        <v>841500</v>
      </c>
      <c r="T8" s="57"/>
      <c r="U8" s="139">
        <f aca="true" t="shared" si="1" ref="U8:U28">SUM(R8:T8)</f>
        <v>1132500</v>
      </c>
      <c r="V8" s="55">
        <f>U8</f>
        <v>1132500</v>
      </c>
      <c r="W8" s="56"/>
      <c r="X8" s="56"/>
      <c r="Z8" s="51" t="s">
        <v>30</v>
      </c>
      <c r="AA8" s="58">
        <f>($J$8+$K$8)-($R$8+$S$8)</f>
        <v>-1132500</v>
      </c>
      <c r="AB8" s="52" t="s">
        <v>11</v>
      </c>
      <c r="AC8" s="57"/>
      <c r="AD8" s="59">
        <f aca="true" t="shared" si="2" ref="AD8:AD28">SUM(AA8:AC8)</f>
        <v>-1132500</v>
      </c>
      <c r="AE8" s="54">
        <f>AD8</f>
        <v>-1132500</v>
      </c>
      <c r="AF8" s="55">
        <f>AE8</f>
        <v>-1132500</v>
      </c>
      <c r="AJ8" s="169" t="s">
        <v>20</v>
      </c>
      <c r="AK8" s="170"/>
      <c r="AL8" s="171"/>
      <c r="AM8" s="110">
        <f>($D$11*52)*$D$33*$D$34/1000</f>
        <v>269568</v>
      </c>
      <c r="AN8" s="111">
        <f>($D$11*52)*E33*E34/1000</f>
        <v>174096</v>
      </c>
    </row>
    <row r="9" spans="1:40" ht="12.75">
      <c r="A9" s="157" t="s">
        <v>105</v>
      </c>
      <c r="B9" s="34"/>
      <c r="C9" s="60" t="s">
        <v>12</v>
      </c>
      <c r="D9" s="174" t="s">
        <v>110</v>
      </c>
      <c r="E9" s="175"/>
      <c r="F9" s="176"/>
      <c r="G9" s="61"/>
      <c r="I9" s="62">
        <v>1</v>
      </c>
      <c r="J9" s="52">
        <f aca="true" t="shared" si="3" ref="J9:J28">FV($D$18,I9,0,-1*$AM$10)</f>
        <v>53831.700000000004</v>
      </c>
      <c r="K9" s="52"/>
      <c r="L9" s="55">
        <f>(($D$11*52)*$D$33*$D$34/1000)*$D$16</f>
        <v>1145664</v>
      </c>
      <c r="M9" s="54">
        <f t="shared" si="0"/>
        <v>1199495.7</v>
      </c>
      <c r="N9" s="55">
        <f aca="true" t="shared" si="4" ref="N9:N28">M9+N8</f>
        <v>1199495.7</v>
      </c>
      <c r="O9" s="56"/>
      <c r="P9" s="56"/>
      <c r="Q9" s="62">
        <v>1</v>
      </c>
      <c r="R9" s="52">
        <f aca="true" t="shared" si="5" ref="R9:R28">FV($D$18,Q9,0,-1*$AN$10)</f>
        <v>48573.72</v>
      </c>
      <c r="S9" s="52"/>
      <c r="T9" s="57">
        <f>(($D$11*52)*$E$33*$E$34/1000)*$D$16</f>
        <v>739908</v>
      </c>
      <c r="U9" s="139">
        <f t="shared" si="1"/>
        <v>788481.72</v>
      </c>
      <c r="V9" s="55">
        <f aca="true" t="shared" si="6" ref="V9:V28">U9+V8</f>
        <v>1920981.72</v>
      </c>
      <c r="W9" s="56"/>
      <c r="X9" s="56"/>
      <c r="Z9" s="62">
        <v>1</v>
      </c>
      <c r="AA9" s="63"/>
      <c r="AB9" s="52">
        <f aca="true" t="shared" si="7" ref="AB9:AB28">(J9+K9)-(R9+S9)</f>
        <v>5257.980000000003</v>
      </c>
      <c r="AC9" s="57">
        <f aca="true" t="shared" si="8" ref="AC9:AC28">L9-T9</f>
        <v>405756</v>
      </c>
      <c r="AD9" s="59">
        <f t="shared" si="2"/>
        <v>411013.98</v>
      </c>
      <c r="AE9" s="54">
        <f aca="true" t="shared" si="9" ref="AE9:AE28">AD9/POWER((1+$D$19),Z9)</f>
        <v>373649.0727272727</v>
      </c>
      <c r="AF9" s="55">
        <f aca="true" t="shared" si="10" ref="AF9:AF28">AE9+AF8</f>
        <v>-758850.9272727272</v>
      </c>
      <c r="AJ9" s="169" t="str">
        <f>"Annual Energy Costs ("&amp;D15&amp;"/Year)"</f>
        <v>Annual Energy Costs (Dollar/Year)</v>
      </c>
      <c r="AK9" s="170"/>
      <c r="AL9" s="171"/>
      <c r="AM9" s="110">
        <f>AM8*$D$16</f>
        <v>1145664</v>
      </c>
      <c r="AN9" s="111">
        <f>AN8*$D$16</f>
        <v>739908</v>
      </c>
    </row>
    <row r="10" spans="3:40" ht="12.75">
      <c r="C10" s="60" t="s">
        <v>27</v>
      </c>
      <c r="D10" s="174" t="s">
        <v>58</v>
      </c>
      <c r="E10" s="175"/>
      <c r="F10" s="176"/>
      <c r="G10" s="61"/>
      <c r="I10" s="62">
        <v>2</v>
      </c>
      <c r="J10" s="52">
        <f t="shared" si="3"/>
        <v>57599.919</v>
      </c>
      <c r="K10" s="52"/>
      <c r="L10" s="55">
        <f aca="true" t="shared" si="11" ref="L10:L28">L9*(1+$D$18)</f>
        <v>1225860.48</v>
      </c>
      <c r="M10" s="54">
        <f t="shared" si="0"/>
        <v>1283460.399</v>
      </c>
      <c r="N10" s="55">
        <f t="shared" si="4"/>
        <v>2482956.099</v>
      </c>
      <c r="O10" s="56"/>
      <c r="P10" s="56"/>
      <c r="Q10" s="62">
        <v>2</v>
      </c>
      <c r="R10" s="52">
        <f t="shared" si="5"/>
        <v>51973.8804</v>
      </c>
      <c r="S10" s="52"/>
      <c r="T10" s="57">
        <f aca="true" t="shared" si="12" ref="T10:T28">T9*(1+$D$18)</f>
        <v>791701.56</v>
      </c>
      <c r="U10" s="139">
        <f t="shared" si="1"/>
        <v>843675.4404000001</v>
      </c>
      <c r="V10" s="55">
        <f t="shared" si="6"/>
        <v>2764657.1604</v>
      </c>
      <c r="W10" s="56"/>
      <c r="X10" s="56"/>
      <c r="Z10" s="62">
        <v>2</v>
      </c>
      <c r="AA10" s="63"/>
      <c r="AB10" s="52">
        <f t="shared" si="7"/>
        <v>5626.0386</v>
      </c>
      <c r="AC10" s="57">
        <f t="shared" si="8"/>
        <v>434158.9199999999</v>
      </c>
      <c r="AD10" s="59">
        <f t="shared" si="2"/>
        <v>439784.9585999999</v>
      </c>
      <c r="AE10" s="54">
        <f t="shared" si="9"/>
        <v>363458.64347107423</v>
      </c>
      <c r="AF10" s="55">
        <f t="shared" si="10"/>
        <v>-395392.283801653</v>
      </c>
      <c r="AJ10" s="169" t="s">
        <v>44</v>
      </c>
      <c r="AK10" s="170"/>
      <c r="AL10" s="171"/>
      <c r="AM10" s="110">
        <f>SUM(AM11:AM12)</f>
        <v>50310</v>
      </c>
      <c r="AN10" s="111">
        <f>SUM(AN11:AN12)</f>
        <v>45396</v>
      </c>
    </row>
    <row r="11" spans="3:40" ht="13.5" thickBot="1">
      <c r="C11" s="65" t="s">
        <v>13</v>
      </c>
      <c r="D11" s="177">
        <v>60</v>
      </c>
      <c r="E11" s="178"/>
      <c r="F11" s="179"/>
      <c r="G11" s="66"/>
      <c r="I11" s="62">
        <v>3</v>
      </c>
      <c r="J11" s="52">
        <f t="shared" si="3"/>
        <v>61631.91333</v>
      </c>
      <c r="K11" s="52"/>
      <c r="L11" s="55">
        <f t="shared" si="11"/>
        <v>1311670.7136000001</v>
      </c>
      <c r="M11" s="54">
        <f t="shared" si="0"/>
        <v>1373302.62693</v>
      </c>
      <c r="N11" s="55">
        <f t="shared" si="4"/>
        <v>3856258.7259299997</v>
      </c>
      <c r="O11" s="56"/>
      <c r="P11" s="56"/>
      <c r="Q11" s="62">
        <v>3</v>
      </c>
      <c r="R11" s="52">
        <f t="shared" si="5"/>
        <v>55612.052028000006</v>
      </c>
      <c r="S11" s="52"/>
      <c r="T11" s="57">
        <f t="shared" si="12"/>
        <v>847120.6692000001</v>
      </c>
      <c r="U11" s="139">
        <f t="shared" si="1"/>
        <v>902732.7212280001</v>
      </c>
      <c r="V11" s="55">
        <f t="shared" si="6"/>
        <v>3667389.881628</v>
      </c>
      <c r="W11" s="56"/>
      <c r="X11" s="56"/>
      <c r="Z11" s="62">
        <v>3</v>
      </c>
      <c r="AA11" s="63"/>
      <c r="AB11" s="52">
        <f t="shared" si="7"/>
        <v>6019.8613019999975</v>
      </c>
      <c r="AC11" s="57">
        <f t="shared" si="8"/>
        <v>464550.0444</v>
      </c>
      <c r="AD11" s="59">
        <f t="shared" si="2"/>
        <v>470569.905702</v>
      </c>
      <c r="AE11" s="54">
        <f t="shared" si="9"/>
        <v>353546.1350127723</v>
      </c>
      <c r="AF11" s="55">
        <f t="shared" si="10"/>
        <v>-41846.14878888073</v>
      </c>
      <c r="AJ11" s="169" t="s">
        <v>21</v>
      </c>
      <c r="AK11" s="170"/>
      <c r="AL11" s="171"/>
      <c r="AM11" s="110">
        <f>(($D$11*52)/$D$32*$D$30*$D$34)*$D$35</f>
        <v>42120</v>
      </c>
      <c r="AN11" s="111">
        <f>(($D$11*52)/$E$32*$E$30*$E$34)*$E$35</f>
        <v>42120</v>
      </c>
    </row>
    <row r="12" spans="3:40" ht="13.5" thickBot="1">
      <c r="C12" s="25"/>
      <c r="D12" s="66"/>
      <c r="E12" s="67"/>
      <c r="F12" s="67"/>
      <c r="G12" s="66"/>
      <c r="I12" s="62">
        <v>4</v>
      </c>
      <c r="J12" s="52">
        <f t="shared" si="3"/>
        <v>65946.1472631</v>
      </c>
      <c r="K12" s="52"/>
      <c r="L12" s="55">
        <f t="shared" si="11"/>
        <v>1403487.6635520002</v>
      </c>
      <c r="M12" s="54">
        <f t="shared" si="0"/>
        <v>1469433.8108151</v>
      </c>
      <c r="N12" s="55">
        <f t="shared" si="4"/>
        <v>5325692.536745099</v>
      </c>
      <c r="O12" s="56"/>
      <c r="P12" s="56"/>
      <c r="Q12" s="62">
        <v>4</v>
      </c>
      <c r="R12" s="52">
        <f t="shared" si="5"/>
        <v>59504.89566996</v>
      </c>
      <c r="S12" s="52"/>
      <c r="T12" s="57">
        <f t="shared" si="12"/>
        <v>906419.1160440001</v>
      </c>
      <c r="U12" s="139">
        <f t="shared" si="1"/>
        <v>965924.0117139601</v>
      </c>
      <c r="V12" s="55">
        <f t="shared" si="6"/>
        <v>4633313.89334196</v>
      </c>
      <c r="W12" s="56"/>
      <c r="X12" s="56"/>
      <c r="Z12" s="62">
        <v>4</v>
      </c>
      <c r="AA12" s="63"/>
      <c r="AB12" s="52">
        <f t="shared" si="7"/>
        <v>6441.251593140005</v>
      </c>
      <c r="AC12" s="57">
        <f t="shared" si="8"/>
        <v>497068.54750800005</v>
      </c>
      <c r="AD12" s="59">
        <f t="shared" si="2"/>
        <v>503509.79910114006</v>
      </c>
      <c r="AE12" s="54">
        <f t="shared" si="9"/>
        <v>343903.96769424214</v>
      </c>
      <c r="AF12" s="55">
        <f t="shared" si="10"/>
        <v>302057.8189053614</v>
      </c>
      <c r="AJ12" s="187" t="s">
        <v>22</v>
      </c>
      <c r="AK12" s="188"/>
      <c r="AL12" s="189"/>
      <c r="AM12" s="114">
        <f>(($D$11*52)/$D$32*$D$30*$D$34)*($D$17*$D$20/60)</f>
        <v>8190</v>
      </c>
      <c r="AN12" s="115">
        <f>(($D$11*52)/$E$32*$E$30*$E$34)*($D$17*$D$20/60)</f>
        <v>3276</v>
      </c>
    </row>
    <row r="13" spans="3:36" ht="12.75" thickBot="1">
      <c r="C13" s="25"/>
      <c r="D13" s="66"/>
      <c r="E13" s="66"/>
      <c r="F13" s="66"/>
      <c r="G13" s="66"/>
      <c r="I13" s="62">
        <v>5</v>
      </c>
      <c r="J13" s="52">
        <f t="shared" si="3"/>
        <v>70562.377571517</v>
      </c>
      <c r="K13" s="52"/>
      <c r="L13" s="55">
        <f t="shared" si="11"/>
        <v>1501731.8000006403</v>
      </c>
      <c r="M13" s="54">
        <f t="shared" si="0"/>
        <v>1572294.1775721572</v>
      </c>
      <c r="N13" s="55">
        <f t="shared" si="4"/>
        <v>6897986.714317257</v>
      </c>
      <c r="O13" s="56"/>
      <c r="P13" s="56"/>
      <c r="Q13" s="62">
        <v>5</v>
      </c>
      <c r="R13" s="52">
        <f t="shared" si="5"/>
        <v>63670.23836685721</v>
      </c>
      <c r="S13" s="52"/>
      <c r="T13" s="57">
        <f t="shared" si="12"/>
        <v>969868.4541670802</v>
      </c>
      <c r="U13" s="139">
        <f t="shared" si="1"/>
        <v>1033538.6925339374</v>
      </c>
      <c r="V13" s="55">
        <f t="shared" si="6"/>
        <v>5666852.585875898</v>
      </c>
      <c r="W13" s="56"/>
      <c r="X13" s="56"/>
      <c r="Z13" s="62">
        <v>5</v>
      </c>
      <c r="AA13" s="63"/>
      <c r="AB13" s="52">
        <f t="shared" si="7"/>
        <v>6892.1392046597975</v>
      </c>
      <c r="AC13" s="57">
        <f t="shared" si="8"/>
        <v>531863.3458335601</v>
      </c>
      <c r="AD13" s="59">
        <f t="shared" si="2"/>
        <v>538755.48503822</v>
      </c>
      <c r="AE13" s="54">
        <f t="shared" si="9"/>
        <v>334524.7685753083</v>
      </c>
      <c r="AF13" s="55">
        <f t="shared" si="10"/>
        <v>636582.5874806697</v>
      </c>
      <c r="AJ13" s="20" t="s">
        <v>59</v>
      </c>
    </row>
    <row r="14" spans="1:36" ht="12.75" thickBot="1">
      <c r="A14" s="154" t="s">
        <v>78</v>
      </c>
      <c r="C14" s="48" t="s">
        <v>14</v>
      </c>
      <c r="D14" s="68"/>
      <c r="E14" s="69"/>
      <c r="I14" s="62">
        <v>6</v>
      </c>
      <c r="J14" s="52">
        <f t="shared" si="3"/>
        <v>75501.7440015232</v>
      </c>
      <c r="K14" s="70"/>
      <c r="L14" s="55">
        <f t="shared" si="11"/>
        <v>1606853.0260006853</v>
      </c>
      <c r="M14" s="54">
        <f t="shared" si="0"/>
        <v>1682354.7700022084</v>
      </c>
      <c r="N14" s="55">
        <f t="shared" si="4"/>
        <v>8580341.484319465</v>
      </c>
      <c r="O14" s="56"/>
      <c r="P14" s="56"/>
      <c r="Q14" s="62">
        <v>6</v>
      </c>
      <c r="R14" s="52">
        <f t="shared" si="5"/>
        <v>68127.1550525372</v>
      </c>
      <c r="S14" s="70"/>
      <c r="T14" s="57">
        <f t="shared" si="12"/>
        <v>1037759.2459587759</v>
      </c>
      <c r="U14" s="139">
        <f t="shared" si="1"/>
        <v>1105886.401011313</v>
      </c>
      <c r="V14" s="55">
        <f t="shared" si="6"/>
        <v>6772738.986887211</v>
      </c>
      <c r="W14" s="56"/>
      <c r="X14" s="56"/>
      <c r="Z14" s="62">
        <v>6</v>
      </c>
      <c r="AA14" s="63"/>
      <c r="AB14" s="52">
        <f t="shared" si="7"/>
        <v>7374.588948985998</v>
      </c>
      <c r="AC14" s="57">
        <f t="shared" si="8"/>
        <v>569093.7800419094</v>
      </c>
      <c r="AD14" s="59">
        <f t="shared" si="2"/>
        <v>576468.3689908955</v>
      </c>
      <c r="AE14" s="54">
        <f t="shared" si="9"/>
        <v>325401.3657959817</v>
      </c>
      <c r="AF14" s="55">
        <f t="shared" si="10"/>
        <v>961983.9532766514</v>
      </c>
      <c r="AJ14" s="20" t="s">
        <v>11</v>
      </c>
    </row>
    <row r="15" spans="2:39" ht="12.75" thickBot="1">
      <c r="B15" s="71"/>
      <c r="C15" s="159" t="s">
        <v>111</v>
      </c>
      <c r="D15" s="180" t="s">
        <v>113</v>
      </c>
      <c r="E15" s="181"/>
      <c r="I15" s="62">
        <v>7</v>
      </c>
      <c r="J15" s="52">
        <f t="shared" si="3"/>
        <v>80786.86608162982</v>
      </c>
      <c r="K15" s="70"/>
      <c r="L15" s="55">
        <f t="shared" si="11"/>
        <v>1719332.7378207333</v>
      </c>
      <c r="M15" s="54">
        <f t="shared" si="0"/>
        <v>1800119.6039023632</v>
      </c>
      <c r="N15" s="55">
        <f t="shared" si="4"/>
        <v>10380461.08822183</v>
      </c>
      <c r="O15" s="56"/>
      <c r="P15" s="56"/>
      <c r="Q15" s="62">
        <v>7</v>
      </c>
      <c r="R15" s="52">
        <f t="shared" si="5"/>
        <v>72896.05590621481</v>
      </c>
      <c r="S15" s="70"/>
      <c r="T15" s="57">
        <f t="shared" si="12"/>
        <v>1110402.3931758902</v>
      </c>
      <c r="U15" s="139">
        <f t="shared" si="1"/>
        <v>1183298.449082105</v>
      </c>
      <c r="V15" s="55">
        <f t="shared" si="6"/>
        <v>7956037.4359693155</v>
      </c>
      <c r="W15" s="56"/>
      <c r="X15" s="56"/>
      <c r="Z15" s="62">
        <v>7</v>
      </c>
      <c r="AA15" s="63"/>
      <c r="AB15" s="52">
        <f>(J15+K15)-(R15+S15)</f>
        <v>7890.810175415012</v>
      </c>
      <c r="AC15" s="57">
        <f t="shared" si="8"/>
        <v>608930.3446448431</v>
      </c>
      <c r="AD15" s="59">
        <f t="shared" si="2"/>
        <v>616821.1548202581</v>
      </c>
      <c r="AE15" s="54">
        <f t="shared" si="9"/>
        <v>316526.7830924549</v>
      </c>
      <c r="AF15" s="55">
        <f t="shared" si="10"/>
        <v>1278510.7363691065</v>
      </c>
      <c r="AJ15" s="116" t="str">
        <f>"Upgrade Cost ("&amp;D15&amp;")"</f>
        <v>Upgrade Cost (Dollar)</v>
      </c>
      <c r="AK15" s="117"/>
      <c r="AL15" s="117"/>
      <c r="AM15" s="95">
        <f>($R$8+$S$8)-($J$8+$K$8)</f>
        <v>1132500</v>
      </c>
    </row>
    <row r="16" spans="3:32" ht="12.75" thickBot="1">
      <c r="C16" s="72" t="str">
        <f>"Energy Rate ("&amp;D15&amp;"/kWh)"</f>
        <v>Energy Rate (Dollar/kWh)</v>
      </c>
      <c r="D16" s="180">
        <v>4.25</v>
      </c>
      <c r="E16" s="181"/>
      <c r="I16" s="62">
        <v>8</v>
      </c>
      <c r="J16" s="52">
        <f t="shared" si="3"/>
        <v>86441.9467073439</v>
      </c>
      <c r="K16" s="70"/>
      <c r="L16" s="55">
        <f t="shared" si="11"/>
        <v>1839686.0294681848</v>
      </c>
      <c r="M16" s="54">
        <f t="shared" si="0"/>
        <v>1926127.9761755287</v>
      </c>
      <c r="N16" s="55">
        <f t="shared" si="4"/>
        <v>12306589.064397357</v>
      </c>
      <c r="O16" s="56"/>
      <c r="P16" s="56"/>
      <c r="Q16" s="62">
        <v>8</v>
      </c>
      <c r="R16" s="52">
        <f t="shared" si="5"/>
        <v>77998.77981964985</v>
      </c>
      <c r="S16" s="70"/>
      <c r="T16" s="57">
        <f t="shared" si="12"/>
        <v>1188130.5606982026</v>
      </c>
      <c r="U16" s="139">
        <f t="shared" si="1"/>
        <v>1266129.3405178525</v>
      </c>
      <c r="V16" s="55">
        <f t="shared" si="6"/>
        <v>9222166.776487168</v>
      </c>
      <c r="W16" s="56"/>
      <c r="X16" s="56"/>
      <c r="Z16" s="62">
        <v>8</v>
      </c>
      <c r="AA16" s="63"/>
      <c r="AB16" s="52">
        <f t="shared" si="7"/>
        <v>8443.166887694053</v>
      </c>
      <c r="AC16" s="57">
        <f t="shared" si="8"/>
        <v>651555.4687699822</v>
      </c>
      <c r="AD16" s="59">
        <f t="shared" si="2"/>
        <v>659998.6356576763</v>
      </c>
      <c r="AE16" s="54">
        <f t="shared" si="9"/>
        <v>307894.23446266074</v>
      </c>
      <c r="AF16" s="55">
        <f t="shared" si="10"/>
        <v>1586404.9708317672</v>
      </c>
    </row>
    <row r="17" spans="3:43" ht="12">
      <c r="C17" s="60" t="str">
        <f>"Labor Rate ("&amp;D15&amp;"/hr)"</f>
        <v>Labor Rate (Dollar/hr)</v>
      </c>
      <c r="D17" s="190">
        <v>70</v>
      </c>
      <c r="E17" s="191"/>
      <c r="I17" s="62">
        <v>9</v>
      </c>
      <c r="J17" s="52">
        <f t="shared" si="3"/>
        <v>92492.88297685799</v>
      </c>
      <c r="K17" s="70"/>
      <c r="L17" s="55">
        <f t="shared" si="11"/>
        <v>1968464.051530958</v>
      </c>
      <c r="M17" s="54">
        <f t="shared" si="0"/>
        <v>2060956.9345078159</v>
      </c>
      <c r="N17" s="55">
        <f t="shared" si="4"/>
        <v>14367545.998905173</v>
      </c>
      <c r="O17" s="56"/>
      <c r="P17" s="56"/>
      <c r="Q17" s="62">
        <v>9</v>
      </c>
      <c r="R17" s="52">
        <f t="shared" si="5"/>
        <v>83458.69440702535</v>
      </c>
      <c r="S17" s="70"/>
      <c r="T17" s="57">
        <f t="shared" si="12"/>
        <v>1271299.6999470768</v>
      </c>
      <c r="U17" s="139">
        <f t="shared" si="1"/>
        <v>1354758.3943541022</v>
      </c>
      <c r="V17" s="55">
        <f t="shared" si="6"/>
        <v>10576925.17084127</v>
      </c>
      <c r="W17" s="56"/>
      <c r="X17" s="56"/>
      <c r="Z17" s="62">
        <v>9</v>
      </c>
      <c r="AA17" s="63"/>
      <c r="AB17" s="52">
        <f t="shared" si="7"/>
        <v>9034.188569832637</v>
      </c>
      <c r="AC17" s="57">
        <f t="shared" si="8"/>
        <v>697164.3515838811</v>
      </c>
      <c r="AD17" s="59">
        <f t="shared" si="2"/>
        <v>706198.5401537137</v>
      </c>
      <c r="AE17" s="54">
        <f t="shared" si="9"/>
        <v>299497.11897731543</v>
      </c>
      <c r="AF17" s="55">
        <f t="shared" si="10"/>
        <v>1885902.0898090827</v>
      </c>
      <c r="AJ17" s="77" t="s">
        <v>41</v>
      </c>
      <c r="AK17" s="118"/>
      <c r="AL17" s="119"/>
      <c r="AM17" s="120"/>
      <c r="AN17" s="120"/>
      <c r="AO17" s="120"/>
      <c r="AP17" s="120"/>
      <c r="AQ17" s="121"/>
    </row>
    <row r="18" spans="3:43" ht="12">
      <c r="C18" s="60" t="s">
        <v>45</v>
      </c>
      <c r="D18" s="192">
        <v>0.07</v>
      </c>
      <c r="E18" s="193"/>
      <c r="I18" s="62">
        <v>10</v>
      </c>
      <c r="J18" s="52">
        <f t="shared" si="3"/>
        <v>98967.38478523804</v>
      </c>
      <c r="K18" s="70"/>
      <c r="L18" s="55">
        <f t="shared" si="11"/>
        <v>2106256.535138125</v>
      </c>
      <c r="M18" s="54">
        <f t="shared" si="0"/>
        <v>2205223.9199233633</v>
      </c>
      <c r="N18" s="55">
        <f t="shared" si="4"/>
        <v>16572769.918828536</v>
      </c>
      <c r="O18" s="56"/>
      <c r="P18" s="56"/>
      <c r="Q18" s="62">
        <v>10</v>
      </c>
      <c r="R18" s="52">
        <f t="shared" si="5"/>
        <v>89300.80301551711</v>
      </c>
      <c r="S18" s="70"/>
      <c r="T18" s="57">
        <f t="shared" si="12"/>
        <v>1360290.6789433723</v>
      </c>
      <c r="U18" s="139">
        <f t="shared" si="1"/>
        <v>1449591.4819588894</v>
      </c>
      <c r="V18" s="55">
        <f t="shared" si="6"/>
        <v>12026516.652800158</v>
      </c>
      <c r="W18" s="56"/>
      <c r="X18" s="56"/>
      <c r="Z18" s="62">
        <v>10</v>
      </c>
      <c r="AA18" s="63"/>
      <c r="AB18" s="52">
        <f t="shared" si="7"/>
        <v>9666.581769720928</v>
      </c>
      <c r="AC18" s="57">
        <f t="shared" si="8"/>
        <v>745965.8561947527</v>
      </c>
      <c r="AD18" s="59">
        <f t="shared" si="2"/>
        <v>755632.4379644736</v>
      </c>
      <c r="AE18" s="54">
        <f t="shared" si="9"/>
        <v>291329.0157324795</v>
      </c>
      <c r="AF18" s="55">
        <f t="shared" si="10"/>
        <v>2177231.105541562</v>
      </c>
      <c r="AJ18" s="108"/>
      <c r="AK18" s="122"/>
      <c r="AL18" s="63"/>
      <c r="AM18" s="81" t="s">
        <v>17</v>
      </c>
      <c r="AN18" s="81" t="s">
        <v>23</v>
      </c>
      <c r="AO18" s="81" t="s">
        <v>24</v>
      </c>
      <c r="AP18" s="81" t="s">
        <v>25</v>
      </c>
      <c r="AQ18" s="82" t="s">
        <v>26</v>
      </c>
    </row>
    <row r="19" spans="3:43" ht="12">
      <c r="C19" s="60" t="s">
        <v>48</v>
      </c>
      <c r="D19" s="192">
        <v>0.1</v>
      </c>
      <c r="E19" s="193"/>
      <c r="I19" s="62">
        <v>11</v>
      </c>
      <c r="J19" s="52">
        <f t="shared" si="3"/>
        <v>105895.10172020472</v>
      </c>
      <c r="K19" s="70"/>
      <c r="L19" s="55">
        <f t="shared" si="11"/>
        <v>2253694.492597794</v>
      </c>
      <c r="M19" s="54">
        <f t="shared" si="0"/>
        <v>2359589.5943179987</v>
      </c>
      <c r="N19" s="55">
        <f>M19+N18</f>
        <v>18932359.513146535</v>
      </c>
      <c r="O19" s="56"/>
      <c r="P19" s="56"/>
      <c r="Q19" s="62">
        <v>11</v>
      </c>
      <c r="R19" s="52">
        <f t="shared" si="5"/>
        <v>95551.85922660334</v>
      </c>
      <c r="S19" s="70"/>
      <c r="T19" s="57">
        <f t="shared" si="12"/>
        <v>1455511.0264694085</v>
      </c>
      <c r="U19" s="139">
        <f t="shared" si="1"/>
        <v>1551062.8856960118</v>
      </c>
      <c r="V19" s="55">
        <f>U19+V18</f>
        <v>13577579.53849617</v>
      </c>
      <c r="W19" s="56"/>
      <c r="X19" s="56"/>
      <c r="Z19" s="62">
        <v>11</v>
      </c>
      <c r="AA19" s="63"/>
      <c r="AB19" s="52">
        <f t="shared" si="7"/>
        <v>10343.242493601385</v>
      </c>
      <c r="AC19" s="57">
        <f t="shared" si="8"/>
        <v>798183.4661283856</v>
      </c>
      <c r="AD19" s="59">
        <f t="shared" si="2"/>
        <v>808526.708621987</v>
      </c>
      <c r="AE19" s="54">
        <f t="shared" si="9"/>
        <v>283383.6789397756</v>
      </c>
      <c r="AF19" s="55">
        <f>AE19+AF18</f>
        <v>2460614.7844813378</v>
      </c>
      <c r="AJ19" s="73" t="str">
        <f>"Typical System Life Cycle Cost ("&amp;D15&amp;")"</f>
        <v>Typical System Life Cycle Cost (Dollar)</v>
      </c>
      <c r="AK19" s="122"/>
      <c r="AL19" s="63"/>
      <c r="AM19" s="110">
        <f>$N$9</f>
        <v>1199495.7</v>
      </c>
      <c r="AN19" s="110">
        <f>$N$13</f>
        <v>6897986.714317257</v>
      </c>
      <c r="AO19" s="110">
        <f>$N$18</f>
        <v>16572769.918828536</v>
      </c>
      <c r="AP19" s="110">
        <f>$N$23</f>
        <v>31267684.00302597</v>
      </c>
      <c r="AQ19" s="111">
        <f>$N$28</f>
        <v>50299446.91526264</v>
      </c>
    </row>
    <row r="20" spans="1:43" ht="12">
      <c r="A20" s="155" t="s">
        <v>96</v>
      </c>
      <c r="C20" s="73" t="s">
        <v>92</v>
      </c>
      <c r="D20" s="190">
        <v>10</v>
      </c>
      <c r="E20" s="191"/>
      <c r="I20" s="62">
        <v>12</v>
      </c>
      <c r="J20" s="52">
        <f t="shared" si="3"/>
        <v>113307.75884061903</v>
      </c>
      <c r="K20" s="70"/>
      <c r="L20" s="55">
        <f t="shared" si="11"/>
        <v>2411453.10707964</v>
      </c>
      <c r="M20" s="54">
        <f t="shared" si="0"/>
        <v>2524760.865920259</v>
      </c>
      <c r="N20" s="55">
        <f t="shared" si="4"/>
        <v>21457120.379066795</v>
      </c>
      <c r="O20" s="56"/>
      <c r="P20" s="56"/>
      <c r="Q20" s="62">
        <v>12</v>
      </c>
      <c r="R20" s="52">
        <f t="shared" si="5"/>
        <v>102240.48937246554</v>
      </c>
      <c r="S20" s="70"/>
      <c r="T20" s="57">
        <f t="shared" si="12"/>
        <v>1557396.7983222671</v>
      </c>
      <c r="U20" s="139">
        <f t="shared" si="1"/>
        <v>1659637.2876947327</v>
      </c>
      <c r="V20" s="55">
        <f t="shared" si="6"/>
        <v>15237216.826190904</v>
      </c>
      <c r="W20" s="56"/>
      <c r="X20" s="56"/>
      <c r="Z20" s="62">
        <v>12</v>
      </c>
      <c r="AA20" s="63"/>
      <c r="AB20" s="52">
        <f t="shared" si="7"/>
        <v>11067.269468153492</v>
      </c>
      <c r="AC20" s="57">
        <f t="shared" si="8"/>
        <v>854056.3087573729</v>
      </c>
      <c r="AD20" s="59">
        <f t="shared" si="2"/>
        <v>865123.5782255264</v>
      </c>
      <c r="AE20" s="54">
        <f t="shared" si="9"/>
        <v>275655.03315050906</v>
      </c>
      <c r="AF20" s="55">
        <f t="shared" si="10"/>
        <v>2736269.8176318468</v>
      </c>
      <c r="AJ20" s="73" t="str">
        <f>"Upgrade System Life Cycle Cost ("&amp;D15&amp;")"</f>
        <v>Upgrade System Life Cycle Cost (Dollar)</v>
      </c>
      <c r="AK20" s="122"/>
      <c r="AL20" s="63"/>
      <c r="AM20" s="110">
        <f>$V$9</f>
        <v>1920981.72</v>
      </c>
      <c r="AN20" s="110">
        <f>$V$13</f>
        <v>5666852.585875898</v>
      </c>
      <c r="AO20" s="110">
        <f>$V$18</f>
        <v>12026516.652800158</v>
      </c>
      <c r="AP20" s="110">
        <f>$V$23</f>
        <v>20946274.496535383</v>
      </c>
      <c r="AQ20" s="111">
        <f>$V$28</f>
        <v>33456696.297691133</v>
      </c>
    </row>
    <row r="21" spans="3:43" ht="12.75" thickBot="1">
      <c r="C21" s="74" t="s">
        <v>93</v>
      </c>
      <c r="D21" s="163">
        <v>30</v>
      </c>
      <c r="E21" s="164"/>
      <c r="I21" s="62">
        <v>13</v>
      </c>
      <c r="J21" s="52">
        <f t="shared" si="3"/>
        <v>121239.30195946238</v>
      </c>
      <c r="K21" s="70"/>
      <c r="L21" s="55">
        <f t="shared" si="11"/>
        <v>2580254.824575215</v>
      </c>
      <c r="M21" s="54">
        <f t="shared" si="0"/>
        <v>2701494.1265346776</v>
      </c>
      <c r="N21" s="55">
        <f t="shared" si="4"/>
        <v>24158614.505601473</v>
      </c>
      <c r="O21" s="56"/>
      <c r="P21" s="56"/>
      <c r="Q21" s="62">
        <v>13</v>
      </c>
      <c r="R21" s="52">
        <f t="shared" si="5"/>
        <v>109397.32362853814</v>
      </c>
      <c r="S21" s="70"/>
      <c r="T21" s="57">
        <f t="shared" si="12"/>
        <v>1666414.574204826</v>
      </c>
      <c r="U21" s="139">
        <f t="shared" si="1"/>
        <v>1775811.897833364</v>
      </c>
      <c r="V21" s="55">
        <f t="shared" si="6"/>
        <v>17013028.724024266</v>
      </c>
      <c r="W21" s="56"/>
      <c r="X21" s="56"/>
      <c r="Z21" s="62">
        <v>13</v>
      </c>
      <c r="AA21" s="63"/>
      <c r="AB21" s="52">
        <f t="shared" si="7"/>
        <v>11841.978330924234</v>
      </c>
      <c r="AC21" s="57">
        <f t="shared" si="8"/>
        <v>913840.2503703891</v>
      </c>
      <c r="AD21" s="59">
        <f t="shared" si="2"/>
        <v>925682.2287013133</v>
      </c>
      <c r="AE21" s="54">
        <f t="shared" si="9"/>
        <v>268137.1686100407</v>
      </c>
      <c r="AF21" s="55">
        <f t="shared" si="10"/>
        <v>3004406.9862418873</v>
      </c>
      <c r="AJ21" s="130"/>
      <c r="AK21" s="131"/>
      <c r="AL21" s="132"/>
      <c r="AM21" s="133"/>
      <c r="AN21" s="133"/>
      <c r="AO21" s="133"/>
      <c r="AP21" s="133"/>
      <c r="AQ21" s="134"/>
    </row>
    <row r="22" spans="3:43" ht="12">
      <c r="C22" s="61"/>
      <c r="D22" s="75"/>
      <c r="E22" s="76"/>
      <c r="I22" s="62">
        <v>14</v>
      </c>
      <c r="J22" s="52">
        <f t="shared" si="3"/>
        <v>129726.05309662473</v>
      </c>
      <c r="K22" s="52">
        <f>FV($D$18,I22,0,-1*$D$34*$D$31*($D$36+$D$21/60*$D$17))</f>
        <v>1125530.1565628443</v>
      </c>
      <c r="L22" s="55">
        <f t="shared" si="11"/>
        <v>2760872.6622954803</v>
      </c>
      <c r="M22" s="54">
        <f t="shared" si="0"/>
        <v>4016128.8719549496</v>
      </c>
      <c r="N22" s="55">
        <f t="shared" si="4"/>
        <v>28174743.37755642</v>
      </c>
      <c r="O22" s="56"/>
      <c r="P22" s="56"/>
      <c r="Q22" s="62">
        <v>14</v>
      </c>
      <c r="R22" s="52">
        <f t="shared" si="5"/>
        <v>117055.13628253581</v>
      </c>
      <c r="S22" s="70"/>
      <c r="T22" s="57">
        <f t="shared" si="12"/>
        <v>1783063.594399164</v>
      </c>
      <c r="U22" s="139">
        <f t="shared" si="1"/>
        <v>1900118.7306816997</v>
      </c>
      <c r="V22" s="55">
        <f t="shared" si="6"/>
        <v>18913147.454705965</v>
      </c>
      <c r="W22" s="56"/>
      <c r="X22" s="56"/>
      <c r="Z22" s="62">
        <v>14</v>
      </c>
      <c r="AA22" s="63"/>
      <c r="AB22" s="52">
        <f>(J22+K22)-(R22+S22)</f>
        <v>1138201.0733769333</v>
      </c>
      <c r="AC22" s="57">
        <f t="shared" si="8"/>
        <v>977809.0678963163</v>
      </c>
      <c r="AD22" s="59">
        <f t="shared" si="2"/>
        <v>2116010.14127325</v>
      </c>
      <c r="AE22" s="54">
        <f t="shared" si="9"/>
        <v>557211.6046258699</v>
      </c>
      <c r="AF22" s="55">
        <f t="shared" si="10"/>
        <v>3561618.5908677573</v>
      </c>
      <c r="AJ22" s="73" t="s">
        <v>42</v>
      </c>
      <c r="AK22" s="122"/>
      <c r="AL22" s="63"/>
      <c r="AM22" s="110">
        <f>($AM$8-$AN$8)*1</f>
        <v>95472</v>
      </c>
      <c r="AN22" s="110">
        <f>($AM$8-$AN$8)*5</f>
        <v>477360</v>
      </c>
      <c r="AO22" s="110">
        <f>($AM$8-$AN$8)*10</f>
        <v>954720</v>
      </c>
      <c r="AP22" s="110">
        <f>($AM$8-$AN$8)*15</f>
        <v>1432080</v>
      </c>
      <c r="AQ22" s="111">
        <f>($AM$8-$AN$8)*20</f>
        <v>1909440</v>
      </c>
    </row>
    <row r="23" spans="3:43" ht="12.75" thickBot="1">
      <c r="C23" s="61"/>
      <c r="D23" s="75"/>
      <c r="E23" s="76"/>
      <c r="F23" s="80"/>
      <c r="G23" s="80"/>
      <c r="I23" s="62">
        <v>15</v>
      </c>
      <c r="J23" s="52">
        <f t="shared" si="3"/>
        <v>138806.8768133885</v>
      </c>
      <c r="K23" s="70"/>
      <c r="L23" s="55">
        <f t="shared" si="11"/>
        <v>2954133.748656164</v>
      </c>
      <c r="M23" s="54">
        <f t="shared" si="0"/>
        <v>3092940.6254695524</v>
      </c>
      <c r="N23" s="55">
        <f t="shared" si="4"/>
        <v>31267684.00302597</v>
      </c>
      <c r="O23" s="56"/>
      <c r="P23" s="56"/>
      <c r="Q23" s="62">
        <v>15</v>
      </c>
      <c r="R23" s="52">
        <f t="shared" si="5"/>
        <v>125248.99582231333</v>
      </c>
      <c r="S23" s="70"/>
      <c r="T23" s="57">
        <f t="shared" si="12"/>
        <v>1907878.0460071056</v>
      </c>
      <c r="U23" s="139">
        <f t="shared" si="1"/>
        <v>2033127.0418294189</v>
      </c>
      <c r="V23" s="55">
        <f t="shared" si="6"/>
        <v>20946274.496535383</v>
      </c>
      <c r="W23" s="56"/>
      <c r="X23" s="56"/>
      <c r="Z23" s="62">
        <v>15</v>
      </c>
      <c r="AA23" s="63"/>
      <c r="AB23" s="52">
        <f t="shared" si="7"/>
        <v>13557.880991075159</v>
      </c>
      <c r="AC23" s="57">
        <f t="shared" si="8"/>
        <v>1046255.7026490583</v>
      </c>
      <c r="AD23" s="59">
        <f t="shared" si="2"/>
        <v>1059813.5836401335</v>
      </c>
      <c r="AE23" s="54">
        <f t="shared" si="9"/>
        <v>253710.94573688883</v>
      </c>
      <c r="AF23" s="55">
        <f t="shared" si="10"/>
        <v>3815329.536604646</v>
      </c>
      <c r="AJ23" s="73" t="str">
        <f>"Energy Cost Savings ("&amp;D15&amp;")"</f>
        <v>Energy Cost Savings (Dollar)</v>
      </c>
      <c r="AK23" s="122"/>
      <c r="AL23" s="63"/>
      <c r="AM23" s="110">
        <f>AC9</f>
        <v>405756</v>
      </c>
      <c r="AN23" s="110">
        <f>SUM(AC9:AC13)</f>
        <v>2333396.85774156</v>
      </c>
      <c r="AO23" s="110">
        <f>SUM(AC9:AC18)</f>
        <v>5606106.658976929</v>
      </c>
      <c r="AP23" s="110">
        <f>SUM(AC9:AC23)</f>
        <v>10196251.454778451</v>
      </c>
      <c r="AQ23" s="111">
        <f>SUM(AC9:AC28)</f>
        <v>16634166.982293475</v>
      </c>
    </row>
    <row r="24" spans="3:43" ht="12">
      <c r="C24" s="77" t="s">
        <v>68</v>
      </c>
      <c r="D24" s="78"/>
      <c r="E24" s="79"/>
      <c r="F24" s="83"/>
      <c r="G24" s="83"/>
      <c r="I24" s="62">
        <v>16</v>
      </c>
      <c r="J24" s="52">
        <f t="shared" si="3"/>
        <v>148523.35819032564</v>
      </c>
      <c r="K24" s="70"/>
      <c r="L24" s="55">
        <f t="shared" si="11"/>
        <v>3160923.1110620955</v>
      </c>
      <c r="M24" s="54">
        <f t="shared" si="0"/>
        <v>3309446.469252421</v>
      </c>
      <c r="N24" s="55">
        <f>M24+N23</f>
        <v>34577130.472278394</v>
      </c>
      <c r="O24" s="56"/>
      <c r="P24" s="56"/>
      <c r="Q24" s="62">
        <v>16</v>
      </c>
      <c r="R24" s="52">
        <f t="shared" si="5"/>
        <v>134016.42552987524</v>
      </c>
      <c r="S24" s="70"/>
      <c r="T24" s="57">
        <f t="shared" si="12"/>
        <v>2041429.5092276032</v>
      </c>
      <c r="U24" s="139">
        <f t="shared" si="1"/>
        <v>2175445.9347574785</v>
      </c>
      <c r="V24" s="55">
        <f>U24+V23</f>
        <v>23121720.43129286</v>
      </c>
      <c r="W24" s="56"/>
      <c r="X24" s="56"/>
      <c r="Z24" s="62">
        <v>16</v>
      </c>
      <c r="AA24" s="63"/>
      <c r="AB24" s="52">
        <f t="shared" si="7"/>
        <v>14506.932660450402</v>
      </c>
      <c r="AC24" s="57">
        <f t="shared" si="8"/>
        <v>1119493.6018344923</v>
      </c>
      <c r="AD24" s="59">
        <f t="shared" si="2"/>
        <v>1134000.5344949428</v>
      </c>
      <c r="AE24" s="54">
        <f t="shared" si="9"/>
        <v>246791.55630770093</v>
      </c>
      <c r="AF24" s="55">
        <f>AE24+AF23</f>
        <v>4062121.092912347</v>
      </c>
      <c r="AJ24" s="73" t="str">
        <f>"Maintenance Savings ("&amp;D15&amp;")"</f>
        <v>Maintenance Savings (Dollar)</v>
      </c>
      <c r="AK24" s="122"/>
      <c r="AL24" s="63"/>
      <c r="AM24" s="110">
        <f>AB9</f>
        <v>5257.980000000003</v>
      </c>
      <c r="AN24" s="110">
        <f>SUM(AB9:AB13)</f>
        <v>30237.270699799803</v>
      </c>
      <c r="AO24" s="110">
        <f>SUM(AB9:AB18)</f>
        <v>72646.60705144843</v>
      </c>
      <c r="AP24" s="110">
        <f>SUM(AB9:AB23)</f>
        <v>1257658.051712136</v>
      </c>
      <c r="AQ24" s="111">
        <f>SUM(AB9:AB28)</f>
        <v>1341083.6352780312</v>
      </c>
    </row>
    <row r="25" spans="3:43" ht="12">
      <c r="C25" s="62"/>
      <c r="D25" s="81" t="s">
        <v>73</v>
      </c>
      <c r="E25" s="82" t="s">
        <v>43</v>
      </c>
      <c r="F25" s="25"/>
      <c r="G25" s="25"/>
      <c r="I25" s="62">
        <v>17</v>
      </c>
      <c r="J25" s="52">
        <f t="shared" si="3"/>
        <v>158919.99326364844</v>
      </c>
      <c r="K25" s="70"/>
      <c r="L25" s="55">
        <f t="shared" si="11"/>
        <v>3382187.7288364423</v>
      </c>
      <c r="M25" s="54">
        <f t="shared" si="0"/>
        <v>3541107.7221000907</v>
      </c>
      <c r="N25" s="55">
        <f t="shared" si="4"/>
        <v>38118238.19437849</v>
      </c>
      <c r="O25" s="56"/>
      <c r="P25" s="56"/>
      <c r="Q25" s="62">
        <v>17</v>
      </c>
      <c r="R25" s="52">
        <f t="shared" si="5"/>
        <v>143397.5753169665</v>
      </c>
      <c r="S25" s="70"/>
      <c r="T25" s="57">
        <f t="shared" si="12"/>
        <v>2184329.5748735354</v>
      </c>
      <c r="U25" s="139">
        <f t="shared" si="1"/>
        <v>2327727.150190502</v>
      </c>
      <c r="V25" s="55">
        <f t="shared" si="6"/>
        <v>25449447.581483364</v>
      </c>
      <c r="W25" s="56"/>
      <c r="X25" s="56"/>
      <c r="Z25" s="62">
        <v>17</v>
      </c>
      <c r="AA25" s="63"/>
      <c r="AB25" s="52">
        <f t="shared" si="7"/>
        <v>15522.417946681933</v>
      </c>
      <c r="AC25" s="57">
        <f t="shared" si="8"/>
        <v>1197858.153962907</v>
      </c>
      <c r="AD25" s="59">
        <f t="shared" si="2"/>
        <v>1213380.5719095888</v>
      </c>
      <c r="AE25" s="54">
        <f t="shared" si="9"/>
        <v>240060.87749930908</v>
      </c>
      <c r="AF25" s="55">
        <f t="shared" si="10"/>
        <v>4302181.970411656</v>
      </c>
      <c r="AJ25" s="73" t="str">
        <f>"NPV of Upgrade Savings ("&amp;D15&amp;")**"</f>
        <v>NPV of Upgrade Savings (Dollar)**</v>
      </c>
      <c r="AK25" s="122"/>
      <c r="AL25" s="63"/>
      <c r="AM25" s="110">
        <f>$AF$9</f>
        <v>-758850.9272727272</v>
      </c>
      <c r="AN25" s="110">
        <f>$AF$13</f>
        <v>636582.5874806697</v>
      </c>
      <c r="AO25" s="110">
        <f>$AF$18</f>
        <v>2177231.105541562</v>
      </c>
      <c r="AP25" s="110">
        <f>$AF$23</f>
        <v>3815329.536604646</v>
      </c>
      <c r="AQ25" s="111">
        <f>$AF$28</f>
        <v>4983791.274819317</v>
      </c>
    </row>
    <row r="26" spans="3:43" ht="12">
      <c r="C26" s="62" t="s">
        <v>0</v>
      </c>
      <c r="D26" s="5" t="s">
        <v>66</v>
      </c>
      <c r="E26" s="6" t="s">
        <v>66</v>
      </c>
      <c r="F26" s="25"/>
      <c r="G26" s="25"/>
      <c r="I26" s="62">
        <v>18</v>
      </c>
      <c r="J26" s="52">
        <f t="shared" si="3"/>
        <v>170044.39279210384</v>
      </c>
      <c r="K26" s="70"/>
      <c r="L26" s="55">
        <f t="shared" si="11"/>
        <v>3618940.8698549937</v>
      </c>
      <c r="M26" s="54">
        <f t="shared" si="0"/>
        <v>3788985.2626470975</v>
      </c>
      <c r="N26" s="55">
        <f t="shared" si="4"/>
        <v>41907223.45702559</v>
      </c>
      <c r="O26" s="56"/>
      <c r="P26" s="56"/>
      <c r="Q26" s="62">
        <v>18</v>
      </c>
      <c r="R26" s="52">
        <f t="shared" si="5"/>
        <v>153435.40558915416</v>
      </c>
      <c r="S26" s="70"/>
      <c r="T26" s="57">
        <f t="shared" si="12"/>
        <v>2337232.645114683</v>
      </c>
      <c r="U26" s="139">
        <f t="shared" si="1"/>
        <v>2490668.050703837</v>
      </c>
      <c r="V26" s="55">
        <f t="shared" si="6"/>
        <v>27940115.632187203</v>
      </c>
      <c r="W26" s="56"/>
      <c r="X26" s="56"/>
      <c r="Z26" s="62">
        <v>18</v>
      </c>
      <c r="AA26" s="63"/>
      <c r="AB26" s="52">
        <f t="shared" si="7"/>
        <v>16608.987202949676</v>
      </c>
      <c r="AC26" s="57">
        <f t="shared" si="8"/>
        <v>1281708.2247403106</v>
      </c>
      <c r="AD26" s="59">
        <f t="shared" si="2"/>
        <v>1298317.2119432602</v>
      </c>
      <c r="AE26" s="54">
        <f t="shared" si="9"/>
        <v>233513.76265841885</v>
      </c>
      <c r="AF26" s="55">
        <f t="shared" si="10"/>
        <v>4535695.7330700755</v>
      </c>
      <c r="AJ26" s="73" t="s">
        <v>28</v>
      </c>
      <c r="AK26" s="122"/>
      <c r="AL26" s="63"/>
      <c r="AM26" s="145" t="s">
        <v>54</v>
      </c>
      <c r="AN26" s="145">
        <f>IRR($AD$8:$AD$13)</f>
        <v>0.2909685493973997</v>
      </c>
      <c r="AO26" s="145">
        <f>IRR($AD$8:$AD$18)</f>
        <v>0.40992850717266716</v>
      </c>
      <c r="AP26" s="145">
        <f>IRR($AD$8:$AD$23)</f>
        <v>0.43065715972643537</v>
      </c>
      <c r="AQ26" s="146">
        <f>IRR($AD$8:$AD$28)</f>
        <v>0.4342137633872474</v>
      </c>
    </row>
    <row r="27" spans="3:43" ht="12.75" thickBot="1">
      <c r="C27" s="62" t="s">
        <v>1</v>
      </c>
      <c r="D27" s="5" t="s">
        <v>7</v>
      </c>
      <c r="E27" s="6" t="s">
        <v>6</v>
      </c>
      <c r="F27" s="25"/>
      <c r="G27" s="25"/>
      <c r="I27" s="62">
        <v>19</v>
      </c>
      <c r="J27" s="52">
        <f t="shared" si="3"/>
        <v>181947.5002875511</v>
      </c>
      <c r="K27" s="70"/>
      <c r="L27" s="55">
        <f t="shared" si="11"/>
        <v>3872266.7307448434</v>
      </c>
      <c r="M27" s="54">
        <f t="shared" si="0"/>
        <v>4054214.2310323943</v>
      </c>
      <c r="N27" s="55">
        <f t="shared" si="4"/>
        <v>45961437.68805798</v>
      </c>
      <c r="O27" s="56"/>
      <c r="P27" s="56"/>
      <c r="Q27" s="62">
        <v>19</v>
      </c>
      <c r="R27" s="52">
        <f t="shared" si="5"/>
        <v>164175.88398039498</v>
      </c>
      <c r="S27" s="70"/>
      <c r="T27" s="57">
        <f t="shared" si="12"/>
        <v>2500838.930272711</v>
      </c>
      <c r="U27" s="139">
        <f t="shared" si="1"/>
        <v>2665014.814253106</v>
      </c>
      <c r="V27" s="55">
        <f t="shared" si="6"/>
        <v>30605130.44644031</v>
      </c>
      <c r="W27" s="56"/>
      <c r="X27" s="56"/>
      <c r="Z27" s="62">
        <v>19</v>
      </c>
      <c r="AA27" s="63"/>
      <c r="AB27" s="52">
        <f t="shared" si="7"/>
        <v>17771.61630715613</v>
      </c>
      <c r="AC27" s="57">
        <f t="shared" si="8"/>
        <v>1371427.8004721324</v>
      </c>
      <c r="AD27" s="59">
        <f t="shared" si="2"/>
        <v>1389199.4167792886</v>
      </c>
      <c r="AE27" s="54">
        <f t="shared" si="9"/>
        <v>227145.2054950074</v>
      </c>
      <c r="AF27" s="55">
        <f t="shared" si="10"/>
        <v>4762840.938565083</v>
      </c>
      <c r="AJ27" s="74" t="s">
        <v>29</v>
      </c>
      <c r="AK27" s="123"/>
      <c r="AL27" s="124"/>
      <c r="AM27" s="125">
        <f>-1*(AA8/AC9)</f>
        <v>2.791086268594919</v>
      </c>
      <c r="AN27" s="125">
        <f>AM27</f>
        <v>2.791086268594919</v>
      </c>
      <c r="AO27" s="125">
        <f>AN27</f>
        <v>2.791086268594919</v>
      </c>
      <c r="AP27" s="125">
        <f>AO27</f>
        <v>2.791086268594919</v>
      </c>
      <c r="AQ27" s="126">
        <f>AP27</f>
        <v>2.791086268594919</v>
      </c>
    </row>
    <row r="28" spans="3:36" ht="12.75" thickBot="1">
      <c r="C28" s="62" t="s">
        <v>2</v>
      </c>
      <c r="D28" s="5" t="s">
        <v>51</v>
      </c>
      <c r="E28" s="6" t="s">
        <v>8</v>
      </c>
      <c r="F28" s="25"/>
      <c r="G28" s="25"/>
      <c r="I28" s="84">
        <v>20</v>
      </c>
      <c r="J28" s="85">
        <f t="shared" si="3"/>
        <v>194683.82530767968</v>
      </c>
      <c r="K28" s="86"/>
      <c r="L28" s="87">
        <f t="shared" si="11"/>
        <v>4143325.4018969825</v>
      </c>
      <c r="M28" s="88">
        <f t="shared" si="0"/>
        <v>4338009.227204662</v>
      </c>
      <c r="N28" s="55">
        <f t="shared" si="4"/>
        <v>50299446.91526264</v>
      </c>
      <c r="O28" s="56"/>
      <c r="P28" s="56"/>
      <c r="Q28" s="84">
        <v>20</v>
      </c>
      <c r="R28" s="85">
        <f t="shared" si="5"/>
        <v>175668.1958590226</v>
      </c>
      <c r="S28" s="86"/>
      <c r="T28" s="90">
        <f t="shared" si="12"/>
        <v>2675897.6553918007</v>
      </c>
      <c r="U28" s="140">
        <f t="shared" si="1"/>
        <v>2851565.851250823</v>
      </c>
      <c r="V28" s="87">
        <f t="shared" si="6"/>
        <v>33456696.297691133</v>
      </c>
      <c r="W28" s="56"/>
      <c r="X28" s="56"/>
      <c r="Z28" s="84">
        <v>20</v>
      </c>
      <c r="AA28" s="89"/>
      <c r="AB28" s="85">
        <f t="shared" si="7"/>
        <v>19015.62944865707</v>
      </c>
      <c r="AC28" s="90">
        <f t="shared" si="8"/>
        <v>1467427.7465051818</v>
      </c>
      <c r="AD28" s="91">
        <f t="shared" si="2"/>
        <v>1486443.375953839</v>
      </c>
      <c r="AE28" s="88">
        <f t="shared" si="9"/>
        <v>220950.3362542345</v>
      </c>
      <c r="AF28" s="87">
        <f t="shared" si="10"/>
        <v>4983791.274819317</v>
      </c>
      <c r="AJ28" s="20" t="s">
        <v>50</v>
      </c>
    </row>
    <row r="29" spans="3:36" ht="13.5" thickBot="1" thickTop="1">
      <c r="C29" s="62" t="s">
        <v>3</v>
      </c>
      <c r="D29" s="5">
        <v>40</v>
      </c>
      <c r="E29" s="6">
        <v>32</v>
      </c>
      <c r="F29" s="25"/>
      <c r="G29" s="92"/>
      <c r="I29" s="93" t="s">
        <v>31</v>
      </c>
      <c r="J29" s="94">
        <f>SUM(J8:J28)</f>
        <v>2206857.043988818</v>
      </c>
      <c r="K29" s="94">
        <f>SUM(K8:K28)</f>
        <v>1125530.1565628443</v>
      </c>
      <c r="L29" s="95">
        <f>SUM(L8:L28)</f>
        <v>46967059.71471098</v>
      </c>
      <c r="M29" s="96">
        <f>SUM(M8:M28)</f>
        <v>50299446.91526264</v>
      </c>
      <c r="N29" s="129"/>
      <c r="O29" s="56"/>
      <c r="P29" s="56"/>
      <c r="Q29" s="93" t="s">
        <v>31</v>
      </c>
      <c r="R29" s="94">
        <f>SUM(R8:R28)</f>
        <v>2282303.565273631</v>
      </c>
      <c r="S29" s="94">
        <f>SUM(S8:S28)</f>
        <v>841500</v>
      </c>
      <c r="T29" s="98">
        <f>SUM(T8:T28)</f>
        <v>30332892.732417505</v>
      </c>
      <c r="U29" s="141">
        <f>SUM(U8:U28)</f>
        <v>33456696.297691133</v>
      </c>
      <c r="V29" s="142"/>
      <c r="W29" s="56"/>
      <c r="X29" s="25"/>
      <c r="Z29" s="93" t="s">
        <v>31</v>
      </c>
      <c r="AA29" s="97"/>
      <c r="AB29" s="94">
        <f>SUM(AB8:AB28)</f>
        <v>1341083.6352780312</v>
      </c>
      <c r="AC29" s="98">
        <f>SUM(AC8:AC28)</f>
        <v>16634166.982293475</v>
      </c>
      <c r="AD29" s="99">
        <f>SUM(AD8:AD28)</f>
        <v>16842750.617571503</v>
      </c>
      <c r="AE29" s="100">
        <f>SUM(AE8:AE28)</f>
        <v>4983791.274819317</v>
      </c>
      <c r="AF29" s="135"/>
      <c r="AJ29" s="20" t="s">
        <v>55</v>
      </c>
    </row>
    <row r="30" spans="3:22" ht="12">
      <c r="C30" s="62" t="s">
        <v>16</v>
      </c>
      <c r="D30" s="5">
        <v>2</v>
      </c>
      <c r="E30" s="6">
        <v>2</v>
      </c>
      <c r="F30" s="25"/>
      <c r="G30" s="92"/>
      <c r="I30" s="20" t="s">
        <v>57</v>
      </c>
      <c r="J30" s="56"/>
      <c r="K30" s="56"/>
      <c r="L30" s="56"/>
      <c r="M30" s="56"/>
      <c r="N30" s="56"/>
      <c r="Q30" s="20" t="s">
        <v>57</v>
      </c>
      <c r="R30" s="56"/>
      <c r="S30" s="56"/>
      <c r="T30" s="56"/>
      <c r="U30" s="56"/>
      <c r="V30" s="56"/>
    </row>
    <row r="31" spans="3:30" ht="12">
      <c r="C31" s="62" t="s">
        <v>15</v>
      </c>
      <c r="D31" s="5">
        <v>1</v>
      </c>
      <c r="E31" s="6">
        <v>1</v>
      </c>
      <c r="F31" s="25"/>
      <c r="G31" s="92"/>
      <c r="M31" s="101" t="s">
        <v>11</v>
      </c>
      <c r="Q31" s="102"/>
      <c r="R31" s="102"/>
      <c r="S31" s="102"/>
      <c r="T31" s="102"/>
      <c r="U31" s="101" t="s">
        <v>11</v>
      </c>
      <c r="V31" s="102"/>
      <c r="W31" s="101" t="s">
        <v>11</v>
      </c>
      <c r="AB31" s="101"/>
      <c r="AC31" s="184"/>
      <c r="AD31" s="185"/>
    </row>
    <row r="32" spans="3:24" ht="12">
      <c r="C32" s="62" t="s">
        <v>5</v>
      </c>
      <c r="D32" s="7">
        <v>8000</v>
      </c>
      <c r="E32" s="8">
        <v>20000</v>
      </c>
      <c r="F32" s="25"/>
      <c r="G32" s="92"/>
      <c r="I32" s="20" t="s">
        <v>35</v>
      </c>
      <c r="Q32" s="25" t="s">
        <v>35</v>
      </c>
      <c r="R32" s="25"/>
      <c r="S32" s="25"/>
      <c r="T32" s="25"/>
      <c r="U32" s="25"/>
      <c r="V32" s="25"/>
      <c r="W32" s="25"/>
      <c r="X32" s="25"/>
    </row>
    <row r="33" spans="3:22" ht="12.75" customHeight="1">
      <c r="C33" s="62" t="s">
        <v>4</v>
      </c>
      <c r="D33" s="5">
        <v>96</v>
      </c>
      <c r="E33" s="6">
        <v>62</v>
      </c>
      <c r="F33" s="25"/>
      <c r="G33" s="152"/>
      <c r="H33" s="103"/>
      <c r="I33" s="186" t="s">
        <v>56</v>
      </c>
      <c r="J33" s="186"/>
      <c r="K33" s="186"/>
      <c r="L33" s="186"/>
      <c r="M33" s="186"/>
      <c r="N33" s="186"/>
      <c r="O33" s="103"/>
      <c r="P33" s="103"/>
      <c r="Q33" s="186" t="str">
        <f>I33</f>
        <v>1)  Year 0 (Initial) costs represent the material and labor costs associated with the installation of the lighting system. These costs are not applicable for existing systems. </v>
      </c>
      <c r="R33" s="186"/>
      <c r="S33" s="186"/>
      <c r="T33" s="186"/>
      <c r="U33" s="186"/>
      <c r="V33" s="186"/>
    </row>
    <row r="34" spans="3:22" ht="12" customHeight="1">
      <c r="C34" s="84" t="s">
        <v>67</v>
      </c>
      <c r="D34" s="9">
        <v>900</v>
      </c>
      <c r="E34" s="10">
        <v>900</v>
      </c>
      <c r="G34" s="152"/>
      <c r="H34" s="103"/>
      <c r="I34" s="186"/>
      <c r="J34" s="186"/>
      <c r="K34" s="186"/>
      <c r="L34" s="186"/>
      <c r="M34" s="186"/>
      <c r="N34" s="186"/>
      <c r="O34" s="103"/>
      <c r="P34" s="103"/>
      <c r="Q34" s="186"/>
      <c r="R34" s="186"/>
      <c r="S34" s="186"/>
      <c r="T34" s="186"/>
      <c r="U34" s="186"/>
      <c r="V34" s="186"/>
    </row>
    <row r="35" spans="3:22" ht="13.5" customHeight="1">
      <c r="C35" s="109" t="str">
        <f>"Lamp Cost ("&amp;D15&amp;")"</f>
        <v>Lamp Cost (Dollar)</v>
      </c>
      <c r="D35" s="5">
        <v>60</v>
      </c>
      <c r="E35" s="6">
        <v>150</v>
      </c>
      <c r="F35" s="25"/>
      <c r="G35" s="153"/>
      <c r="H35" s="195"/>
      <c r="I35" s="194" t="s">
        <v>94</v>
      </c>
      <c r="J35" s="194"/>
      <c r="K35" s="194"/>
      <c r="L35" s="194"/>
      <c r="M35" s="194"/>
      <c r="N35" s="194"/>
      <c r="O35" s="153"/>
      <c r="P35" s="195"/>
      <c r="Q35" s="194" t="str">
        <f>I35</f>
        <v>2) For simplicity, it is assumed that the same number of lamps are replaced each year. This means lamp replacement cost are the same every year before adjustment for inflation.  In reality, lamp replacment and the associated costs will tend to be concentrated around the end of the rate life.</v>
      </c>
      <c r="R35" s="194"/>
      <c r="S35" s="194"/>
      <c r="T35" s="194"/>
      <c r="U35" s="194"/>
      <c r="V35" s="194"/>
    </row>
    <row r="36" spans="3:22" ht="12" customHeight="1" thickBot="1">
      <c r="C36" s="112" t="str">
        <f>"Ballast Cost ("&amp;D15&amp;")"</f>
        <v>Ballast Cost (Dollar)</v>
      </c>
      <c r="D36" s="11">
        <v>450</v>
      </c>
      <c r="E36" s="12">
        <v>900</v>
      </c>
      <c r="F36" s="80"/>
      <c r="G36" s="153"/>
      <c r="H36" s="162"/>
      <c r="I36" s="194"/>
      <c r="J36" s="194"/>
      <c r="K36" s="194"/>
      <c r="L36" s="194"/>
      <c r="M36" s="194"/>
      <c r="N36" s="194"/>
      <c r="O36" s="153"/>
      <c r="P36" s="162"/>
      <c r="Q36" s="194"/>
      <c r="R36" s="194"/>
      <c r="S36" s="194"/>
      <c r="T36" s="194"/>
      <c r="U36" s="194"/>
      <c r="V36" s="194"/>
    </row>
    <row r="37" spans="6:22" ht="12.75" customHeight="1">
      <c r="F37" s="113"/>
      <c r="G37" s="156"/>
      <c r="H37" s="195"/>
      <c r="I37" s="194"/>
      <c r="J37" s="194"/>
      <c r="K37" s="194"/>
      <c r="L37" s="194"/>
      <c r="M37" s="194"/>
      <c r="N37" s="194"/>
      <c r="O37" s="156"/>
      <c r="P37" s="195"/>
      <c r="Q37" s="194"/>
      <c r="R37" s="194"/>
      <c r="S37" s="194"/>
      <c r="T37" s="194"/>
      <c r="U37" s="194"/>
      <c r="V37" s="194"/>
    </row>
    <row r="38" spans="3:22" ht="12" customHeight="1">
      <c r="C38" s="25"/>
      <c r="D38" s="25"/>
      <c r="E38" s="25"/>
      <c r="F38" s="113"/>
      <c r="G38" s="4"/>
      <c r="H38" s="162"/>
      <c r="I38" s="194"/>
      <c r="J38" s="194"/>
      <c r="K38" s="194"/>
      <c r="L38" s="194"/>
      <c r="M38" s="194"/>
      <c r="N38" s="194"/>
      <c r="O38" s="4"/>
      <c r="P38" s="162"/>
      <c r="Q38" s="194"/>
      <c r="R38" s="194"/>
      <c r="S38" s="194"/>
      <c r="T38" s="194"/>
      <c r="U38" s="194"/>
      <c r="V38" s="194"/>
    </row>
    <row r="39" spans="6:22" ht="12" customHeight="1">
      <c r="F39" s="113"/>
      <c r="G39" s="4"/>
      <c r="H39" s="20"/>
      <c r="I39" s="186" t="s">
        <v>95</v>
      </c>
      <c r="J39" s="186"/>
      <c r="K39" s="186"/>
      <c r="L39" s="186"/>
      <c r="M39" s="186"/>
      <c r="N39" s="186"/>
      <c r="O39" s="4"/>
      <c r="Q39" s="186" t="str">
        <f>I39</f>
        <v>3) Magnetic ballasts have a rated life of 14 years if installed properly (electronic ballasts have a rated life of 20+ years).  Therefore, replacement costs for magnetic ballasts are applied at year 14, and electronic ballasts replacement costs are not applicable. </v>
      </c>
      <c r="R39" s="186"/>
      <c r="S39" s="186"/>
      <c r="T39" s="186"/>
      <c r="U39" s="186"/>
      <c r="V39" s="186"/>
    </row>
    <row r="40" spans="6:22" ht="12" customHeight="1">
      <c r="F40" s="113"/>
      <c r="G40" s="4"/>
      <c r="H40" s="20"/>
      <c r="I40" s="186"/>
      <c r="J40" s="186"/>
      <c r="K40" s="186"/>
      <c r="L40" s="186"/>
      <c r="M40" s="186"/>
      <c r="N40" s="186"/>
      <c r="O40" s="4"/>
      <c r="Q40" s="186"/>
      <c r="R40" s="186"/>
      <c r="S40" s="186"/>
      <c r="T40" s="186"/>
      <c r="U40" s="186"/>
      <c r="V40" s="186"/>
    </row>
    <row r="41" spans="7:22" ht="12">
      <c r="G41" s="61"/>
      <c r="H41" s="20"/>
      <c r="I41" s="186"/>
      <c r="J41" s="186"/>
      <c r="K41" s="186"/>
      <c r="L41" s="186"/>
      <c r="M41" s="186"/>
      <c r="N41" s="186"/>
      <c r="Q41" s="186"/>
      <c r="R41" s="186"/>
      <c r="S41" s="186"/>
      <c r="T41" s="186"/>
      <c r="U41" s="186"/>
      <c r="V41" s="186"/>
    </row>
    <row r="42" ht="12.75" customHeight="1"/>
  </sheetData>
  <sheetProtection sheet="1" objects="1" scenarios="1"/>
  <mergeCells count="37">
    <mergeCell ref="I39:N41"/>
    <mergeCell ref="I33:N34"/>
    <mergeCell ref="I35:N38"/>
    <mergeCell ref="Q33:V34"/>
    <mergeCell ref="Q35:V38"/>
    <mergeCell ref="Q39:V41"/>
    <mergeCell ref="H35:H36"/>
    <mergeCell ref="H37:H38"/>
    <mergeCell ref="AC31:AD31"/>
    <mergeCell ref="P35:P36"/>
    <mergeCell ref="P37:P38"/>
    <mergeCell ref="D21:E21"/>
    <mergeCell ref="D10:F10"/>
    <mergeCell ref="D16:E16"/>
    <mergeCell ref="D17:E17"/>
    <mergeCell ref="D18:E18"/>
    <mergeCell ref="D19:E19"/>
    <mergeCell ref="D20:E20"/>
    <mergeCell ref="D15:E15"/>
    <mergeCell ref="AJ2:AP2"/>
    <mergeCell ref="C3:F3"/>
    <mergeCell ref="I3:N3"/>
    <mergeCell ref="Q3:V3"/>
    <mergeCell ref="Z3:AF3"/>
    <mergeCell ref="AJ3:AP3"/>
    <mergeCell ref="C2:F2"/>
    <mergeCell ref="I2:N2"/>
    <mergeCell ref="Q2:V2"/>
    <mergeCell ref="Z2:AF2"/>
    <mergeCell ref="AJ7:AL7"/>
    <mergeCell ref="AJ8:AL8"/>
    <mergeCell ref="D9:F9"/>
    <mergeCell ref="AJ9:AL9"/>
    <mergeCell ref="AJ10:AL10"/>
    <mergeCell ref="D11:F11"/>
    <mergeCell ref="AJ11:AL11"/>
    <mergeCell ref="AJ12:AL12"/>
  </mergeCells>
  <printOptions/>
  <pageMargins left="0.75" right="0.75" top="1" bottom="1" header="0.5" footer="0.5"/>
  <pageSetup blackAndWhite="1" fitToWidth="5" horizontalDpi="600" verticalDpi="600" orientation="portrait" scale="90" r:id="rId10"/>
  <headerFooter alignWithMargins="0">
    <oddFooter>&amp;CUpgrade 2 &amp;D</oddFooter>
  </headerFooter>
  <colBreaks count="4" manualBreakCount="4">
    <brk id="7" max="41" man="1"/>
    <brk id="15" max="41" man="1"/>
    <brk id="24" max="41" man="1"/>
    <brk id="34" max="41" man="1"/>
  </colBreaks>
  <drawing r:id="rId9"/>
  <legacyDrawing r:id="rId8"/>
  <oleObjects>
    <oleObject progId="Word.Picture.8" shapeId="460232" r:id="rId1"/>
    <oleObject progId="Word.Picture.8" shapeId="664372" r:id="rId2"/>
    <oleObject progId="Word.Picture.8" shapeId="665937" r:id="rId3"/>
    <oleObject progId="Word.Picture.8" shapeId="1142415" r:id="rId4"/>
    <oleObject progId="Word.Picture.8" shapeId="1528789" r:id="rId5"/>
    <oleObject progId="Word.Picture.8" shapeId="1578368" r:id="rId6"/>
    <oleObject progId="Word.Picture.8" shapeId="1263175" r:id="rId7"/>
  </oleObjects>
</worksheet>
</file>

<file path=xl/worksheets/sheet4.xml><?xml version="1.0" encoding="utf-8"?>
<worksheet xmlns="http://schemas.openxmlformats.org/spreadsheetml/2006/main" xmlns:r="http://schemas.openxmlformats.org/officeDocument/2006/relationships">
  <sheetPr codeName="Sheet3"/>
  <dimension ref="A2:AQ41"/>
  <sheetViews>
    <sheetView showGridLines="0" showRowColHeaders="0" workbookViewId="0" topLeftCell="A1">
      <pane xSplit="1" topLeftCell="AI1" activePane="topRight" state="frozen"/>
      <selection pane="topLeft" activeCell="A2" sqref="A1:A16384"/>
      <selection pane="topRight" activeCell="AJ2" sqref="AJ2:AP2"/>
    </sheetView>
  </sheetViews>
  <sheetFormatPr defaultColWidth="9.140625" defaultRowHeight="12.75"/>
  <cols>
    <col min="1" max="1" width="32.57421875" style="13" customWidth="1"/>
    <col min="2" max="2" width="0.5625" style="20" customWidth="1"/>
    <col min="3" max="3" width="37.421875" style="20" customWidth="1"/>
    <col min="4" max="6" width="12.7109375" style="20" customWidth="1"/>
    <col min="7" max="7" width="10.8515625" style="20" customWidth="1"/>
    <col min="8" max="8" width="0.85546875" style="22" customWidth="1"/>
    <col min="9" max="9" width="7.57421875" style="20" customWidth="1"/>
    <col min="10" max="10" width="15.7109375" style="20" customWidth="1"/>
    <col min="11" max="11" width="16.140625" style="20" customWidth="1"/>
    <col min="12" max="12" width="10.140625" style="20" customWidth="1"/>
    <col min="13" max="14" width="11.28125" style="20" customWidth="1"/>
    <col min="15" max="15" width="15.421875" style="20" customWidth="1"/>
    <col min="16" max="16" width="0.9921875" style="20" customWidth="1"/>
    <col min="17" max="17" width="7.140625" style="20" customWidth="1"/>
    <col min="18" max="18" width="16.7109375" style="20" customWidth="1"/>
    <col min="19" max="19" width="17.00390625" style="20" customWidth="1"/>
    <col min="20" max="20" width="10.140625" style="20" customWidth="1"/>
    <col min="21" max="21" width="11.57421875" style="20" customWidth="1"/>
    <col min="22" max="22" width="11.28125" style="20" customWidth="1"/>
    <col min="23" max="23" width="11.140625" style="20" customWidth="1"/>
    <col min="24" max="24" width="8.57421875" style="20" customWidth="1"/>
    <col min="25" max="25" width="1.1484375" style="20" customWidth="1"/>
    <col min="26" max="26" width="9.8515625" style="20" customWidth="1"/>
    <col min="27" max="27" width="10.421875" style="20" customWidth="1"/>
    <col min="28" max="28" width="12.00390625" style="20" customWidth="1"/>
    <col min="29" max="29" width="10.421875" style="20" customWidth="1"/>
    <col min="30" max="30" width="10.7109375" style="20" customWidth="1"/>
    <col min="31" max="31" width="10.28125" style="20" customWidth="1"/>
    <col min="32" max="32" width="11.28125" style="20" customWidth="1"/>
    <col min="33" max="33" width="10.8515625" style="20" customWidth="1"/>
    <col min="34" max="34" width="9.140625" style="20" customWidth="1"/>
    <col min="35" max="35" width="1.28515625" style="20" customWidth="1"/>
    <col min="36" max="38" width="11.421875" style="20" customWidth="1"/>
    <col min="39" max="43" width="10.140625" style="20" customWidth="1"/>
    <col min="44" max="54" width="9.140625" style="20" customWidth="1"/>
    <col min="55" max="16384" width="9.140625" style="15" customWidth="1"/>
  </cols>
  <sheetData>
    <row r="2" spans="3:42" ht="12.75">
      <c r="C2" s="172" t="s">
        <v>10</v>
      </c>
      <c r="D2" s="172"/>
      <c r="E2" s="172"/>
      <c r="F2" s="172"/>
      <c r="G2" s="21"/>
      <c r="I2" s="172" t="s">
        <v>10</v>
      </c>
      <c r="J2" s="183"/>
      <c r="K2" s="183"/>
      <c r="L2" s="183"/>
      <c r="M2" s="183"/>
      <c r="N2" s="183"/>
      <c r="O2" s="21"/>
      <c r="Q2" s="172" t="s">
        <v>10</v>
      </c>
      <c r="R2" s="173"/>
      <c r="S2" s="173"/>
      <c r="T2" s="173"/>
      <c r="U2" s="173"/>
      <c r="V2" s="173"/>
      <c r="W2" s="21"/>
      <c r="Z2" s="172" t="s">
        <v>10</v>
      </c>
      <c r="AA2" s="173"/>
      <c r="AB2" s="173"/>
      <c r="AC2" s="173"/>
      <c r="AD2" s="173"/>
      <c r="AE2" s="173"/>
      <c r="AF2" s="173"/>
      <c r="AG2" s="21"/>
      <c r="AJ2" s="172" t="s">
        <v>10</v>
      </c>
      <c r="AK2" s="173"/>
      <c r="AL2" s="173"/>
      <c r="AM2" s="173"/>
      <c r="AN2" s="173"/>
      <c r="AO2" s="173"/>
      <c r="AP2" s="173"/>
    </row>
    <row r="3" spans="3:42" ht="12.75">
      <c r="C3" s="172" t="str">
        <f>Upgrade1!C3</f>
        <v>Company Name</v>
      </c>
      <c r="D3" s="165"/>
      <c r="E3" s="165"/>
      <c r="F3" s="165"/>
      <c r="G3" s="21"/>
      <c r="I3" s="172" t="str">
        <f>C3</f>
        <v>Company Name</v>
      </c>
      <c r="J3" s="183"/>
      <c r="K3" s="183"/>
      <c r="L3" s="183"/>
      <c r="M3" s="183"/>
      <c r="N3" s="183"/>
      <c r="O3" s="21"/>
      <c r="Q3" s="172" t="str">
        <f>C3</f>
        <v>Company Name</v>
      </c>
      <c r="R3" s="173"/>
      <c r="S3" s="173"/>
      <c r="T3" s="173"/>
      <c r="U3" s="173"/>
      <c r="V3" s="173"/>
      <c r="W3" s="21"/>
      <c r="Z3" s="172" t="str">
        <f>C3</f>
        <v>Company Name</v>
      </c>
      <c r="AA3" s="173"/>
      <c r="AB3" s="173"/>
      <c r="AC3" s="173"/>
      <c r="AD3" s="173"/>
      <c r="AE3" s="173"/>
      <c r="AF3" s="173"/>
      <c r="AG3" s="21"/>
      <c r="AJ3" s="172" t="str">
        <f>C3</f>
        <v>Company Name</v>
      </c>
      <c r="AK3" s="173"/>
      <c r="AL3" s="173"/>
      <c r="AM3" s="173"/>
      <c r="AN3" s="173"/>
      <c r="AO3" s="173"/>
      <c r="AP3" s="173"/>
    </row>
    <row r="4" spans="3:42" ht="12">
      <c r="C4" s="21"/>
      <c r="D4" s="21"/>
      <c r="E4" s="21"/>
      <c r="F4" s="23" t="s">
        <v>101</v>
      </c>
      <c r="N4" s="24" t="s">
        <v>100</v>
      </c>
      <c r="Q4" s="25"/>
      <c r="R4" s="25"/>
      <c r="S4" s="25"/>
      <c r="T4" s="25"/>
      <c r="V4" s="24" t="s">
        <v>99</v>
      </c>
      <c r="AF4" s="24" t="s">
        <v>98</v>
      </c>
      <c r="AP4" s="24" t="s">
        <v>97</v>
      </c>
    </row>
    <row r="5" spans="3:33" ht="12.75" thickBot="1">
      <c r="C5" s="21"/>
      <c r="D5" s="21"/>
      <c r="E5" s="21"/>
      <c r="F5" s="26"/>
      <c r="G5" s="27"/>
      <c r="N5" s="26"/>
      <c r="O5" s="28"/>
      <c r="Q5" s="29"/>
      <c r="R5" s="29"/>
      <c r="S5" s="25"/>
      <c r="T5" s="25"/>
      <c r="V5" s="26"/>
      <c r="W5" s="28"/>
      <c r="AF5" s="26"/>
      <c r="AG5" s="28"/>
    </row>
    <row r="6" spans="1:40" ht="12.75" thickBot="1">
      <c r="A6" s="14" t="s">
        <v>109</v>
      </c>
      <c r="B6" s="21"/>
      <c r="C6" s="21" t="s">
        <v>11</v>
      </c>
      <c r="D6" s="21"/>
      <c r="E6" s="21"/>
      <c r="F6" s="21"/>
      <c r="G6" s="21"/>
      <c r="I6" s="30" t="s">
        <v>91</v>
      </c>
      <c r="J6" s="31"/>
      <c r="K6" s="31"/>
      <c r="L6" s="31"/>
      <c r="M6" s="31"/>
      <c r="N6" s="32"/>
      <c r="O6" s="25"/>
      <c r="P6" s="25"/>
      <c r="Q6" s="143" t="s">
        <v>107</v>
      </c>
      <c r="R6" s="117"/>
      <c r="S6" s="117"/>
      <c r="T6" s="117"/>
      <c r="U6" s="117"/>
      <c r="V6" s="144"/>
      <c r="W6" s="25"/>
      <c r="X6" s="25"/>
      <c r="Z6" s="30" t="s">
        <v>53</v>
      </c>
      <c r="AA6" s="33"/>
      <c r="AB6" s="31"/>
      <c r="AC6" s="31"/>
      <c r="AD6" s="31"/>
      <c r="AE6" s="31"/>
      <c r="AF6" s="32"/>
      <c r="AJ6" s="104" t="s">
        <v>19</v>
      </c>
      <c r="AK6" s="105"/>
      <c r="AL6" s="105"/>
      <c r="AM6" s="106"/>
      <c r="AN6" s="107"/>
    </row>
    <row r="7" spans="1:40" ht="36.75" thickBot="1">
      <c r="A7" s="16" t="s">
        <v>81</v>
      </c>
      <c r="B7" s="34"/>
      <c r="C7" s="20" t="s">
        <v>11</v>
      </c>
      <c r="I7" s="35" t="s">
        <v>18</v>
      </c>
      <c r="J7" s="36" t="s">
        <v>46</v>
      </c>
      <c r="K7" s="36" t="s">
        <v>47</v>
      </c>
      <c r="L7" s="37" t="s">
        <v>52</v>
      </c>
      <c r="M7" s="38" t="s">
        <v>32</v>
      </c>
      <c r="N7" s="39" t="s">
        <v>34</v>
      </c>
      <c r="O7" s="40"/>
      <c r="P7" s="41"/>
      <c r="Q7" s="136" t="s">
        <v>18</v>
      </c>
      <c r="R7" s="42" t="s">
        <v>46</v>
      </c>
      <c r="S7" s="42" t="s">
        <v>47</v>
      </c>
      <c r="T7" s="43" t="s">
        <v>52</v>
      </c>
      <c r="U7" s="138" t="s">
        <v>32</v>
      </c>
      <c r="V7" s="137" t="s">
        <v>34</v>
      </c>
      <c r="W7" s="40"/>
      <c r="X7" s="41"/>
      <c r="Z7" s="35" t="s">
        <v>18</v>
      </c>
      <c r="AA7" s="38" t="s">
        <v>39</v>
      </c>
      <c r="AB7" s="36" t="s">
        <v>38</v>
      </c>
      <c r="AC7" s="44" t="s">
        <v>37</v>
      </c>
      <c r="AD7" s="45" t="s">
        <v>40</v>
      </c>
      <c r="AE7" s="46" t="s">
        <v>36</v>
      </c>
      <c r="AF7" s="37" t="s">
        <v>33</v>
      </c>
      <c r="AJ7" s="166"/>
      <c r="AK7" s="167"/>
      <c r="AL7" s="168"/>
      <c r="AM7" s="81" t="s">
        <v>49</v>
      </c>
      <c r="AN7" s="82" t="s">
        <v>43</v>
      </c>
    </row>
    <row r="8" spans="1:40" ht="12.75">
      <c r="A8" s="14"/>
      <c r="B8" s="21"/>
      <c r="C8" s="48" t="s">
        <v>9</v>
      </c>
      <c r="D8" s="49" t="s">
        <v>11</v>
      </c>
      <c r="E8" s="49"/>
      <c r="F8" s="50"/>
      <c r="I8" s="51" t="s">
        <v>30</v>
      </c>
      <c r="J8" s="52">
        <v>0</v>
      </c>
      <c r="K8" s="52">
        <v>0</v>
      </c>
      <c r="L8" s="53"/>
      <c r="M8" s="54">
        <f aca="true" t="shared" si="0" ref="M8:M28">SUM(J8:L8)</f>
        <v>0</v>
      </c>
      <c r="N8" s="55">
        <f>M8</f>
        <v>0</v>
      </c>
      <c r="O8" s="56"/>
      <c r="P8" s="56"/>
      <c r="Q8" s="51" t="s">
        <v>30</v>
      </c>
      <c r="R8" s="52">
        <f>E34*E30*(E35+(D17*D20/60))</f>
        <v>291000</v>
      </c>
      <c r="S8" s="52">
        <f>$E$34*$E$31*(E36+D17*D21/60)</f>
        <v>841500</v>
      </c>
      <c r="T8" s="57"/>
      <c r="U8" s="139">
        <f aca="true" t="shared" si="1" ref="U8:U28">SUM(R8:T8)</f>
        <v>1132500</v>
      </c>
      <c r="V8" s="55">
        <f>U8</f>
        <v>1132500</v>
      </c>
      <c r="W8" s="56"/>
      <c r="X8" s="56"/>
      <c r="Z8" s="51" t="s">
        <v>30</v>
      </c>
      <c r="AA8" s="58">
        <f>($J$8+$K$8)-($R$8+$S$8)</f>
        <v>-1132500</v>
      </c>
      <c r="AB8" s="52" t="s">
        <v>11</v>
      </c>
      <c r="AC8" s="57"/>
      <c r="AD8" s="59">
        <f aca="true" t="shared" si="2" ref="AD8:AD28">SUM(AA8:AC8)</f>
        <v>-1132500</v>
      </c>
      <c r="AE8" s="54">
        <f>AD8</f>
        <v>-1132500</v>
      </c>
      <c r="AF8" s="55">
        <f>AE8</f>
        <v>-1132500</v>
      </c>
      <c r="AJ8" s="169" t="s">
        <v>20</v>
      </c>
      <c r="AK8" s="170"/>
      <c r="AL8" s="171"/>
      <c r="AM8" s="110">
        <f>($D$11*52)*$D$33*$D$34/1000</f>
        <v>269568</v>
      </c>
      <c r="AN8" s="111">
        <f>($D$11*52)*E33*E34/1000</f>
        <v>174096</v>
      </c>
    </row>
    <row r="9" spans="1:40" ht="12.75">
      <c r="A9" s="157" t="s">
        <v>104</v>
      </c>
      <c r="B9" s="34"/>
      <c r="C9" s="60" t="s">
        <v>12</v>
      </c>
      <c r="D9" s="174" t="s">
        <v>110</v>
      </c>
      <c r="E9" s="175"/>
      <c r="F9" s="176"/>
      <c r="G9" s="61"/>
      <c r="I9" s="62">
        <v>1</v>
      </c>
      <c r="J9" s="52">
        <f aca="true" t="shared" si="3" ref="J9:J28">FV($D$18,I9,0,-1*$AM$10)</f>
        <v>53831.700000000004</v>
      </c>
      <c r="K9" s="52"/>
      <c r="L9" s="55">
        <f>(($D$11*52)*$D$33*$D$34/1000)*$D$16</f>
        <v>1145664</v>
      </c>
      <c r="M9" s="54">
        <f t="shared" si="0"/>
        <v>1199495.7</v>
      </c>
      <c r="N9" s="55">
        <f aca="true" t="shared" si="4" ref="N9:N28">M9+N8</f>
        <v>1199495.7</v>
      </c>
      <c r="O9" s="56"/>
      <c r="P9" s="56"/>
      <c r="Q9" s="62">
        <v>1</v>
      </c>
      <c r="R9" s="52">
        <f aca="true" t="shared" si="5" ref="R9:R28">FV($D$18,Q9,0,-1*$AN$10)</f>
        <v>48573.72</v>
      </c>
      <c r="S9" s="52"/>
      <c r="T9" s="57">
        <f>(($D$11*52)*$E$33*$E$34/1000)*$D$16</f>
        <v>739908</v>
      </c>
      <c r="U9" s="139">
        <f t="shared" si="1"/>
        <v>788481.72</v>
      </c>
      <c r="V9" s="55">
        <f aca="true" t="shared" si="6" ref="V9:V28">U9+V8</f>
        <v>1920981.72</v>
      </c>
      <c r="W9" s="56"/>
      <c r="X9" s="56"/>
      <c r="Z9" s="62">
        <v>1</v>
      </c>
      <c r="AA9" s="63"/>
      <c r="AB9" s="52">
        <f aca="true" t="shared" si="7" ref="AB9:AB28">(J9+K9)-(R9+S9)</f>
        <v>5257.980000000003</v>
      </c>
      <c r="AC9" s="57">
        <f aca="true" t="shared" si="8" ref="AC9:AC28">L9-T9</f>
        <v>405756</v>
      </c>
      <c r="AD9" s="59">
        <f t="shared" si="2"/>
        <v>411013.98</v>
      </c>
      <c r="AE9" s="54">
        <f aca="true" t="shared" si="9" ref="AE9:AE28">AD9/POWER((1+$D$19),Z9)</f>
        <v>373649.0727272727</v>
      </c>
      <c r="AF9" s="55">
        <f aca="true" t="shared" si="10" ref="AF9:AF28">AE9+AF8</f>
        <v>-758850.9272727272</v>
      </c>
      <c r="AJ9" s="169" t="str">
        <f>"Annual Energy Costs ("&amp;D15&amp;"/Year)"</f>
        <v>Annual Energy Costs (Dollar/Year)</v>
      </c>
      <c r="AK9" s="170"/>
      <c r="AL9" s="171"/>
      <c r="AM9" s="110">
        <f>AM8*$D$16</f>
        <v>1145664</v>
      </c>
      <c r="AN9" s="111">
        <f>AN8*$D$16</f>
        <v>739908</v>
      </c>
    </row>
    <row r="10" spans="3:40" ht="12.75">
      <c r="C10" s="60" t="s">
        <v>27</v>
      </c>
      <c r="D10" s="174" t="s">
        <v>58</v>
      </c>
      <c r="E10" s="175"/>
      <c r="F10" s="176"/>
      <c r="G10" s="61"/>
      <c r="I10" s="62">
        <v>2</v>
      </c>
      <c r="J10" s="52">
        <f t="shared" si="3"/>
        <v>57599.919</v>
      </c>
      <c r="K10" s="52"/>
      <c r="L10" s="55">
        <f aca="true" t="shared" si="11" ref="L10:L28">L9*(1+$D$18)</f>
        <v>1225860.48</v>
      </c>
      <c r="M10" s="54">
        <f t="shared" si="0"/>
        <v>1283460.399</v>
      </c>
      <c r="N10" s="55">
        <f t="shared" si="4"/>
        <v>2482956.099</v>
      </c>
      <c r="O10" s="56"/>
      <c r="P10" s="56"/>
      <c r="Q10" s="62">
        <v>2</v>
      </c>
      <c r="R10" s="52">
        <f t="shared" si="5"/>
        <v>51973.8804</v>
      </c>
      <c r="S10" s="52"/>
      <c r="T10" s="57">
        <f aca="true" t="shared" si="12" ref="T10:T28">T9*(1+$D$18)</f>
        <v>791701.56</v>
      </c>
      <c r="U10" s="139">
        <f t="shared" si="1"/>
        <v>843675.4404000001</v>
      </c>
      <c r="V10" s="55">
        <f t="shared" si="6"/>
        <v>2764657.1604</v>
      </c>
      <c r="W10" s="56"/>
      <c r="X10" s="56"/>
      <c r="Z10" s="62">
        <v>2</v>
      </c>
      <c r="AA10" s="63"/>
      <c r="AB10" s="52">
        <f t="shared" si="7"/>
        <v>5626.0386</v>
      </c>
      <c r="AC10" s="57">
        <f t="shared" si="8"/>
        <v>434158.9199999999</v>
      </c>
      <c r="AD10" s="59">
        <f t="shared" si="2"/>
        <v>439784.9585999999</v>
      </c>
      <c r="AE10" s="54">
        <f t="shared" si="9"/>
        <v>363458.64347107423</v>
      </c>
      <c r="AF10" s="55">
        <f t="shared" si="10"/>
        <v>-395392.283801653</v>
      </c>
      <c r="AJ10" s="169" t="s">
        <v>44</v>
      </c>
      <c r="AK10" s="170"/>
      <c r="AL10" s="171"/>
      <c r="AM10" s="110">
        <f>SUM(AM11:AM12)</f>
        <v>50310</v>
      </c>
      <c r="AN10" s="111">
        <f>SUM(AN11:AN12)</f>
        <v>45396</v>
      </c>
    </row>
    <row r="11" spans="3:40" ht="13.5" thickBot="1">
      <c r="C11" s="65" t="s">
        <v>13</v>
      </c>
      <c r="D11" s="177">
        <v>60</v>
      </c>
      <c r="E11" s="178"/>
      <c r="F11" s="179"/>
      <c r="G11" s="66"/>
      <c r="I11" s="62">
        <v>3</v>
      </c>
      <c r="J11" s="52">
        <f t="shared" si="3"/>
        <v>61631.91333</v>
      </c>
      <c r="K11" s="52"/>
      <c r="L11" s="55">
        <f t="shared" si="11"/>
        <v>1311670.7136000001</v>
      </c>
      <c r="M11" s="54">
        <f t="shared" si="0"/>
        <v>1373302.62693</v>
      </c>
      <c r="N11" s="55">
        <f t="shared" si="4"/>
        <v>3856258.7259299997</v>
      </c>
      <c r="O11" s="56"/>
      <c r="P11" s="56"/>
      <c r="Q11" s="62">
        <v>3</v>
      </c>
      <c r="R11" s="52">
        <f t="shared" si="5"/>
        <v>55612.052028000006</v>
      </c>
      <c r="S11" s="52"/>
      <c r="T11" s="57">
        <f t="shared" si="12"/>
        <v>847120.6692000001</v>
      </c>
      <c r="U11" s="139">
        <f t="shared" si="1"/>
        <v>902732.7212280001</v>
      </c>
      <c r="V11" s="55">
        <f t="shared" si="6"/>
        <v>3667389.881628</v>
      </c>
      <c r="W11" s="56"/>
      <c r="X11" s="56"/>
      <c r="Z11" s="62">
        <v>3</v>
      </c>
      <c r="AA11" s="63"/>
      <c r="AB11" s="52">
        <f t="shared" si="7"/>
        <v>6019.8613019999975</v>
      </c>
      <c r="AC11" s="57">
        <f t="shared" si="8"/>
        <v>464550.0444</v>
      </c>
      <c r="AD11" s="59">
        <f t="shared" si="2"/>
        <v>470569.905702</v>
      </c>
      <c r="AE11" s="54">
        <f t="shared" si="9"/>
        <v>353546.1350127723</v>
      </c>
      <c r="AF11" s="55">
        <f t="shared" si="10"/>
        <v>-41846.14878888073</v>
      </c>
      <c r="AJ11" s="169" t="s">
        <v>21</v>
      </c>
      <c r="AK11" s="170"/>
      <c r="AL11" s="171"/>
      <c r="AM11" s="110">
        <f>(($D$11*52)/$D$32*$D$30*$D$34)*$D$35</f>
        <v>42120</v>
      </c>
      <c r="AN11" s="111">
        <f>(($D$11*52)/$E$32*$E$30*$E$34)*$E$35</f>
        <v>42120</v>
      </c>
    </row>
    <row r="12" spans="3:40" ht="13.5" thickBot="1">
      <c r="C12" s="25"/>
      <c r="D12" s="66"/>
      <c r="E12" s="67"/>
      <c r="F12" s="67"/>
      <c r="G12" s="66"/>
      <c r="I12" s="62">
        <v>4</v>
      </c>
      <c r="J12" s="52">
        <f t="shared" si="3"/>
        <v>65946.1472631</v>
      </c>
      <c r="K12" s="52"/>
      <c r="L12" s="55">
        <f t="shared" si="11"/>
        <v>1403487.6635520002</v>
      </c>
      <c r="M12" s="54">
        <f t="shared" si="0"/>
        <v>1469433.8108151</v>
      </c>
      <c r="N12" s="55">
        <f t="shared" si="4"/>
        <v>5325692.536745099</v>
      </c>
      <c r="O12" s="56"/>
      <c r="P12" s="56"/>
      <c r="Q12" s="62">
        <v>4</v>
      </c>
      <c r="R12" s="52">
        <f t="shared" si="5"/>
        <v>59504.89566996</v>
      </c>
      <c r="S12" s="52"/>
      <c r="T12" s="57">
        <f t="shared" si="12"/>
        <v>906419.1160440001</v>
      </c>
      <c r="U12" s="139">
        <f t="shared" si="1"/>
        <v>965924.0117139601</v>
      </c>
      <c r="V12" s="55">
        <f t="shared" si="6"/>
        <v>4633313.89334196</v>
      </c>
      <c r="W12" s="56"/>
      <c r="X12" s="56"/>
      <c r="Z12" s="62">
        <v>4</v>
      </c>
      <c r="AA12" s="63"/>
      <c r="AB12" s="52">
        <f t="shared" si="7"/>
        <v>6441.251593140005</v>
      </c>
      <c r="AC12" s="57">
        <f t="shared" si="8"/>
        <v>497068.54750800005</v>
      </c>
      <c r="AD12" s="59">
        <f t="shared" si="2"/>
        <v>503509.79910114006</v>
      </c>
      <c r="AE12" s="54">
        <f t="shared" si="9"/>
        <v>343903.96769424214</v>
      </c>
      <c r="AF12" s="55">
        <f t="shared" si="10"/>
        <v>302057.8189053614</v>
      </c>
      <c r="AJ12" s="187" t="s">
        <v>22</v>
      </c>
      <c r="AK12" s="188"/>
      <c r="AL12" s="189"/>
      <c r="AM12" s="114">
        <f>(($D$11*52)/$D$32*$D$30*$D$34)*($D$17*$D$20/60)</f>
        <v>8190</v>
      </c>
      <c r="AN12" s="115">
        <f>(($D$11*52)/$E$32*$E$30*$E$34)*($D$17*$D$20/60)</f>
        <v>3276</v>
      </c>
    </row>
    <row r="13" spans="3:36" ht="12.75" thickBot="1">
      <c r="C13" s="25"/>
      <c r="D13" s="66"/>
      <c r="E13" s="66"/>
      <c r="F13" s="66"/>
      <c r="G13" s="66"/>
      <c r="I13" s="62">
        <v>5</v>
      </c>
      <c r="J13" s="52">
        <f t="shared" si="3"/>
        <v>70562.377571517</v>
      </c>
      <c r="K13" s="52"/>
      <c r="L13" s="55">
        <f t="shared" si="11"/>
        <v>1501731.8000006403</v>
      </c>
      <c r="M13" s="54">
        <f t="shared" si="0"/>
        <v>1572294.1775721572</v>
      </c>
      <c r="N13" s="55">
        <f t="shared" si="4"/>
        <v>6897986.714317257</v>
      </c>
      <c r="O13" s="56"/>
      <c r="P13" s="56"/>
      <c r="Q13" s="62">
        <v>5</v>
      </c>
      <c r="R13" s="52">
        <f t="shared" si="5"/>
        <v>63670.23836685721</v>
      </c>
      <c r="S13" s="52"/>
      <c r="T13" s="57">
        <f t="shared" si="12"/>
        <v>969868.4541670802</v>
      </c>
      <c r="U13" s="139">
        <f t="shared" si="1"/>
        <v>1033538.6925339374</v>
      </c>
      <c r="V13" s="55">
        <f t="shared" si="6"/>
        <v>5666852.585875898</v>
      </c>
      <c r="W13" s="56"/>
      <c r="X13" s="56"/>
      <c r="Z13" s="62">
        <v>5</v>
      </c>
      <c r="AA13" s="63"/>
      <c r="AB13" s="52">
        <f t="shared" si="7"/>
        <v>6892.1392046597975</v>
      </c>
      <c r="AC13" s="57">
        <f t="shared" si="8"/>
        <v>531863.3458335601</v>
      </c>
      <c r="AD13" s="59">
        <f t="shared" si="2"/>
        <v>538755.48503822</v>
      </c>
      <c r="AE13" s="54">
        <f t="shared" si="9"/>
        <v>334524.7685753083</v>
      </c>
      <c r="AF13" s="55">
        <f t="shared" si="10"/>
        <v>636582.5874806697</v>
      </c>
      <c r="AJ13" s="20" t="s">
        <v>59</v>
      </c>
    </row>
    <row r="14" spans="1:36" ht="12.75" thickBot="1">
      <c r="A14" s="154" t="s">
        <v>78</v>
      </c>
      <c r="C14" s="48" t="s">
        <v>14</v>
      </c>
      <c r="D14" s="68"/>
      <c r="E14" s="69"/>
      <c r="I14" s="62">
        <v>6</v>
      </c>
      <c r="J14" s="52">
        <f t="shared" si="3"/>
        <v>75501.7440015232</v>
      </c>
      <c r="K14" s="70"/>
      <c r="L14" s="55">
        <f t="shared" si="11"/>
        <v>1606853.0260006853</v>
      </c>
      <c r="M14" s="54">
        <f t="shared" si="0"/>
        <v>1682354.7700022084</v>
      </c>
      <c r="N14" s="55">
        <f t="shared" si="4"/>
        <v>8580341.484319465</v>
      </c>
      <c r="O14" s="56"/>
      <c r="P14" s="56"/>
      <c r="Q14" s="62">
        <v>6</v>
      </c>
      <c r="R14" s="52">
        <f t="shared" si="5"/>
        <v>68127.1550525372</v>
      </c>
      <c r="S14" s="70"/>
      <c r="T14" s="57">
        <f t="shared" si="12"/>
        <v>1037759.2459587759</v>
      </c>
      <c r="U14" s="139">
        <f t="shared" si="1"/>
        <v>1105886.401011313</v>
      </c>
      <c r="V14" s="55">
        <f t="shared" si="6"/>
        <v>6772738.986887211</v>
      </c>
      <c r="W14" s="56"/>
      <c r="X14" s="56"/>
      <c r="Z14" s="62">
        <v>6</v>
      </c>
      <c r="AA14" s="63"/>
      <c r="AB14" s="52">
        <f t="shared" si="7"/>
        <v>7374.588948985998</v>
      </c>
      <c r="AC14" s="57">
        <f t="shared" si="8"/>
        <v>569093.7800419094</v>
      </c>
      <c r="AD14" s="59">
        <f t="shared" si="2"/>
        <v>576468.3689908955</v>
      </c>
      <c r="AE14" s="54">
        <f t="shared" si="9"/>
        <v>325401.3657959817</v>
      </c>
      <c r="AF14" s="55">
        <f t="shared" si="10"/>
        <v>961983.9532766514</v>
      </c>
      <c r="AJ14" s="20" t="s">
        <v>11</v>
      </c>
    </row>
    <row r="15" spans="2:39" ht="12.75" thickBot="1">
      <c r="B15" s="71"/>
      <c r="C15" s="159" t="s">
        <v>111</v>
      </c>
      <c r="D15" s="180" t="s">
        <v>113</v>
      </c>
      <c r="E15" s="181"/>
      <c r="I15" s="62">
        <v>7</v>
      </c>
      <c r="J15" s="52">
        <f t="shared" si="3"/>
        <v>80786.86608162982</v>
      </c>
      <c r="K15" s="70"/>
      <c r="L15" s="55">
        <f t="shared" si="11"/>
        <v>1719332.7378207333</v>
      </c>
      <c r="M15" s="54">
        <f t="shared" si="0"/>
        <v>1800119.6039023632</v>
      </c>
      <c r="N15" s="55">
        <f t="shared" si="4"/>
        <v>10380461.08822183</v>
      </c>
      <c r="O15" s="56"/>
      <c r="P15" s="56"/>
      <c r="Q15" s="62">
        <v>7</v>
      </c>
      <c r="R15" s="52">
        <f t="shared" si="5"/>
        <v>72896.05590621481</v>
      </c>
      <c r="S15" s="70"/>
      <c r="T15" s="57">
        <f t="shared" si="12"/>
        <v>1110402.3931758902</v>
      </c>
      <c r="U15" s="139">
        <f t="shared" si="1"/>
        <v>1183298.449082105</v>
      </c>
      <c r="V15" s="55">
        <f t="shared" si="6"/>
        <v>7956037.4359693155</v>
      </c>
      <c r="W15" s="56"/>
      <c r="X15" s="56"/>
      <c r="Z15" s="62">
        <v>7</v>
      </c>
      <c r="AA15" s="63"/>
      <c r="AB15" s="52">
        <f>(J15+K15)-(R15+S15)</f>
        <v>7890.810175415012</v>
      </c>
      <c r="AC15" s="57">
        <f t="shared" si="8"/>
        <v>608930.3446448431</v>
      </c>
      <c r="AD15" s="59">
        <f t="shared" si="2"/>
        <v>616821.1548202581</v>
      </c>
      <c r="AE15" s="54">
        <f t="shared" si="9"/>
        <v>316526.7830924549</v>
      </c>
      <c r="AF15" s="55">
        <f t="shared" si="10"/>
        <v>1278510.7363691065</v>
      </c>
      <c r="AJ15" s="116" t="str">
        <f>"Upgrade Cost ("&amp;D15&amp;")"</f>
        <v>Upgrade Cost (Dollar)</v>
      </c>
      <c r="AK15" s="117"/>
      <c r="AL15" s="117"/>
      <c r="AM15" s="95">
        <f>($R$8+$S$8)-($J$8+$K$8)</f>
        <v>1132500</v>
      </c>
    </row>
    <row r="16" spans="3:32" ht="12.75" thickBot="1">
      <c r="C16" s="72" t="str">
        <f>"Energy Rate ("&amp;D15&amp;"/kWh)"</f>
        <v>Energy Rate (Dollar/kWh)</v>
      </c>
      <c r="D16" s="180">
        <v>4.25</v>
      </c>
      <c r="E16" s="181"/>
      <c r="I16" s="62">
        <v>8</v>
      </c>
      <c r="J16" s="52">
        <f t="shared" si="3"/>
        <v>86441.9467073439</v>
      </c>
      <c r="K16" s="70"/>
      <c r="L16" s="55">
        <f t="shared" si="11"/>
        <v>1839686.0294681848</v>
      </c>
      <c r="M16" s="54">
        <f t="shared" si="0"/>
        <v>1926127.9761755287</v>
      </c>
      <c r="N16" s="55">
        <f t="shared" si="4"/>
        <v>12306589.064397357</v>
      </c>
      <c r="O16" s="56"/>
      <c r="P16" s="56"/>
      <c r="Q16" s="62">
        <v>8</v>
      </c>
      <c r="R16" s="52">
        <f t="shared" si="5"/>
        <v>77998.77981964985</v>
      </c>
      <c r="S16" s="70"/>
      <c r="T16" s="57">
        <f t="shared" si="12"/>
        <v>1188130.5606982026</v>
      </c>
      <c r="U16" s="139">
        <f t="shared" si="1"/>
        <v>1266129.3405178525</v>
      </c>
      <c r="V16" s="55">
        <f t="shared" si="6"/>
        <v>9222166.776487168</v>
      </c>
      <c r="W16" s="56"/>
      <c r="X16" s="56"/>
      <c r="Z16" s="62">
        <v>8</v>
      </c>
      <c r="AA16" s="63"/>
      <c r="AB16" s="52">
        <f t="shared" si="7"/>
        <v>8443.166887694053</v>
      </c>
      <c r="AC16" s="57">
        <f t="shared" si="8"/>
        <v>651555.4687699822</v>
      </c>
      <c r="AD16" s="59">
        <f t="shared" si="2"/>
        <v>659998.6356576763</v>
      </c>
      <c r="AE16" s="54">
        <f t="shared" si="9"/>
        <v>307894.23446266074</v>
      </c>
      <c r="AF16" s="55">
        <f t="shared" si="10"/>
        <v>1586404.9708317672</v>
      </c>
    </row>
    <row r="17" spans="3:43" ht="12">
      <c r="C17" s="60" t="str">
        <f>"Labor Rate ("&amp;D15&amp;"/hr)"</f>
        <v>Labor Rate (Dollar/hr)</v>
      </c>
      <c r="D17" s="190">
        <v>70</v>
      </c>
      <c r="E17" s="191"/>
      <c r="I17" s="62">
        <v>9</v>
      </c>
      <c r="J17" s="52">
        <f t="shared" si="3"/>
        <v>92492.88297685799</v>
      </c>
      <c r="K17" s="70"/>
      <c r="L17" s="55">
        <f t="shared" si="11"/>
        <v>1968464.051530958</v>
      </c>
      <c r="M17" s="54">
        <f t="shared" si="0"/>
        <v>2060956.9345078159</v>
      </c>
      <c r="N17" s="55">
        <f t="shared" si="4"/>
        <v>14367545.998905173</v>
      </c>
      <c r="O17" s="56"/>
      <c r="P17" s="56"/>
      <c r="Q17" s="62">
        <v>9</v>
      </c>
      <c r="R17" s="52">
        <f t="shared" si="5"/>
        <v>83458.69440702535</v>
      </c>
      <c r="S17" s="70"/>
      <c r="T17" s="57">
        <f t="shared" si="12"/>
        <v>1271299.6999470768</v>
      </c>
      <c r="U17" s="139">
        <f t="shared" si="1"/>
        <v>1354758.3943541022</v>
      </c>
      <c r="V17" s="55">
        <f t="shared" si="6"/>
        <v>10576925.17084127</v>
      </c>
      <c r="W17" s="56"/>
      <c r="X17" s="56"/>
      <c r="Z17" s="62">
        <v>9</v>
      </c>
      <c r="AA17" s="63"/>
      <c r="AB17" s="52">
        <f t="shared" si="7"/>
        <v>9034.188569832637</v>
      </c>
      <c r="AC17" s="57">
        <f t="shared" si="8"/>
        <v>697164.3515838811</v>
      </c>
      <c r="AD17" s="59">
        <f t="shared" si="2"/>
        <v>706198.5401537137</v>
      </c>
      <c r="AE17" s="54">
        <f t="shared" si="9"/>
        <v>299497.11897731543</v>
      </c>
      <c r="AF17" s="55">
        <f t="shared" si="10"/>
        <v>1885902.0898090827</v>
      </c>
      <c r="AJ17" s="77" t="s">
        <v>41</v>
      </c>
      <c r="AK17" s="118"/>
      <c r="AL17" s="119"/>
      <c r="AM17" s="120"/>
      <c r="AN17" s="120"/>
      <c r="AO17" s="120"/>
      <c r="AP17" s="120"/>
      <c r="AQ17" s="121"/>
    </row>
    <row r="18" spans="3:43" ht="12">
      <c r="C18" s="60" t="s">
        <v>45</v>
      </c>
      <c r="D18" s="192">
        <v>0.07</v>
      </c>
      <c r="E18" s="193"/>
      <c r="I18" s="62">
        <v>10</v>
      </c>
      <c r="J18" s="52">
        <f t="shared" si="3"/>
        <v>98967.38478523804</v>
      </c>
      <c r="K18" s="70"/>
      <c r="L18" s="55">
        <f t="shared" si="11"/>
        <v>2106256.535138125</v>
      </c>
      <c r="M18" s="54">
        <f t="shared" si="0"/>
        <v>2205223.9199233633</v>
      </c>
      <c r="N18" s="55">
        <f t="shared" si="4"/>
        <v>16572769.918828536</v>
      </c>
      <c r="O18" s="56"/>
      <c r="P18" s="56"/>
      <c r="Q18" s="62">
        <v>10</v>
      </c>
      <c r="R18" s="52">
        <f t="shared" si="5"/>
        <v>89300.80301551711</v>
      </c>
      <c r="S18" s="70"/>
      <c r="T18" s="57">
        <f t="shared" si="12"/>
        <v>1360290.6789433723</v>
      </c>
      <c r="U18" s="139">
        <f t="shared" si="1"/>
        <v>1449591.4819588894</v>
      </c>
      <c r="V18" s="55">
        <f t="shared" si="6"/>
        <v>12026516.652800158</v>
      </c>
      <c r="W18" s="56"/>
      <c r="X18" s="56"/>
      <c r="Z18" s="62">
        <v>10</v>
      </c>
      <c r="AA18" s="63"/>
      <c r="AB18" s="52">
        <f t="shared" si="7"/>
        <v>9666.581769720928</v>
      </c>
      <c r="AC18" s="57">
        <f t="shared" si="8"/>
        <v>745965.8561947527</v>
      </c>
      <c r="AD18" s="59">
        <f t="shared" si="2"/>
        <v>755632.4379644736</v>
      </c>
      <c r="AE18" s="54">
        <f t="shared" si="9"/>
        <v>291329.0157324795</v>
      </c>
      <c r="AF18" s="55">
        <f t="shared" si="10"/>
        <v>2177231.105541562</v>
      </c>
      <c r="AJ18" s="108"/>
      <c r="AK18" s="122"/>
      <c r="AL18" s="63"/>
      <c r="AM18" s="81" t="s">
        <v>17</v>
      </c>
      <c r="AN18" s="81" t="s">
        <v>23</v>
      </c>
      <c r="AO18" s="81" t="s">
        <v>24</v>
      </c>
      <c r="AP18" s="81" t="s">
        <v>25</v>
      </c>
      <c r="AQ18" s="82" t="s">
        <v>26</v>
      </c>
    </row>
    <row r="19" spans="3:43" ht="12">
      <c r="C19" s="60" t="s">
        <v>48</v>
      </c>
      <c r="D19" s="192">
        <v>0.1</v>
      </c>
      <c r="E19" s="193"/>
      <c r="I19" s="62">
        <v>11</v>
      </c>
      <c r="J19" s="52">
        <f t="shared" si="3"/>
        <v>105895.10172020472</v>
      </c>
      <c r="K19" s="70"/>
      <c r="L19" s="55">
        <f t="shared" si="11"/>
        <v>2253694.492597794</v>
      </c>
      <c r="M19" s="54">
        <f t="shared" si="0"/>
        <v>2359589.5943179987</v>
      </c>
      <c r="N19" s="55">
        <f>M19+N18</f>
        <v>18932359.513146535</v>
      </c>
      <c r="O19" s="56"/>
      <c r="P19" s="56"/>
      <c r="Q19" s="62">
        <v>11</v>
      </c>
      <c r="R19" s="52">
        <f t="shared" si="5"/>
        <v>95551.85922660334</v>
      </c>
      <c r="S19" s="70"/>
      <c r="T19" s="57">
        <f t="shared" si="12"/>
        <v>1455511.0264694085</v>
      </c>
      <c r="U19" s="139">
        <f t="shared" si="1"/>
        <v>1551062.8856960118</v>
      </c>
      <c r="V19" s="55">
        <f>U19+V18</f>
        <v>13577579.53849617</v>
      </c>
      <c r="W19" s="56"/>
      <c r="X19" s="56"/>
      <c r="Z19" s="62">
        <v>11</v>
      </c>
      <c r="AA19" s="63"/>
      <c r="AB19" s="52">
        <f t="shared" si="7"/>
        <v>10343.242493601385</v>
      </c>
      <c r="AC19" s="57">
        <f t="shared" si="8"/>
        <v>798183.4661283856</v>
      </c>
      <c r="AD19" s="59">
        <f t="shared" si="2"/>
        <v>808526.708621987</v>
      </c>
      <c r="AE19" s="54">
        <f t="shared" si="9"/>
        <v>283383.6789397756</v>
      </c>
      <c r="AF19" s="55">
        <f>AE19+AF18</f>
        <v>2460614.7844813378</v>
      </c>
      <c r="AJ19" s="73" t="str">
        <f>"Typical System Life Cycle Cost ("&amp;D15&amp;")"</f>
        <v>Typical System Life Cycle Cost (Dollar)</v>
      </c>
      <c r="AK19" s="122"/>
      <c r="AL19" s="63"/>
      <c r="AM19" s="110">
        <f>$N$9</f>
        <v>1199495.7</v>
      </c>
      <c r="AN19" s="110">
        <f>$N$13</f>
        <v>6897986.714317257</v>
      </c>
      <c r="AO19" s="110">
        <f>$N$18</f>
        <v>16572769.918828536</v>
      </c>
      <c r="AP19" s="110">
        <f>$N$23</f>
        <v>31267684.00302597</v>
      </c>
      <c r="AQ19" s="111">
        <f>$N$28</f>
        <v>50299446.91526264</v>
      </c>
    </row>
    <row r="20" spans="1:43" ht="12">
      <c r="A20" s="155" t="s">
        <v>96</v>
      </c>
      <c r="C20" s="73" t="s">
        <v>92</v>
      </c>
      <c r="D20" s="190">
        <v>10</v>
      </c>
      <c r="E20" s="191"/>
      <c r="I20" s="62">
        <v>12</v>
      </c>
      <c r="J20" s="52">
        <f t="shared" si="3"/>
        <v>113307.75884061903</v>
      </c>
      <c r="K20" s="70"/>
      <c r="L20" s="55">
        <f t="shared" si="11"/>
        <v>2411453.10707964</v>
      </c>
      <c r="M20" s="54">
        <f t="shared" si="0"/>
        <v>2524760.865920259</v>
      </c>
      <c r="N20" s="55">
        <f t="shared" si="4"/>
        <v>21457120.379066795</v>
      </c>
      <c r="O20" s="56"/>
      <c r="P20" s="56"/>
      <c r="Q20" s="62">
        <v>12</v>
      </c>
      <c r="R20" s="52">
        <f t="shared" si="5"/>
        <v>102240.48937246554</v>
      </c>
      <c r="S20" s="70"/>
      <c r="T20" s="57">
        <f t="shared" si="12"/>
        <v>1557396.7983222671</v>
      </c>
      <c r="U20" s="139">
        <f t="shared" si="1"/>
        <v>1659637.2876947327</v>
      </c>
      <c r="V20" s="55">
        <f t="shared" si="6"/>
        <v>15237216.826190904</v>
      </c>
      <c r="W20" s="56"/>
      <c r="X20" s="56"/>
      <c r="Z20" s="62">
        <v>12</v>
      </c>
      <c r="AA20" s="63"/>
      <c r="AB20" s="52">
        <f t="shared" si="7"/>
        <v>11067.269468153492</v>
      </c>
      <c r="AC20" s="57">
        <f t="shared" si="8"/>
        <v>854056.3087573729</v>
      </c>
      <c r="AD20" s="59">
        <f t="shared" si="2"/>
        <v>865123.5782255264</v>
      </c>
      <c r="AE20" s="54">
        <f t="shared" si="9"/>
        <v>275655.03315050906</v>
      </c>
      <c r="AF20" s="55">
        <f t="shared" si="10"/>
        <v>2736269.8176318468</v>
      </c>
      <c r="AJ20" s="73" t="str">
        <f>"Upgrade System Life Cycle Cost ("&amp;D15&amp;")"</f>
        <v>Upgrade System Life Cycle Cost (Dollar)</v>
      </c>
      <c r="AK20" s="122"/>
      <c r="AL20" s="63"/>
      <c r="AM20" s="110">
        <f>$V$9</f>
        <v>1920981.72</v>
      </c>
      <c r="AN20" s="110">
        <f>$V$13</f>
        <v>5666852.585875898</v>
      </c>
      <c r="AO20" s="110">
        <f>$V$18</f>
        <v>12026516.652800158</v>
      </c>
      <c r="AP20" s="110">
        <f>$V$23</f>
        <v>20946274.496535383</v>
      </c>
      <c r="AQ20" s="111">
        <f>$V$28</f>
        <v>33456696.297691133</v>
      </c>
    </row>
    <row r="21" spans="3:43" ht="12.75" thickBot="1">
      <c r="C21" s="74" t="s">
        <v>93</v>
      </c>
      <c r="D21" s="163">
        <v>30</v>
      </c>
      <c r="E21" s="164"/>
      <c r="I21" s="62">
        <v>13</v>
      </c>
      <c r="J21" s="52">
        <f t="shared" si="3"/>
        <v>121239.30195946238</v>
      </c>
      <c r="K21" s="70"/>
      <c r="L21" s="55">
        <f t="shared" si="11"/>
        <v>2580254.824575215</v>
      </c>
      <c r="M21" s="54">
        <f t="shared" si="0"/>
        <v>2701494.1265346776</v>
      </c>
      <c r="N21" s="55">
        <f t="shared" si="4"/>
        <v>24158614.505601473</v>
      </c>
      <c r="O21" s="56"/>
      <c r="P21" s="56"/>
      <c r="Q21" s="62">
        <v>13</v>
      </c>
      <c r="R21" s="52">
        <f t="shared" si="5"/>
        <v>109397.32362853814</v>
      </c>
      <c r="S21" s="70"/>
      <c r="T21" s="57">
        <f t="shared" si="12"/>
        <v>1666414.574204826</v>
      </c>
      <c r="U21" s="139">
        <f t="shared" si="1"/>
        <v>1775811.897833364</v>
      </c>
      <c r="V21" s="55">
        <f t="shared" si="6"/>
        <v>17013028.724024266</v>
      </c>
      <c r="W21" s="56"/>
      <c r="X21" s="56"/>
      <c r="Z21" s="62">
        <v>13</v>
      </c>
      <c r="AA21" s="63"/>
      <c r="AB21" s="52">
        <f t="shared" si="7"/>
        <v>11841.978330924234</v>
      </c>
      <c r="AC21" s="57">
        <f t="shared" si="8"/>
        <v>913840.2503703891</v>
      </c>
      <c r="AD21" s="59">
        <f t="shared" si="2"/>
        <v>925682.2287013133</v>
      </c>
      <c r="AE21" s="54">
        <f t="shared" si="9"/>
        <v>268137.1686100407</v>
      </c>
      <c r="AF21" s="55">
        <f t="shared" si="10"/>
        <v>3004406.9862418873</v>
      </c>
      <c r="AJ21" s="130"/>
      <c r="AK21" s="131"/>
      <c r="AL21" s="132"/>
      <c r="AM21" s="133"/>
      <c r="AN21" s="133"/>
      <c r="AO21" s="133"/>
      <c r="AP21" s="133"/>
      <c r="AQ21" s="134"/>
    </row>
    <row r="22" spans="3:43" ht="12">
      <c r="C22" s="61"/>
      <c r="D22" s="75"/>
      <c r="E22" s="76"/>
      <c r="I22" s="62">
        <v>14</v>
      </c>
      <c r="J22" s="52">
        <f t="shared" si="3"/>
        <v>129726.05309662473</v>
      </c>
      <c r="K22" s="52">
        <f>FV($D$18,I22,0,-1*$D$34*$D$31*($D$36+$D$21/60*$D$17))</f>
        <v>1125530.1565628443</v>
      </c>
      <c r="L22" s="55">
        <f t="shared" si="11"/>
        <v>2760872.6622954803</v>
      </c>
      <c r="M22" s="54">
        <f t="shared" si="0"/>
        <v>4016128.8719549496</v>
      </c>
      <c r="N22" s="55">
        <f t="shared" si="4"/>
        <v>28174743.37755642</v>
      </c>
      <c r="O22" s="56"/>
      <c r="P22" s="56"/>
      <c r="Q22" s="62">
        <v>14</v>
      </c>
      <c r="R22" s="52">
        <f t="shared" si="5"/>
        <v>117055.13628253581</v>
      </c>
      <c r="S22" s="70"/>
      <c r="T22" s="57">
        <f t="shared" si="12"/>
        <v>1783063.594399164</v>
      </c>
      <c r="U22" s="139">
        <f t="shared" si="1"/>
        <v>1900118.7306816997</v>
      </c>
      <c r="V22" s="55">
        <f t="shared" si="6"/>
        <v>18913147.454705965</v>
      </c>
      <c r="W22" s="56"/>
      <c r="X22" s="56"/>
      <c r="Z22" s="62">
        <v>14</v>
      </c>
      <c r="AA22" s="63"/>
      <c r="AB22" s="52">
        <f>(J22+K22)-(R22+S22)</f>
        <v>1138201.0733769333</v>
      </c>
      <c r="AC22" s="57">
        <f t="shared" si="8"/>
        <v>977809.0678963163</v>
      </c>
      <c r="AD22" s="59">
        <f t="shared" si="2"/>
        <v>2116010.14127325</v>
      </c>
      <c r="AE22" s="54">
        <f t="shared" si="9"/>
        <v>557211.6046258699</v>
      </c>
      <c r="AF22" s="55">
        <f t="shared" si="10"/>
        <v>3561618.5908677573</v>
      </c>
      <c r="AJ22" s="73" t="s">
        <v>42</v>
      </c>
      <c r="AK22" s="122"/>
      <c r="AL22" s="63"/>
      <c r="AM22" s="110">
        <f>($AM$8-$AN$8)*1</f>
        <v>95472</v>
      </c>
      <c r="AN22" s="110">
        <f>($AM$8-$AN$8)*5</f>
        <v>477360</v>
      </c>
      <c r="AO22" s="110">
        <f>($AM$8-$AN$8)*10</f>
        <v>954720</v>
      </c>
      <c r="AP22" s="110">
        <f>($AM$8-$AN$8)*15</f>
        <v>1432080</v>
      </c>
      <c r="AQ22" s="111">
        <f>($AM$8-$AN$8)*20</f>
        <v>1909440</v>
      </c>
    </row>
    <row r="23" spans="3:43" ht="12.75" thickBot="1">
      <c r="C23" s="61"/>
      <c r="D23" s="75"/>
      <c r="E23" s="76"/>
      <c r="F23" s="80"/>
      <c r="G23" s="80"/>
      <c r="I23" s="62">
        <v>15</v>
      </c>
      <c r="J23" s="52">
        <f t="shared" si="3"/>
        <v>138806.8768133885</v>
      </c>
      <c r="K23" s="70"/>
      <c r="L23" s="55">
        <f t="shared" si="11"/>
        <v>2954133.748656164</v>
      </c>
      <c r="M23" s="54">
        <f t="shared" si="0"/>
        <v>3092940.6254695524</v>
      </c>
      <c r="N23" s="55">
        <f t="shared" si="4"/>
        <v>31267684.00302597</v>
      </c>
      <c r="O23" s="56"/>
      <c r="P23" s="56"/>
      <c r="Q23" s="62">
        <v>15</v>
      </c>
      <c r="R23" s="52">
        <f t="shared" si="5"/>
        <v>125248.99582231333</v>
      </c>
      <c r="S23" s="70"/>
      <c r="T23" s="57">
        <f t="shared" si="12"/>
        <v>1907878.0460071056</v>
      </c>
      <c r="U23" s="139">
        <f t="shared" si="1"/>
        <v>2033127.0418294189</v>
      </c>
      <c r="V23" s="55">
        <f t="shared" si="6"/>
        <v>20946274.496535383</v>
      </c>
      <c r="W23" s="56"/>
      <c r="X23" s="56"/>
      <c r="Z23" s="62">
        <v>15</v>
      </c>
      <c r="AA23" s="63"/>
      <c r="AB23" s="52">
        <f t="shared" si="7"/>
        <v>13557.880991075159</v>
      </c>
      <c r="AC23" s="57">
        <f t="shared" si="8"/>
        <v>1046255.7026490583</v>
      </c>
      <c r="AD23" s="59">
        <f t="shared" si="2"/>
        <v>1059813.5836401335</v>
      </c>
      <c r="AE23" s="54">
        <f t="shared" si="9"/>
        <v>253710.94573688883</v>
      </c>
      <c r="AF23" s="55">
        <f t="shared" si="10"/>
        <v>3815329.536604646</v>
      </c>
      <c r="AJ23" s="73" t="str">
        <f>"Energy Cost Savings ("&amp;D15&amp;")"</f>
        <v>Energy Cost Savings (Dollar)</v>
      </c>
      <c r="AK23" s="122"/>
      <c r="AL23" s="63"/>
      <c r="AM23" s="110">
        <f>AC9</f>
        <v>405756</v>
      </c>
      <c r="AN23" s="110">
        <f>SUM(AC9:AC13)</f>
        <v>2333396.85774156</v>
      </c>
      <c r="AO23" s="110">
        <f>SUM(AC9:AC18)</f>
        <v>5606106.658976929</v>
      </c>
      <c r="AP23" s="110">
        <f>SUM(AC9:AC23)</f>
        <v>10196251.454778451</v>
      </c>
      <c r="AQ23" s="111">
        <f>SUM(AC9:AC28)</f>
        <v>16634166.982293475</v>
      </c>
    </row>
    <row r="24" spans="3:43" ht="12">
      <c r="C24" s="77" t="s">
        <v>68</v>
      </c>
      <c r="D24" s="78"/>
      <c r="E24" s="79"/>
      <c r="F24" s="83"/>
      <c r="G24" s="83"/>
      <c r="I24" s="62">
        <v>16</v>
      </c>
      <c r="J24" s="52">
        <f t="shared" si="3"/>
        <v>148523.35819032564</v>
      </c>
      <c r="K24" s="70"/>
      <c r="L24" s="55">
        <f t="shared" si="11"/>
        <v>3160923.1110620955</v>
      </c>
      <c r="M24" s="54">
        <f t="shared" si="0"/>
        <v>3309446.469252421</v>
      </c>
      <c r="N24" s="55">
        <f>M24+N23</f>
        <v>34577130.472278394</v>
      </c>
      <c r="O24" s="56"/>
      <c r="P24" s="56"/>
      <c r="Q24" s="62">
        <v>16</v>
      </c>
      <c r="R24" s="52">
        <f t="shared" si="5"/>
        <v>134016.42552987524</v>
      </c>
      <c r="S24" s="70"/>
      <c r="T24" s="57">
        <f t="shared" si="12"/>
        <v>2041429.5092276032</v>
      </c>
      <c r="U24" s="139">
        <f t="shared" si="1"/>
        <v>2175445.9347574785</v>
      </c>
      <c r="V24" s="55">
        <f>U24+V23</f>
        <v>23121720.43129286</v>
      </c>
      <c r="W24" s="56"/>
      <c r="X24" s="56"/>
      <c r="Z24" s="62">
        <v>16</v>
      </c>
      <c r="AA24" s="63"/>
      <c r="AB24" s="52">
        <f t="shared" si="7"/>
        <v>14506.932660450402</v>
      </c>
      <c r="AC24" s="57">
        <f t="shared" si="8"/>
        <v>1119493.6018344923</v>
      </c>
      <c r="AD24" s="59">
        <f t="shared" si="2"/>
        <v>1134000.5344949428</v>
      </c>
      <c r="AE24" s="54">
        <f t="shared" si="9"/>
        <v>246791.55630770093</v>
      </c>
      <c r="AF24" s="55">
        <f>AE24+AF23</f>
        <v>4062121.092912347</v>
      </c>
      <c r="AJ24" s="73" t="str">
        <f>"Maintenance Savings ("&amp;D15&amp;")"</f>
        <v>Maintenance Savings (Dollar)</v>
      </c>
      <c r="AK24" s="122"/>
      <c r="AL24" s="63"/>
      <c r="AM24" s="110">
        <f>AB9</f>
        <v>5257.980000000003</v>
      </c>
      <c r="AN24" s="110">
        <f>SUM(AB9:AB13)</f>
        <v>30237.270699799803</v>
      </c>
      <c r="AO24" s="110">
        <f>SUM(AB9:AB18)</f>
        <v>72646.60705144843</v>
      </c>
      <c r="AP24" s="110">
        <f>SUM(AB9:AB23)</f>
        <v>1257658.051712136</v>
      </c>
      <c r="AQ24" s="111">
        <f>SUM(AB9:AB28)</f>
        <v>1341083.6352780312</v>
      </c>
    </row>
    <row r="25" spans="3:43" ht="12">
      <c r="C25" s="62"/>
      <c r="D25" s="81" t="s">
        <v>73</v>
      </c>
      <c r="E25" s="82" t="s">
        <v>43</v>
      </c>
      <c r="F25" s="25"/>
      <c r="G25" s="25"/>
      <c r="I25" s="62">
        <v>17</v>
      </c>
      <c r="J25" s="52">
        <f t="shared" si="3"/>
        <v>158919.99326364844</v>
      </c>
      <c r="K25" s="70"/>
      <c r="L25" s="55">
        <f t="shared" si="11"/>
        <v>3382187.7288364423</v>
      </c>
      <c r="M25" s="54">
        <f t="shared" si="0"/>
        <v>3541107.7221000907</v>
      </c>
      <c r="N25" s="55">
        <f t="shared" si="4"/>
        <v>38118238.19437849</v>
      </c>
      <c r="O25" s="56"/>
      <c r="P25" s="56"/>
      <c r="Q25" s="62">
        <v>17</v>
      </c>
      <c r="R25" s="52">
        <f t="shared" si="5"/>
        <v>143397.5753169665</v>
      </c>
      <c r="S25" s="70"/>
      <c r="T25" s="57">
        <f t="shared" si="12"/>
        <v>2184329.5748735354</v>
      </c>
      <c r="U25" s="139">
        <f t="shared" si="1"/>
        <v>2327727.150190502</v>
      </c>
      <c r="V25" s="55">
        <f t="shared" si="6"/>
        <v>25449447.581483364</v>
      </c>
      <c r="W25" s="56"/>
      <c r="X25" s="56"/>
      <c r="Z25" s="62">
        <v>17</v>
      </c>
      <c r="AA25" s="63"/>
      <c r="AB25" s="52">
        <f t="shared" si="7"/>
        <v>15522.417946681933</v>
      </c>
      <c r="AC25" s="57">
        <f t="shared" si="8"/>
        <v>1197858.153962907</v>
      </c>
      <c r="AD25" s="59">
        <f t="shared" si="2"/>
        <v>1213380.5719095888</v>
      </c>
      <c r="AE25" s="54">
        <f t="shared" si="9"/>
        <v>240060.87749930908</v>
      </c>
      <c r="AF25" s="55">
        <f t="shared" si="10"/>
        <v>4302181.970411656</v>
      </c>
      <c r="AJ25" s="73" t="str">
        <f>"NPV of Upgrade Savings ("&amp;D15&amp;")**"</f>
        <v>NPV of Upgrade Savings (Dollar)**</v>
      </c>
      <c r="AK25" s="122"/>
      <c r="AL25" s="63"/>
      <c r="AM25" s="110">
        <f>$AF$9</f>
        <v>-758850.9272727272</v>
      </c>
      <c r="AN25" s="110">
        <f>$AF$13</f>
        <v>636582.5874806697</v>
      </c>
      <c r="AO25" s="110">
        <f>$AF$18</f>
        <v>2177231.105541562</v>
      </c>
      <c r="AP25" s="110">
        <f>$AF$23</f>
        <v>3815329.536604646</v>
      </c>
      <c r="AQ25" s="111">
        <f>$AF$28</f>
        <v>4983791.274819317</v>
      </c>
    </row>
    <row r="26" spans="3:43" ht="12">
      <c r="C26" s="62" t="s">
        <v>0</v>
      </c>
      <c r="D26" s="5" t="s">
        <v>66</v>
      </c>
      <c r="E26" s="6" t="s">
        <v>66</v>
      </c>
      <c r="F26" s="25"/>
      <c r="G26" s="25"/>
      <c r="I26" s="62">
        <v>18</v>
      </c>
      <c r="J26" s="52">
        <f t="shared" si="3"/>
        <v>170044.39279210384</v>
      </c>
      <c r="K26" s="70"/>
      <c r="L26" s="55">
        <f t="shared" si="11"/>
        <v>3618940.8698549937</v>
      </c>
      <c r="M26" s="54">
        <f t="shared" si="0"/>
        <v>3788985.2626470975</v>
      </c>
      <c r="N26" s="55">
        <f t="shared" si="4"/>
        <v>41907223.45702559</v>
      </c>
      <c r="O26" s="56"/>
      <c r="P26" s="56"/>
      <c r="Q26" s="62">
        <v>18</v>
      </c>
      <c r="R26" s="52">
        <f t="shared" si="5"/>
        <v>153435.40558915416</v>
      </c>
      <c r="S26" s="70"/>
      <c r="T26" s="57">
        <f t="shared" si="12"/>
        <v>2337232.645114683</v>
      </c>
      <c r="U26" s="139">
        <f t="shared" si="1"/>
        <v>2490668.050703837</v>
      </c>
      <c r="V26" s="55">
        <f t="shared" si="6"/>
        <v>27940115.632187203</v>
      </c>
      <c r="W26" s="56"/>
      <c r="X26" s="56"/>
      <c r="Z26" s="62">
        <v>18</v>
      </c>
      <c r="AA26" s="63"/>
      <c r="AB26" s="52">
        <f t="shared" si="7"/>
        <v>16608.987202949676</v>
      </c>
      <c r="AC26" s="57">
        <f t="shared" si="8"/>
        <v>1281708.2247403106</v>
      </c>
      <c r="AD26" s="59">
        <f t="shared" si="2"/>
        <v>1298317.2119432602</v>
      </c>
      <c r="AE26" s="54">
        <f t="shared" si="9"/>
        <v>233513.76265841885</v>
      </c>
      <c r="AF26" s="55">
        <f t="shared" si="10"/>
        <v>4535695.7330700755</v>
      </c>
      <c r="AJ26" s="73" t="s">
        <v>28</v>
      </c>
      <c r="AK26" s="122"/>
      <c r="AL26" s="63"/>
      <c r="AM26" s="145" t="s">
        <v>54</v>
      </c>
      <c r="AN26" s="145">
        <f>IRR($AD$8:$AD$13)</f>
        <v>0.2909685493973997</v>
      </c>
      <c r="AO26" s="145">
        <f>IRR($AD$8:$AD$18)</f>
        <v>0.40992850717266716</v>
      </c>
      <c r="AP26" s="145">
        <f>IRR($AD$8:$AD$23)</f>
        <v>0.43065715972643537</v>
      </c>
      <c r="AQ26" s="146">
        <f>IRR($AD$8:$AD$28)</f>
        <v>0.4342137633872474</v>
      </c>
    </row>
    <row r="27" spans="3:43" ht="12.75" thickBot="1">
      <c r="C27" s="62" t="s">
        <v>1</v>
      </c>
      <c r="D27" s="5" t="s">
        <v>7</v>
      </c>
      <c r="E27" s="6" t="s">
        <v>6</v>
      </c>
      <c r="F27" s="25"/>
      <c r="G27" s="25"/>
      <c r="I27" s="62">
        <v>19</v>
      </c>
      <c r="J27" s="52">
        <f t="shared" si="3"/>
        <v>181947.5002875511</v>
      </c>
      <c r="K27" s="70"/>
      <c r="L27" s="55">
        <f t="shared" si="11"/>
        <v>3872266.7307448434</v>
      </c>
      <c r="M27" s="54">
        <f t="shared" si="0"/>
        <v>4054214.2310323943</v>
      </c>
      <c r="N27" s="55">
        <f t="shared" si="4"/>
        <v>45961437.68805798</v>
      </c>
      <c r="O27" s="56"/>
      <c r="P27" s="56"/>
      <c r="Q27" s="62">
        <v>19</v>
      </c>
      <c r="R27" s="52">
        <f t="shared" si="5"/>
        <v>164175.88398039498</v>
      </c>
      <c r="S27" s="70"/>
      <c r="T27" s="57">
        <f t="shared" si="12"/>
        <v>2500838.930272711</v>
      </c>
      <c r="U27" s="139">
        <f t="shared" si="1"/>
        <v>2665014.814253106</v>
      </c>
      <c r="V27" s="55">
        <f t="shared" si="6"/>
        <v>30605130.44644031</v>
      </c>
      <c r="W27" s="56"/>
      <c r="X27" s="56"/>
      <c r="Z27" s="62">
        <v>19</v>
      </c>
      <c r="AA27" s="63"/>
      <c r="AB27" s="52">
        <f t="shared" si="7"/>
        <v>17771.61630715613</v>
      </c>
      <c r="AC27" s="57">
        <f t="shared" si="8"/>
        <v>1371427.8004721324</v>
      </c>
      <c r="AD27" s="59">
        <f t="shared" si="2"/>
        <v>1389199.4167792886</v>
      </c>
      <c r="AE27" s="54">
        <f t="shared" si="9"/>
        <v>227145.2054950074</v>
      </c>
      <c r="AF27" s="55">
        <f t="shared" si="10"/>
        <v>4762840.938565083</v>
      </c>
      <c r="AJ27" s="74" t="s">
        <v>29</v>
      </c>
      <c r="AK27" s="123"/>
      <c r="AL27" s="124"/>
      <c r="AM27" s="125">
        <f>-1*(AA8/AC9)</f>
        <v>2.791086268594919</v>
      </c>
      <c r="AN27" s="125">
        <f>AM27</f>
        <v>2.791086268594919</v>
      </c>
      <c r="AO27" s="125">
        <f>AN27</f>
        <v>2.791086268594919</v>
      </c>
      <c r="AP27" s="125">
        <f>AO27</f>
        <v>2.791086268594919</v>
      </c>
      <c r="AQ27" s="126">
        <f>AP27</f>
        <v>2.791086268594919</v>
      </c>
    </row>
    <row r="28" spans="3:36" ht="12.75" thickBot="1">
      <c r="C28" s="62" t="s">
        <v>2</v>
      </c>
      <c r="D28" s="5" t="s">
        <v>51</v>
      </c>
      <c r="E28" s="6" t="s">
        <v>8</v>
      </c>
      <c r="F28" s="25"/>
      <c r="G28" s="25"/>
      <c r="I28" s="84">
        <v>20</v>
      </c>
      <c r="J28" s="85">
        <f t="shared" si="3"/>
        <v>194683.82530767968</v>
      </c>
      <c r="K28" s="86"/>
      <c r="L28" s="87">
        <f t="shared" si="11"/>
        <v>4143325.4018969825</v>
      </c>
      <c r="M28" s="88">
        <f t="shared" si="0"/>
        <v>4338009.227204662</v>
      </c>
      <c r="N28" s="55">
        <f t="shared" si="4"/>
        <v>50299446.91526264</v>
      </c>
      <c r="O28" s="56"/>
      <c r="P28" s="56"/>
      <c r="Q28" s="84">
        <v>20</v>
      </c>
      <c r="R28" s="85">
        <f t="shared" si="5"/>
        <v>175668.1958590226</v>
      </c>
      <c r="S28" s="86"/>
      <c r="T28" s="90">
        <f t="shared" si="12"/>
        <v>2675897.6553918007</v>
      </c>
      <c r="U28" s="140">
        <f t="shared" si="1"/>
        <v>2851565.851250823</v>
      </c>
      <c r="V28" s="87">
        <f t="shared" si="6"/>
        <v>33456696.297691133</v>
      </c>
      <c r="W28" s="56"/>
      <c r="X28" s="56"/>
      <c r="Z28" s="84">
        <v>20</v>
      </c>
      <c r="AA28" s="89"/>
      <c r="AB28" s="85">
        <f t="shared" si="7"/>
        <v>19015.62944865707</v>
      </c>
      <c r="AC28" s="90">
        <f t="shared" si="8"/>
        <v>1467427.7465051818</v>
      </c>
      <c r="AD28" s="91">
        <f t="shared" si="2"/>
        <v>1486443.375953839</v>
      </c>
      <c r="AE28" s="88">
        <f t="shared" si="9"/>
        <v>220950.3362542345</v>
      </c>
      <c r="AF28" s="87">
        <f t="shared" si="10"/>
        <v>4983791.274819317</v>
      </c>
      <c r="AJ28" s="20" t="s">
        <v>50</v>
      </c>
    </row>
    <row r="29" spans="3:36" ht="13.5" thickBot="1" thickTop="1">
      <c r="C29" s="62" t="s">
        <v>3</v>
      </c>
      <c r="D29" s="5">
        <v>40</v>
      </c>
      <c r="E29" s="6">
        <v>32</v>
      </c>
      <c r="F29" s="25"/>
      <c r="G29" s="92"/>
      <c r="I29" s="93" t="s">
        <v>31</v>
      </c>
      <c r="J29" s="94">
        <f>SUM(J8:J28)</f>
        <v>2206857.043988818</v>
      </c>
      <c r="K29" s="94">
        <f>SUM(K8:K28)</f>
        <v>1125530.1565628443</v>
      </c>
      <c r="L29" s="95">
        <f>SUM(L8:L28)</f>
        <v>46967059.71471098</v>
      </c>
      <c r="M29" s="96">
        <f>SUM(M8:M28)</f>
        <v>50299446.91526264</v>
      </c>
      <c r="N29" s="129"/>
      <c r="O29" s="56"/>
      <c r="P29" s="56"/>
      <c r="Q29" s="93" t="s">
        <v>31</v>
      </c>
      <c r="R29" s="94">
        <f>SUM(R8:R28)</f>
        <v>2282303.565273631</v>
      </c>
      <c r="S29" s="94">
        <f>SUM(S8:S28)</f>
        <v>841500</v>
      </c>
      <c r="T29" s="98">
        <f>SUM(T8:T28)</f>
        <v>30332892.732417505</v>
      </c>
      <c r="U29" s="141">
        <f>SUM(U8:U28)</f>
        <v>33456696.297691133</v>
      </c>
      <c r="V29" s="142"/>
      <c r="W29" s="56"/>
      <c r="X29" s="25"/>
      <c r="Z29" s="93" t="s">
        <v>31</v>
      </c>
      <c r="AA29" s="97"/>
      <c r="AB29" s="94">
        <f>SUM(AB8:AB28)</f>
        <v>1341083.6352780312</v>
      </c>
      <c r="AC29" s="98">
        <f>SUM(AC8:AC28)</f>
        <v>16634166.982293475</v>
      </c>
      <c r="AD29" s="99">
        <f>SUM(AD8:AD28)</f>
        <v>16842750.617571503</v>
      </c>
      <c r="AE29" s="100">
        <f>SUM(AE8:AE28)</f>
        <v>4983791.274819317</v>
      </c>
      <c r="AF29" s="135"/>
      <c r="AJ29" s="20" t="s">
        <v>55</v>
      </c>
    </row>
    <row r="30" spans="3:22" ht="12">
      <c r="C30" s="62" t="s">
        <v>16</v>
      </c>
      <c r="D30" s="5">
        <v>2</v>
      </c>
      <c r="E30" s="6">
        <v>2</v>
      </c>
      <c r="F30" s="25"/>
      <c r="G30" s="92"/>
      <c r="I30" s="20" t="s">
        <v>57</v>
      </c>
      <c r="J30" s="56"/>
      <c r="K30" s="56"/>
      <c r="L30" s="56"/>
      <c r="M30" s="56"/>
      <c r="N30" s="56"/>
      <c r="Q30" s="20" t="s">
        <v>57</v>
      </c>
      <c r="R30" s="56"/>
      <c r="S30" s="56"/>
      <c r="T30" s="56"/>
      <c r="U30" s="56"/>
      <c r="V30" s="56"/>
    </row>
    <row r="31" spans="3:30" ht="12">
      <c r="C31" s="62" t="s">
        <v>15</v>
      </c>
      <c r="D31" s="5">
        <v>1</v>
      </c>
      <c r="E31" s="6">
        <v>1</v>
      </c>
      <c r="F31" s="25"/>
      <c r="G31" s="92"/>
      <c r="M31" s="101" t="s">
        <v>11</v>
      </c>
      <c r="Q31" s="102"/>
      <c r="R31" s="102"/>
      <c r="S31" s="102"/>
      <c r="T31" s="102"/>
      <c r="U31" s="101" t="s">
        <v>11</v>
      </c>
      <c r="V31" s="102"/>
      <c r="W31" s="101" t="s">
        <v>11</v>
      </c>
      <c r="AB31" s="101"/>
      <c r="AC31" s="184"/>
      <c r="AD31" s="185"/>
    </row>
    <row r="32" spans="3:24" ht="12">
      <c r="C32" s="62" t="s">
        <v>5</v>
      </c>
      <c r="D32" s="7">
        <v>8000</v>
      </c>
      <c r="E32" s="8">
        <v>20000</v>
      </c>
      <c r="F32" s="25"/>
      <c r="G32" s="92"/>
      <c r="I32" s="20" t="s">
        <v>35</v>
      </c>
      <c r="Q32" s="25" t="s">
        <v>35</v>
      </c>
      <c r="R32" s="25"/>
      <c r="S32" s="25"/>
      <c r="T32" s="25"/>
      <c r="U32" s="25"/>
      <c r="V32" s="25"/>
      <c r="W32" s="25"/>
      <c r="X32" s="25"/>
    </row>
    <row r="33" spans="3:22" ht="12.75" customHeight="1">
      <c r="C33" s="62" t="s">
        <v>4</v>
      </c>
      <c r="D33" s="5">
        <v>96</v>
      </c>
      <c r="E33" s="6">
        <v>62</v>
      </c>
      <c r="F33" s="25"/>
      <c r="G33" s="92"/>
      <c r="I33" s="186" t="s">
        <v>56</v>
      </c>
      <c r="J33" s="186"/>
      <c r="K33" s="186"/>
      <c r="L33" s="186"/>
      <c r="M33" s="186"/>
      <c r="N33" s="186"/>
      <c r="O33" s="152"/>
      <c r="P33" s="103"/>
      <c r="Q33" s="186" t="str">
        <f>I33</f>
        <v>1)  Year 0 (Initial) costs represent the material and labor costs associated with the installation of the lighting system. These costs are not applicable for existing systems. </v>
      </c>
      <c r="R33" s="186"/>
      <c r="S33" s="186"/>
      <c r="T33" s="186"/>
      <c r="U33" s="186"/>
      <c r="V33" s="186"/>
    </row>
    <row r="34" spans="3:22" ht="12" customHeight="1">
      <c r="C34" s="84" t="s">
        <v>67</v>
      </c>
      <c r="D34" s="9">
        <v>900</v>
      </c>
      <c r="E34" s="10">
        <v>900</v>
      </c>
      <c r="G34" s="92"/>
      <c r="I34" s="186"/>
      <c r="J34" s="186"/>
      <c r="K34" s="186"/>
      <c r="L34" s="186"/>
      <c r="M34" s="186"/>
      <c r="N34" s="186"/>
      <c r="O34" s="152"/>
      <c r="P34" s="103"/>
      <c r="Q34" s="186"/>
      <c r="R34" s="186"/>
      <c r="S34" s="186"/>
      <c r="T34" s="186"/>
      <c r="U34" s="186"/>
      <c r="V34" s="186"/>
    </row>
    <row r="35" spans="3:22" ht="13.5" customHeight="1">
      <c r="C35" s="109" t="str">
        <f>"Lamp Cost ("&amp;D15&amp;")"</f>
        <v>Lamp Cost (Dollar)</v>
      </c>
      <c r="D35" s="5">
        <v>60</v>
      </c>
      <c r="E35" s="6">
        <v>150</v>
      </c>
      <c r="F35" s="25"/>
      <c r="G35" s="92"/>
      <c r="I35" s="194" t="s">
        <v>94</v>
      </c>
      <c r="J35" s="194"/>
      <c r="K35" s="194"/>
      <c r="L35" s="194"/>
      <c r="M35" s="194"/>
      <c r="N35" s="194"/>
      <c r="O35" s="153"/>
      <c r="P35" s="195"/>
      <c r="Q35" s="194" t="str">
        <f>I35</f>
        <v>2) For simplicity, it is assumed that the same number of lamps are replaced each year. This means lamp replacement cost are the same every year before adjustment for inflation.  In reality, lamp replacment and the associated costs will tend to be concentrated around the end of the rate life.</v>
      </c>
      <c r="R35" s="194"/>
      <c r="S35" s="194"/>
      <c r="T35" s="194"/>
      <c r="U35" s="194"/>
      <c r="V35" s="194"/>
    </row>
    <row r="36" spans="3:22" ht="12" customHeight="1" thickBot="1">
      <c r="C36" s="112" t="str">
        <f>"Ballast Cost ("&amp;D15&amp;")"</f>
        <v>Ballast Cost (Dollar)</v>
      </c>
      <c r="D36" s="11">
        <v>450</v>
      </c>
      <c r="E36" s="12">
        <v>900</v>
      </c>
      <c r="F36" s="80"/>
      <c r="G36" s="92"/>
      <c r="I36" s="194"/>
      <c r="J36" s="194"/>
      <c r="K36" s="194"/>
      <c r="L36" s="194"/>
      <c r="M36" s="194"/>
      <c r="N36" s="194"/>
      <c r="O36" s="153"/>
      <c r="P36" s="162"/>
      <c r="Q36" s="194"/>
      <c r="R36" s="194"/>
      <c r="S36" s="194"/>
      <c r="T36" s="194"/>
      <c r="U36" s="194"/>
      <c r="V36" s="194"/>
    </row>
    <row r="37" spans="6:22" ht="12.75" customHeight="1">
      <c r="F37" s="113"/>
      <c r="G37" s="92"/>
      <c r="I37" s="194"/>
      <c r="J37" s="194"/>
      <c r="K37" s="194"/>
      <c r="L37" s="194"/>
      <c r="M37" s="194"/>
      <c r="N37" s="194"/>
      <c r="O37" s="156"/>
      <c r="P37" s="195"/>
      <c r="Q37" s="194"/>
      <c r="R37" s="194"/>
      <c r="S37" s="194"/>
      <c r="T37" s="194"/>
      <c r="U37" s="194"/>
      <c r="V37" s="194"/>
    </row>
    <row r="38" spans="3:22" ht="12" customHeight="1">
      <c r="C38" s="25"/>
      <c r="D38" s="25"/>
      <c r="E38" s="25"/>
      <c r="F38" s="113"/>
      <c r="G38" s="92"/>
      <c r="I38" s="194"/>
      <c r="J38" s="194"/>
      <c r="K38" s="194"/>
      <c r="L38" s="194"/>
      <c r="M38" s="194"/>
      <c r="N38" s="194"/>
      <c r="O38" s="4"/>
      <c r="P38" s="162"/>
      <c r="Q38" s="194"/>
      <c r="R38" s="194"/>
      <c r="S38" s="194"/>
      <c r="T38" s="194"/>
      <c r="U38" s="194"/>
      <c r="V38" s="194"/>
    </row>
    <row r="39" spans="6:22" ht="12" customHeight="1">
      <c r="F39" s="113"/>
      <c r="G39" s="92"/>
      <c r="I39" s="186" t="s">
        <v>95</v>
      </c>
      <c r="J39" s="186"/>
      <c r="K39" s="186"/>
      <c r="L39" s="186"/>
      <c r="M39" s="186"/>
      <c r="N39" s="186"/>
      <c r="O39" s="4"/>
      <c r="Q39" s="186" t="str">
        <f>I39</f>
        <v>3) Magnetic ballasts have a rated life of 14 years if installed properly (electronic ballasts have a rated life of 20+ years).  Therefore, replacement costs for magnetic ballasts are applied at year 14, and electronic ballasts replacement costs are not applicable. </v>
      </c>
      <c r="R39" s="186"/>
      <c r="S39" s="186"/>
      <c r="T39" s="186"/>
      <c r="U39" s="186"/>
      <c r="V39" s="186"/>
    </row>
    <row r="40" spans="6:22" ht="12" customHeight="1">
      <c r="F40" s="113"/>
      <c r="G40" s="113"/>
      <c r="I40" s="186"/>
      <c r="J40" s="186"/>
      <c r="K40" s="186"/>
      <c r="L40" s="186"/>
      <c r="M40" s="186"/>
      <c r="N40" s="186"/>
      <c r="O40" s="4"/>
      <c r="Q40" s="186"/>
      <c r="R40" s="186"/>
      <c r="S40" s="186"/>
      <c r="T40" s="186"/>
      <c r="U40" s="186"/>
      <c r="V40" s="186"/>
    </row>
    <row r="41" spans="9:22" ht="12">
      <c r="I41" s="186"/>
      <c r="J41" s="186"/>
      <c r="K41" s="186"/>
      <c r="L41" s="186"/>
      <c r="M41" s="186"/>
      <c r="N41" s="186"/>
      <c r="O41" s="61"/>
      <c r="Q41" s="186"/>
      <c r="R41" s="186"/>
      <c r="S41" s="186"/>
      <c r="T41" s="186"/>
      <c r="U41" s="186"/>
      <c r="V41" s="186"/>
    </row>
    <row r="42" ht="12.75" customHeight="1"/>
  </sheetData>
  <sheetProtection sheet="1" objects="1" scenarios="1"/>
  <mergeCells count="35">
    <mergeCell ref="I33:N34"/>
    <mergeCell ref="Q33:V34"/>
    <mergeCell ref="D21:E21"/>
    <mergeCell ref="I39:N41"/>
    <mergeCell ref="Q39:V41"/>
    <mergeCell ref="I35:N38"/>
    <mergeCell ref="P35:P36"/>
    <mergeCell ref="Q35:V38"/>
    <mergeCell ref="P37:P38"/>
    <mergeCell ref="D16:E16"/>
    <mergeCell ref="D17:E17"/>
    <mergeCell ref="D18:E18"/>
    <mergeCell ref="AC31:AD31"/>
    <mergeCell ref="D19:E19"/>
    <mergeCell ref="D20:E20"/>
    <mergeCell ref="AJ2:AP2"/>
    <mergeCell ref="C3:F3"/>
    <mergeCell ref="I3:N3"/>
    <mergeCell ref="Q3:V3"/>
    <mergeCell ref="Z3:AF3"/>
    <mergeCell ref="AJ3:AP3"/>
    <mergeCell ref="C2:F2"/>
    <mergeCell ref="I2:N2"/>
    <mergeCell ref="Q2:V2"/>
    <mergeCell ref="Z2:AF2"/>
    <mergeCell ref="D15:E15"/>
    <mergeCell ref="AJ7:AL7"/>
    <mergeCell ref="AJ8:AL8"/>
    <mergeCell ref="AJ12:AL12"/>
    <mergeCell ref="D9:F9"/>
    <mergeCell ref="AJ9:AL9"/>
    <mergeCell ref="AJ10:AL10"/>
    <mergeCell ref="D11:F11"/>
    <mergeCell ref="AJ11:AL11"/>
    <mergeCell ref="D10:F10"/>
  </mergeCells>
  <printOptions/>
  <pageMargins left="0.75" right="0.75" top="1" bottom="1" header="0.5" footer="0.5"/>
  <pageSetup blackAndWhite="1" fitToWidth="5" horizontalDpi="600" verticalDpi="600" orientation="portrait" scale="90" r:id="rId10"/>
  <headerFooter alignWithMargins="0">
    <oddFooter>&amp;CUpgrade 3 &amp;D</oddFooter>
  </headerFooter>
  <colBreaks count="4" manualBreakCount="4">
    <brk id="7" max="41" man="1"/>
    <brk id="15" max="41" man="1"/>
    <brk id="24" max="41" man="1"/>
    <brk id="34" max="41" man="1"/>
  </colBreaks>
  <drawing r:id="rId9"/>
  <legacyDrawing r:id="rId8"/>
  <oleObjects>
    <oleObject progId="Word.Picture.8" shapeId="460240" r:id="rId1"/>
    <oleObject progId="Word.Picture.8" shapeId="664377" r:id="rId2"/>
    <oleObject progId="Word.Picture.8" shapeId="665940" r:id="rId3"/>
    <oleObject progId="Word.Picture.8" shapeId="1142420" r:id="rId4"/>
    <oleObject progId="Word.Picture.8" shapeId="1528962" r:id="rId5"/>
    <oleObject progId="Word.Picture.8" shapeId="1579698" r:id="rId6"/>
    <oleObject progId="Word.Picture.8" shapeId="1263186" r:id="rId7"/>
  </oleObjects>
</worksheet>
</file>

<file path=xl/worksheets/sheet5.xml><?xml version="1.0" encoding="utf-8"?>
<worksheet xmlns="http://schemas.openxmlformats.org/spreadsheetml/2006/main" xmlns:r="http://schemas.openxmlformats.org/officeDocument/2006/relationships">
  <sheetPr codeName="Sheet4"/>
  <dimension ref="A2:AQ41"/>
  <sheetViews>
    <sheetView showGridLines="0" showRowColHeaders="0" workbookViewId="0" topLeftCell="A1">
      <pane xSplit="1" topLeftCell="B1" activePane="topRight" state="frozen"/>
      <selection pane="topLeft" activeCell="A2" sqref="A1:A16384"/>
      <selection pane="topRight" activeCell="D16" sqref="D16:E16"/>
    </sheetView>
  </sheetViews>
  <sheetFormatPr defaultColWidth="9.140625" defaultRowHeight="12.75"/>
  <cols>
    <col min="1" max="1" width="32.57421875" style="13" customWidth="1"/>
    <col min="2" max="2" width="0.5625" style="20" customWidth="1"/>
    <col min="3" max="3" width="37.421875" style="20" customWidth="1"/>
    <col min="4" max="6" width="12.7109375" style="20" customWidth="1"/>
    <col min="7" max="7" width="10.8515625" style="20" customWidth="1"/>
    <col min="8" max="8" width="0.85546875" style="22" customWidth="1"/>
    <col min="9" max="9" width="7.57421875" style="20" customWidth="1"/>
    <col min="10" max="10" width="15.7109375" style="20" customWidth="1"/>
    <col min="11" max="11" width="16.140625" style="20" customWidth="1"/>
    <col min="12" max="12" width="10.140625" style="20" customWidth="1"/>
    <col min="13" max="14" width="11.28125" style="20" customWidth="1"/>
    <col min="15" max="15" width="15.421875" style="20" customWidth="1"/>
    <col min="16" max="16" width="0.9921875" style="20" customWidth="1"/>
    <col min="17" max="17" width="7.140625" style="20" customWidth="1"/>
    <col min="18" max="18" width="16.7109375" style="20" customWidth="1"/>
    <col min="19" max="19" width="17.00390625" style="20" customWidth="1"/>
    <col min="20" max="20" width="10.140625" style="20" customWidth="1"/>
    <col min="21" max="21" width="11.57421875" style="20" customWidth="1"/>
    <col min="22" max="22" width="11.28125" style="20" customWidth="1"/>
    <col min="23" max="23" width="11.140625" style="20" customWidth="1"/>
    <col min="24" max="24" width="8.57421875" style="20" customWidth="1"/>
    <col min="25" max="25" width="1.1484375" style="20" customWidth="1"/>
    <col min="26" max="26" width="9.8515625" style="20" customWidth="1"/>
    <col min="27" max="27" width="10.421875" style="20" customWidth="1"/>
    <col min="28" max="28" width="12.00390625" style="20" customWidth="1"/>
    <col min="29" max="29" width="10.421875" style="20" customWidth="1"/>
    <col min="30" max="30" width="10.7109375" style="20" customWidth="1"/>
    <col min="31" max="31" width="10.28125" style="20" customWidth="1"/>
    <col min="32" max="32" width="11.28125" style="20" customWidth="1"/>
    <col min="33" max="33" width="10.8515625" style="20" customWidth="1"/>
    <col min="34" max="34" width="9.140625" style="20" customWidth="1"/>
    <col min="35" max="35" width="1.1484375" style="20" customWidth="1"/>
    <col min="36" max="38" width="11.421875" style="20" customWidth="1"/>
    <col min="39" max="43" width="10.140625" style="20" customWidth="1"/>
    <col min="44" max="46" width="9.140625" style="20" customWidth="1"/>
    <col min="47" max="16384" width="9.140625" style="15" customWidth="1"/>
  </cols>
  <sheetData>
    <row r="2" spans="3:42" ht="12.75">
      <c r="C2" s="172" t="s">
        <v>10</v>
      </c>
      <c r="D2" s="172"/>
      <c r="E2" s="172"/>
      <c r="F2" s="172"/>
      <c r="G2" s="21"/>
      <c r="I2" s="172" t="s">
        <v>10</v>
      </c>
      <c r="J2" s="183"/>
      <c r="K2" s="183"/>
      <c r="L2" s="183"/>
      <c r="M2" s="183"/>
      <c r="N2" s="183"/>
      <c r="O2" s="21"/>
      <c r="Q2" s="172" t="s">
        <v>10</v>
      </c>
      <c r="R2" s="173"/>
      <c r="S2" s="173"/>
      <c r="T2" s="173"/>
      <c r="U2" s="173"/>
      <c r="V2" s="173"/>
      <c r="W2" s="21"/>
      <c r="Z2" s="172" t="s">
        <v>10</v>
      </c>
      <c r="AA2" s="173"/>
      <c r="AB2" s="173"/>
      <c r="AC2" s="173"/>
      <c r="AD2" s="173"/>
      <c r="AE2" s="173"/>
      <c r="AF2" s="173"/>
      <c r="AG2" s="21"/>
      <c r="AJ2" s="172" t="s">
        <v>10</v>
      </c>
      <c r="AK2" s="173"/>
      <c r="AL2" s="173"/>
      <c r="AM2" s="173"/>
      <c r="AN2" s="173"/>
      <c r="AO2" s="173"/>
      <c r="AP2" s="173"/>
    </row>
    <row r="3" spans="3:42" ht="12.75">
      <c r="C3" s="172" t="str">
        <f>Upgrade1!C3</f>
        <v>Company Name</v>
      </c>
      <c r="D3" s="165"/>
      <c r="E3" s="165"/>
      <c r="F3" s="165"/>
      <c r="G3" s="21"/>
      <c r="I3" s="172" t="str">
        <f>C3</f>
        <v>Company Name</v>
      </c>
      <c r="J3" s="183"/>
      <c r="K3" s="183"/>
      <c r="L3" s="183"/>
      <c r="M3" s="183"/>
      <c r="N3" s="183"/>
      <c r="O3" s="21"/>
      <c r="Q3" s="172" t="str">
        <f>C3</f>
        <v>Company Name</v>
      </c>
      <c r="R3" s="173"/>
      <c r="S3" s="173"/>
      <c r="T3" s="173"/>
      <c r="U3" s="173"/>
      <c r="V3" s="173"/>
      <c r="W3" s="21"/>
      <c r="Z3" s="172" t="str">
        <f>C3</f>
        <v>Company Name</v>
      </c>
      <c r="AA3" s="173"/>
      <c r="AB3" s="173"/>
      <c r="AC3" s="173"/>
      <c r="AD3" s="173"/>
      <c r="AE3" s="173"/>
      <c r="AF3" s="173"/>
      <c r="AG3" s="21"/>
      <c r="AJ3" s="172" t="str">
        <f>C3</f>
        <v>Company Name</v>
      </c>
      <c r="AK3" s="173"/>
      <c r="AL3" s="173"/>
      <c r="AM3" s="173"/>
      <c r="AN3" s="173"/>
      <c r="AO3" s="173"/>
      <c r="AP3" s="173"/>
    </row>
    <row r="4" spans="3:42" ht="12">
      <c r="C4" s="21"/>
      <c r="D4" s="21"/>
      <c r="E4" s="21"/>
      <c r="F4" s="23" t="s">
        <v>101</v>
      </c>
      <c r="N4" s="24" t="s">
        <v>100</v>
      </c>
      <c r="Q4" s="25"/>
      <c r="R4" s="25"/>
      <c r="S4" s="25"/>
      <c r="T4" s="25"/>
      <c r="V4" s="24" t="s">
        <v>99</v>
      </c>
      <c r="AF4" s="24" t="s">
        <v>98</v>
      </c>
      <c r="AP4" s="24" t="s">
        <v>97</v>
      </c>
    </row>
    <row r="5" spans="3:33" ht="12.75" thickBot="1">
      <c r="C5" s="21"/>
      <c r="D5" s="21"/>
      <c r="E5" s="21"/>
      <c r="F5" s="26"/>
      <c r="G5" s="27"/>
      <c r="N5" s="26"/>
      <c r="O5" s="28"/>
      <c r="Q5" s="29"/>
      <c r="R5" s="29"/>
      <c r="S5" s="25"/>
      <c r="T5" s="25"/>
      <c r="V5" s="26"/>
      <c r="W5" s="28"/>
      <c r="AF5" s="26"/>
      <c r="AG5" s="28"/>
    </row>
    <row r="6" spans="1:40" ht="12.75" thickBot="1">
      <c r="A6" s="14" t="s">
        <v>109</v>
      </c>
      <c r="B6" s="21"/>
      <c r="C6" s="21" t="s">
        <v>11</v>
      </c>
      <c r="D6" s="21"/>
      <c r="E6" s="21"/>
      <c r="F6" s="21"/>
      <c r="G6" s="21"/>
      <c r="I6" s="30" t="s">
        <v>91</v>
      </c>
      <c r="J6" s="31"/>
      <c r="K6" s="31"/>
      <c r="L6" s="31"/>
      <c r="M6" s="31"/>
      <c r="N6" s="32"/>
      <c r="O6" s="25"/>
      <c r="P6" s="25"/>
      <c r="Q6" s="143" t="s">
        <v>107</v>
      </c>
      <c r="R6" s="117"/>
      <c r="S6" s="117"/>
      <c r="T6" s="117"/>
      <c r="U6" s="117"/>
      <c r="V6" s="144"/>
      <c r="W6" s="25"/>
      <c r="X6" s="25"/>
      <c r="Z6" s="30" t="s">
        <v>53</v>
      </c>
      <c r="AA6" s="33"/>
      <c r="AB6" s="31"/>
      <c r="AC6" s="31"/>
      <c r="AD6" s="31"/>
      <c r="AE6" s="31"/>
      <c r="AF6" s="32"/>
      <c r="AJ6" s="104" t="s">
        <v>19</v>
      </c>
      <c r="AK6" s="105"/>
      <c r="AL6" s="105"/>
      <c r="AM6" s="106"/>
      <c r="AN6" s="107"/>
    </row>
    <row r="7" spans="1:40" ht="36.75" thickBot="1">
      <c r="A7" s="16" t="s">
        <v>82</v>
      </c>
      <c r="B7" s="34"/>
      <c r="C7" s="20" t="s">
        <v>11</v>
      </c>
      <c r="I7" s="35" t="s">
        <v>18</v>
      </c>
      <c r="J7" s="36" t="s">
        <v>46</v>
      </c>
      <c r="K7" s="36" t="s">
        <v>47</v>
      </c>
      <c r="L7" s="37" t="s">
        <v>52</v>
      </c>
      <c r="M7" s="38" t="s">
        <v>32</v>
      </c>
      <c r="N7" s="39" t="s">
        <v>34</v>
      </c>
      <c r="O7" s="40"/>
      <c r="P7" s="41"/>
      <c r="Q7" s="136" t="s">
        <v>18</v>
      </c>
      <c r="R7" s="42" t="s">
        <v>46</v>
      </c>
      <c r="S7" s="42" t="s">
        <v>47</v>
      </c>
      <c r="T7" s="43" t="s">
        <v>52</v>
      </c>
      <c r="U7" s="138" t="s">
        <v>32</v>
      </c>
      <c r="V7" s="137" t="s">
        <v>34</v>
      </c>
      <c r="W7" s="40"/>
      <c r="X7" s="41"/>
      <c r="Z7" s="35" t="s">
        <v>18</v>
      </c>
      <c r="AA7" s="38" t="s">
        <v>39</v>
      </c>
      <c r="AB7" s="36" t="s">
        <v>38</v>
      </c>
      <c r="AC7" s="44" t="s">
        <v>37</v>
      </c>
      <c r="AD7" s="45" t="s">
        <v>40</v>
      </c>
      <c r="AE7" s="46" t="s">
        <v>36</v>
      </c>
      <c r="AF7" s="37" t="s">
        <v>33</v>
      </c>
      <c r="AJ7" s="166"/>
      <c r="AK7" s="167"/>
      <c r="AL7" s="168"/>
      <c r="AM7" s="81" t="s">
        <v>49</v>
      </c>
      <c r="AN7" s="82" t="s">
        <v>43</v>
      </c>
    </row>
    <row r="8" spans="1:40" ht="12.75">
      <c r="A8" s="14"/>
      <c r="B8" s="21"/>
      <c r="C8" s="48" t="s">
        <v>9</v>
      </c>
      <c r="D8" s="49" t="s">
        <v>11</v>
      </c>
      <c r="E8" s="49"/>
      <c r="F8" s="50"/>
      <c r="I8" s="51" t="s">
        <v>30</v>
      </c>
      <c r="J8" s="52">
        <v>0</v>
      </c>
      <c r="K8" s="52">
        <v>0</v>
      </c>
      <c r="L8" s="53"/>
      <c r="M8" s="54">
        <f aca="true" t="shared" si="0" ref="M8:M28">SUM(J8:L8)</f>
        <v>0</v>
      </c>
      <c r="N8" s="55">
        <f>M8</f>
        <v>0</v>
      </c>
      <c r="O8" s="56"/>
      <c r="P8" s="56"/>
      <c r="Q8" s="51" t="s">
        <v>30</v>
      </c>
      <c r="R8" s="52">
        <f>E34*E30*(E35+(D17*D20/60))</f>
        <v>291000</v>
      </c>
      <c r="S8" s="52">
        <f>$E$34*$E$31*(E36+D17*D21/60)</f>
        <v>841500</v>
      </c>
      <c r="T8" s="57"/>
      <c r="U8" s="139">
        <f aca="true" t="shared" si="1" ref="U8:U28">SUM(R8:T8)</f>
        <v>1132500</v>
      </c>
      <c r="V8" s="55">
        <f>U8</f>
        <v>1132500</v>
      </c>
      <c r="W8" s="56"/>
      <c r="X8" s="56"/>
      <c r="Z8" s="51" t="s">
        <v>30</v>
      </c>
      <c r="AA8" s="58">
        <f>($J$8+$K$8)-($R$8+$S$8)</f>
        <v>-1132500</v>
      </c>
      <c r="AB8" s="52" t="s">
        <v>11</v>
      </c>
      <c r="AC8" s="57"/>
      <c r="AD8" s="59">
        <f aca="true" t="shared" si="2" ref="AD8:AD28">SUM(AA8:AC8)</f>
        <v>-1132500</v>
      </c>
      <c r="AE8" s="54">
        <f>AD8</f>
        <v>-1132500</v>
      </c>
      <c r="AF8" s="55">
        <f>AE8</f>
        <v>-1132500</v>
      </c>
      <c r="AJ8" s="169" t="s">
        <v>20</v>
      </c>
      <c r="AK8" s="170"/>
      <c r="AL8" s="171"/>
      <c r="AM8" s="110">
        <f>($D$11*52)*$D$33*$D$34/1000</f>
        <v>269568</v>
      </c>
      <c r="AN8" s="111">
        <f>($D$11*52)*E33*E34/1000</f>
        <v>174096</v>
      </c>
    </row>
    <row r="9" spans="1:40" ht="12.75">
      <c r="A9" s="157" t="s">
        <v>103</v>
      </c>
      <c r="B9" s="34"/>
      <c r="C9" s="60" t="s">
        <v>12</v>
      </c>
      <c r="D9" s="174" t="s">
        <v>110</v>
      </c>
      <c r="E9" s="175"/>
      <c r="F9" s="176"/>
      <c r="G9" s="61"/>
      <c r="I9" s="62">
        <v>1</v>
      </c>
      <c r="J9" s="52">
        <f aca="true" t="shared" si="3" ref="J9:J28">FV($D$18,I9,0,-1*$AM$10)</f>
        <v>53831.700000000004</v>
      </c>
      <c r="K9" s="52"/>
      <c r="L9" s="55">
        <f>(($D$11*52)*$D$33*$D$34/1000)*$D$16</f>
        <v>1145664</v>
      </c>
      <c r="M9" s="54">
        <f t="shared" si="0"/>
        <v>1199495.7</v>
      </c>
      <c r="N9" s="55">
        <f aca="true" t="shared" si="4" ref="N9:N28">M9+N8</f>
        <v>1199495.7</v>
      </c>
      <c r="O9" s="56"/>
      <c r="P9" s="56"/>
      <c r="Q9" s="62">
        <v>1</v>
      </c>
      <c r="R9" s="52">
        <f aca="true" t="shared" si="5" ref="R9:R28">FV($D$18,Q9,0,-1*$AN$10)</f>
        <v>48573.72</v>
      </c>
      <c r="S9" s="52"/>
      <c r="T9" s="57">
        <f>(($D$11*52)*$E$33*$E$34/1000)*$D$16</f>
        <v>739908</v>
      </c>
      <c r="U9" s="139">
        <f t="shared" si="1"/>
        <v>788481.72</v>
      </c>
      <c r="V9" s="55">
        <f aca="true" t="shared" si="6" ref="V9:V28">U9+V8</f>
        <v>1920981.72</v>
      </c>
      <c r="W9" s="56"/>
      <c r="X9" s="56"/>
      <c r="Z9" s="62">
        <v>1</v>
      </c>
      <c r="AA9" s="63"/>
      <c r="AB9" s="52">
        <f aca="true" t="shared" si="7" ref="AB9:AB28">(J9+K9)-(R9+S9)</f>
        <v>5257.980000000003</v>
      </c>
      <c r="AC9" s="57">
        <f aca="true" t="shared" si="8" ref="AC9:AC28">L9-T9</f>
        <v>405756</v>
      </c>
      <c r="AD9" s="59">
        <f t="shared" si="2"/>
        <v>411013.98</v>
      </c>
      <c r="AE9" s="54">
        <f aca="true" t="shared" si="9" ref="AE9:AE28">AD9/POWER((1+$D$19),Z9)</f>
        <v>373649.0727272727</v>
      </c>
      <c r="AF9" s="55">
        <f aca="true" t="shared" si="10" ref="AF9:AF28">AE9+AF8</f>
        <v>-758850.9272727272</v>
      </c>
      <c r="AJ9" s="169" t="str">
        <f>"Annual Energy Costs ("&amp;D15&amp;"/Year)"</f>
        <v>Annual Energy Costs (Dollar/Year)</v>
      </c>
      <c r="AK9" s="170"/>
      <c r="AL9" s="171"/>
      <c r="AM9" s="110">
        <f>AM8*$D$16</f>
        <v>1145664</v>
      </c>
      <c r="AN9" s="111">
        <f>AN8*$D$16</f>
        <v>739908</v>
      </c>
    </row>
    <row r="10" spans="3:40" ht="12.75">
      <c r="C10" s="60" t="s">
        <v>27</v>
      </c>
      <c r="D10" s="174" t="s">
        <v>58</v>
      </c>
      <c r="E10" s="175"/>
      <c r="F10" s="176"/>
      <c r="G10" s="61"/>
      <c r="I10" s="62">
        <v>2</v>
      </c>
      <c r="J10" s="52">
        <f t="shared" si="3"/>
        <v>57599.919</v>
      </c>
      <c r="K10" s="52"/>
      <c r="L10" s="55">
        <f aca="true" t="shared" si="11" ref="L10:L28">L9*(1+$D$18)</f>
        <v>1225860.48</v>
      </c>
      <c r="M10" s="54">
        <f t="shared" si="0"/>
        <v>1283460.399</v>
      </c>
      <c r="N10" s="55">
        <f t="shared" si="4"/>
        <v>2482956.099</v>
      </c>
      <c r="O10" s="56"/>
      <c r="P10" s="56"/>
      <c r="Q10" s="62">
        <v>2</v>
      </c>
      <c r="R10" s="52">
        <f t="shared" si="5"/>
        <v>51973.8804</v>
      </c>
      <c r="S10" s="52"/>
      <c r="T10" s="57">
        <f aca="true" t="shared" si="12" ref="T10:T28">T9*(1+$D$18)</f>
        <v>791701.56</v>
      </c>
      <c r="U10" s="139">
        <f t="shared" si="1"/>
        <v>843675.4404000001</v>
      </c>
      <c r="V10" s="55">
        <f t="shared" si="6"/>
        <v>2764657.1604</v>
      </c>
      <c r="W10" s="56"/>
      <c r="X10" s="56"/>
      <c r="Z10" s="62">
        <v>2</v>
      </c>
      <c r="AA10" s="63"/>
      <c r="AB10" s="52">
        <f t="shared" si="7"/>
        <v>5626.0386</v>
      </c>
      <c r="AC10" s="57">
        <f t="shared" si="8"/>
        <v>434158.9199999999</v>
      </c>
      <c r="AD10" s="59">
        <f t="shared" si="2"/>
        <v>439784.9585999999</v>
      </c>
      <c r="AE10" s="54">
        <f t="shared" si="9"/>
        <v>363458.64347107423</v>
      </c>
      <c r="AF10" s="55">
        <f t="shared" si="10"/>
        <v>-395392.283801653</v>
      </c>
      <c r="AJ10" s="169" t="s">
        <v>44</v>
      </c>
      <c r="AK10" s="170"/>
      <c r="AL10" s="171"/>
      <c r="AM10" s="110">
        <f>SUM(AM11:AM12)</f>
        <v>50310</v>
      </c>
      <c r="AN10" s="111">
        <f>SUM(AN11:AN12)</f>
        <v>45396</v>
      </c>
    </row>
    <row r="11" spans="3:40" ht="13.5" thickBot="1">
      <c r="C11" s="65" t="s">
        <v>13</v>
      </c>
      <c r="D11" s="177">
        <v>60</v>
      </c>
      <c r="E11" s="178"/>
      <c r="F11" s="179"/>
      <c r="G11" s="66"/>
      <c r="I11" s="62">
        <v>3</v>
      </c>
      <c r="J11" s="52">
        <f t="shared" si="3"/>
        <v>61631.91333</v>
      </c>
      <c r="K11" s="52"/>
      <c r="L11" s="55">
        <f t="shared" si="11"/>
        <v>1311670.7136000001</v>
      </c>
      <c r="M11" s="54">
        <f t="shared" si="0"/>
        <v>1373302.62693</v>
      </c>
      <c r="N11" s="55">
        <f t="shared" si="4"/>
        <v>3856258.7259299997</v>
      </c>
      <c r="O11" s="56"/>
      <c r="P11" s="56"/>
      <c r="Q11" s="62">
        <v>3</v>
      </c>
      <c r="R11" s="52">
        <f t="shared" si="5"/>
        <v>55612.052028000006</v>
      </c>
      <c r="S11" s="52"/>
      <c r="T11" s="57">
        <f t="shared" si="12"/>
        <v>847120.6692000001</v>
      </c>
      <c r="U11" s="139">
        <f t="shared" si="1"/>
        <v>902732.7212280001</v>
      </c>
      <c r="V11" s="55">
        <f t="shared" si="6"/>
        <v>3667389.881628</v>
      </c>
      <c r="W11" s="56"/>
      <c r="X11" s="56"/>
      <c r="Z11" s="62">
        <v>3</v>
      </c>
      <c r="AA11" s="63"/>
      <c r="AB11" s="52">
        <f t="shared" si="7"/>
        <v>6019.8613019999975</v>
      </c>
      <c r="AC11" s="57">
        <f t="shared" si="8"/>
        <v>464550.0444</v>
      </c>
      <c r="AD11" s="59">
        <f t="shared" si="2"/>
        <v>470569.905702</v>
      </c>
      <c r="AE11" s="54">
        <f t="shared" si="9"/>
        <v>353546.1350127723</v>
      </c>
      <c r="AF11" s="55">
        <f t="shared" si="10"/>
        <v>-41846.14878888073</v>
      </c>
      <c r="AJ11" s="169" t="s">
        <v>21</v>
      </c>
      <c r="AK11" s="170"/>
      <c r="AL11" s="171"/>
      <c r="AM11" s="110">
        <f>(($D$11*52)/$D$32*$D$30*$D$34)*$D$35</f>
        <v>42120</v>
      </c>
      <c r="AN11" s="111">
        <f>(($D$11*52)/$E$32*$E$30*$E$34)*$E$35</f>
        <v>42120</v>
      </c>
    </row>
    <row r="12" spans="3:40" ht="13.5" thickBot="1">
      <c r="C12" s="25"/>
      <c r="D12" s="66"/>
      <c r="E12" s="67"/>
      <c r="F12" s="67"/>
      <c r="G12" s="66"/>
      <c r="I12" s="62">
        <v>4</v>
      </c>
      <c r="J12" s="52">
        <f t="shared" si="3"/>
        <v>65946.1472631</v>
      </c>
      <c r="K12" s="52"/>
      <c r="L12" s="55">
        <f t="shared" si="11"/>
        <v>1403487.6635520002</v>
      </c>
      <c r="M12" s="54">
        <f t="shared" si="0"/>
        <v>1469433.8108151</v>
      </c>
      <c r="N12" s="55">
        <f t="shared" si="4"/>
        <v>5325692.536745099</v>
      </c>
      <c r="O12" s="56"/>
      <c r="P12" s="56"/>
      <c r="Q12" s="62">
        <v>4</v>
      </c>
      <c r="R12" s="52">
        <f t="shared" si="5"/>
        <v>59504.89566996</v>
      </c>
      <c r="S12" s="52"/>
      <c r="T12" s="57">
        <f t="shared" si="12"/>
        <v>906419.1160440001</v>
      </c>
      <c r="U12" s="139">
        <f t="shared" si="1"/>
        <v>965924.0117139601</v>
      </c>
      <c r="V12" s="55">
        <f t="shared" si="6"/>
        <v>4633313.89334196</v>
      </c>
      <c r="W12" s="56"/>
      <c r="X12" s="56"/>
      <c r="Z12" s="62">
        <v>4</v>
      </c>
      <c r="AA12" s="63"/>
      <c r="AB12" s="52">
        <f t="shared" si="7"/>
        <v>6441.251593140005</v>
      </c>
      <c r="AC12" s="57">
        <f t="shared" si="8"/>
        <v>497068.54750800005</v>
      </c>
      <c r="AD12" s="59">
        <f t="shared" si="2"/>
        <v>503509.79910114006</v>
      </c>
      <c r="AE12" s="54">
        <f t="shared" si="9"/>
        <v>343903.96769424214</v>
      </c>
      <c r="AF12" s="55">
        <f t="shared" si="10"/>
        <v>302057.8189053614</v>
      </c>
      <c r="AJ12" s="187" t="s">
        <v>22</v>
      </c>
      <c r="AK12" s="188"/>
      <c r="AL12" s="189"/>
      <c r="AM12" s="114">
        <f>(($D$11*52)/$D$32*$D$30*$D$34)*($D$17*$D$20/60)</f>
        <v>8190</v>
      </c>
      <c r="AN12" s="115">
        <f>(($D$11*52)/$E$32*$E$30*$E$34)*($D$17*$D$20/60)</f>
        <v>3276</v>
      </c>
    </row>
    <row r="13" spans="3:36" ht="12.75" thickBot="1">
      <c r="C13" s="25"/>
      <c r="D13" s="66"/>
      <c r="E13" s="66"/>
      <c r="F13" s="66"/>
      <c r="G13" s="66"/>
      <c r="I13" s="62">
        <v>5</v>
      </c>
      <c r="J13" s="52">
        <f t="shared" si="3"/>
        <v>70562.377571517</v>
      </c>
      <c r="K13" s="52"/>
      <c r="L13" s="55">
        <f t="shared" si="11"/>
        <v>1501731.8000006403</v>
      </c>
      <c r="M13" s="54">
        <f t="shared" si="0"/>
        <v>1572294.1775721572</v>
      </c>
      <c r="N13" s="55">
        <f t="shared" si="4"/>
        <v>6897986.714317257</v>
      </c>
      <c r="O13" s="56"/>
      <c r="P13" s="56"/>
      <c r="Q13" s="62">
        <v>5</v>
      </c>
      <c r="R13" s="52">
        <f t="shared" si="5"/>
        <v>63670.23836685721</v>
      </c>
      <c r="S13" s="52"/>
      <c r="T13" s="57">
        <f t="shared" si="12"/>
        <v>969868.4541670802</v>
      </c>
      <c r="U13" s="139">
        <f t="shared" si="1"/>
        <v>1033538.6925339374</v>
      </c>
      <c r="V13" s="55">
        <f t="shared" si="6"/>
        <v>5666852.585875898</v>
      </c>
      <c r="W13" s="56"/>
      <c r="X13" s="56"/>
      <c r="Z13" s="62">
        <v>5</v>
      </c>
      <c r="AA13" s="63"/>
      <c r="AB13" s="52">
        <f t="shared" si="7"/>
        <v>6892.1392046597975</v>
      </c>
      <c r="AC13" s="57">
        <f t="shared" si="8"/>
        <v>531863.3458335601</v>
      </c>
      <c r="AD13" s="59">
        <f t="shared" si="2"/>
        <v>538755.48503822</v>
      </c>
      <c r="AE13" s="54">
        <f t="shared" si="9"/>
        <v>334524.7685753083</v>
      </c>
      <c r="AF13" s="55">
        <f t="shared" si="10"/>
        <v>636582.5874806697</v>
      </c>
      <c r="AJ13" s="20" t="s">
        <v>59</v>
      </c>
    </row>
    <row r="14" spans="1:36" ht="12.75" thickBot="1">
      <c r="A14" s="154" t="s">
        <v>78</v>
      </c>
      <c r="C14" s="48" t="s">
        <v>14</v>
      </c>
      <c r="D14" s="68"/>
      <c r="E14" s="69"/>
      <c r="I14" s="62">
        <v>6</v>
      </c>
      <c r="J14" s="52">
        <f t="shared" si="3"/>
        <v>75501.7440015232</v>
      </c>
      <c r="K14" s="70"/>
      <c r="L14" s="55">
        <f t="shared" si="11"/>
        <v>1606853.0260006853</v>
      </c>
      <c r="M14" s="54">
        <f t="shared" si="0"/>
        <v>1682354.7700022084</v>
      </c>
      <c r="N14" s="55">
        <f t="shared" si="4"/>
        <v>8580341.484319465</v>
      </c>
      <c r="O14" s="56"/>
      <c r="P14" s="56"/>
      <c r="Q14" s="62">
        <v>6</v>
      </c>
      <c r="R14" s="52">
        <f t="shared" si="5"/>
        <v>68127.1550525372</v>
      </c>
      <c r="S14" s="70"/>
      <c r="T14" s="57">
        <f t="shared" si="12"/>
        <v>1037759.2459587759</v>
      </c>
      <c r="U14" s="139">
        <f t="shared" si="1"/>
        <v>1105886.401011313</v>
      </c>
      <c r="V14" s="55">
        <f t="shared" si="6"/>
        <v>6772738.986887211</v>
      </c>
      <c r="W14" s="56"/>
      <c r="X14" s="56"/>
      <c r="Z14" s="62">
        <v>6</v>
      </c>
      <c r="AA14" s="63"/>
      <c r="AB14" s="52">
        <f t="shared" si="7"/>
        <v>7374.588948985998</v>
      </c>
      <c r="AC14" s="57">
        <f t="shared" si="8"/>
        <v>569093.7800419094</v>
      </c>
      <c r="AD14" s="59">
        <f t="shared" si="2"/>
        <v>576468.3689908955</v>
      </c>
      <c r="AE14" s="54">
        <f t="shared" si="9"/>
        <v>325401.3657959817</v>
      </c>
      <c r="AF14" s="55">
        <f t="shared" si="10"/>
        <v>961983.9532766514</v>
      </c>
      <c r="AJ14" s="20" t="s">
        <v>11</v>
      </c>
    </row>
    <row r="15" spans="2:39" ht="12.75" thickBot="1">
      <c r="B15" s="71"/>
      <c r="C15" s="159" t="s">
        <v>111</v>
      </c>
      <c r="D15" s="180" t="s">
        <v>113</v>
      </c>
      <c r="E15" s="181"/>
      <c r="I15" s="62">
        <v>7</v>
      </c>
      <c r="J15" s="52">
        <f t="shared" si="3"/>
        <v>80786.86608162982</v>
      </c>
      <c r="K15" s="70"/>
      <c r="L15" s="55">
        <f t="shared" si="11"/>
        <v>1719332.7378207333</v>
      </c>
      <c r="M15" s="54">
        <f t="shared" si="0"/>
        <v>1800119.6039023632</v>
      </c>
      <c r="N15" s="55">
        <f t="shared" si="4"/>
        <v>10380461.08822183</v>
      </c>
      <c r="O15" s="56"/>
      <c r="P15" s="56"/>
      <c r="Q15" s="62">
        <v>7</v>
      </c>
      <c r="R15" s="52">
        <f t="shared" si="5"/>
        <v>72896.05590621481</v>
      </c>
      <c r="S15" s="70"/>
      <c r="T15" s="57">
        <f t="shared" si="12"/>
        <v>1110402.3931758902</v>
      </c>
      <c r="U15" s="139">
        <f t="shared" si="1"/>
        <v>1183298.449082105</v>
      </c>
      <c r="V15" s="55">
        <f t="shared" si="6"/>
        <v>7956037.4359693155</v>
      </c>
      <c r="W15" s="56"/>
      <c r="X15" s="56"/>
      <c r="Z15" s="62">
        <v>7</v>
      </c>
      <c r="AA15" s="63"/>
      <c r="AB15" s="52">
        <f>(J15+K15)-(R15+S15)</f>
        <v>7890.810175415012</v>
      </c>
      <c r="AC15" s="57">
        <f t="shared" si="8"/>
        <v>608930.3446448431</v>
      </c>
      <c r="AD15" s="59">
        <f t="shared" si="2"/>
        <v>616821.1548202581</v>
      </c>
      <c r="AE15" s="54">
        <f t="shared" si="9"/>
        <v>316526.7830924549</v>
      </c>
      <c r="AF15" s="55">
        <f t="shared" si="10"/>
        <v>1278510.7363691065</v>
      </c>
      <c r="AJ15" s="116" t="str">
        <f>"Upgrade Cost ("&amp;D15&amp;")"</f>
        <v>Upgrade Cost (Dollar)</v>
      </c>
      <c r="AK15" s="117"/>
      <c r="AL15" s="117"/>
      <c r="AM15" s="95">
        <f>($R$8+$S$8)-($J$8+$K$8)</f>
        <v>1132500</v>
      </c>
    </row>
    <row r="16" spans="3:32" ht="12.75" thickBot="1">
      <c r="C16" s="72" t="str">
        <f>"Energy Rate ("&amp;D15&amp;"/kWh)"</f>
        <v>Energy Rate (Dollar/kWh)</v>
      </c>
      <c r="D16" s="180">
        <v>4.25</v>
      </c>
      <c r="E16" s="181"/>
      <c r="I16" s="62">
        <v>8</v>
      </c>
      <c r="J16" s="52">
        <f t="shared" si="3"/>
        <v>86441.9467073439</v>
      </c>
      <c r="K16" s="70"/>
      <c r="L16" s="55">
        <f t="shared" si="11"/>
        <v>1839686.0294681848</v>
      </c>
      <c r="M16" s="54">
        <f t="shared" si="0"/>
        <v>1926127.9761755287</v>
      </c>
      <c r="N16" s="55">
        <f t="shared" si="4"/>
        <v>12306589.064397357</v>
      </c>
      <c r="O16" s="56"/>
      <c r="P16" s="56"/>
      <c r="Q16" s="62">
        <v>8</v>
      </c>
      <c r="R16" s="52">
        <f t="shared" si="5"/>
        <v>77998.77981964985</v>
      </c>
      <c r="S16" s="70"/>
      <c r="T16" s="57">
        <f t="shared" si="12"/>
        <v>1188130.5606982026</v>
      </c>
      <c r="U16" s="139">
        <f t="shared" si="1"/>
        <v>1266129.3405178525</v>
      </c>
      <c r="V16" s="55">
        <f t="shared" si="6"/>
        <v>9222166.776487168</v>
      </c>
      <c r="W16" s="56"/>
      <c r="X16" s="56"/>
      <c r="Z16" s="62">
        <v>8</v>
      </c>
      <c r="AA16" s="63"/>
      <c r="AB16" s="52">
        <f t="shared" si="7"/>
        <v>8443.166887694053</v>
      </c>
      <c r="AC16" s="57">
        <f t="shared" si="8"/>
        <v>651555.4687699822</v>
      </c>
      <c r="AD16" s="59">
        <f t="shared" si="2"/>
        <v>659998.6356576763</v>
      </c>
      <c r="AE16" s="54">
        <f t="shared" si="9"/>
        <v>307894.23446266074</v>
      </c>
      <c r="AF16" s="55">
        <f t="shared" si="10"/>
        <v>1586404.9708317672</v>
      </c>
    </row>
    <row r="17" spans="3:43" ht="12">
      <c r="C17" s="60" t="str">
        <f>"Labor Rate ("&amp;D15&amp;"/hr)"</f>
        <v>Labor Rate (Dollar/hr)</v>
      </c>
      <c r="D17" s="190">
        <v>70</v>
      </c>
      <c r="E17" s="191"/>
      <c r="I17" s="62">
        <v>9</v>
      </c>
      <c r="J17" s="52">
        <f t="shared" si="3"/>
        <v>92492.88297685799</v>
      </c>
      <c r="K17" s="70"/>
      <c r="L17" s="55">
        <f t="shared" si="11"/>
        <v>1968464.051530958</v>
      </c>
      <c r="M17" s="54">
        <f t="shared" si="0"/>
        <v>2060956.9345078159</v>
      </c>
      <c r="N17" s="55">
        <f t="shared" si="4"/>
        <v>14367545.998905173</v>
      </c>
      <c r="O17" s="56"/>
      <c r="P17" s="56"/>
      <c r="Q17" s="62">
        <v>9</v>
      </c>
      <c r="R17" s="52">
        <f t="shared" si="5"/>
        <v>83458.69440702535</v>
      </c>
      <c r="S17" s="70"/>
      <c r="T17" s="57">
        <f t="shared" si="12"/>
        <v>1271299.6999470768</v>
      </c>
      <c r="U17" s="139">
        <f t="shared" si="1"/>
        <v>1354758.3943541022</v>
      </c>
      <c r="V17" s="55">
        <f t="shared" si="6"/>
        <v>10576925.17084127</v>
      </c>
      <c r="W17" s="56"/>
      <c r="X17" s="56"/>
      <c r="Z17" s="62">
        <v>9</v>
      </c>
      <c r="AA17" s="63"/>
      <c r="AB17" s="52">
        <f t="shared" si="7"/>
        <v>9034.188569832637</v>
      </c>
      <c r="AC17" s="57">
        <f t="shared" si="8"/>
        <v>697164.3515838811</v>
      </c>
      <c r="AD17" s="59">
        <f t="shared" si="2"/>
        <v>706198.5401537137</v>
      </c>
      <c r="AE17" s="54">
        <f t="shared" si="9"/>
        <v>299497.11897731543</v>
      </c>
      <c r="AF17" s="55">
        <f t="shared" si="10"/>
        <v>1885902.0898090827</v>
      </c>
      <c r="AJ17" s="77" t="s">
        <v>41</v>
      </c>
      <c r="AK17" s="118"/>
      <c r="AL17" s="119"/>
      <c r="AM17" s="120"/>
      <c r="AN17" s="120"/>
      <c r="AO17" s="120"/>
      <c r="AP17" s="120"/>
      <c r="AQ17" s="121"/>
    </row>
    <row r="18" spans="3:43" ht="12">
      <c r="C18" s="60" t="s">
        <v>45</v>
      </c>
      <c r="D18" s="192">
        <v>0.07</v>
      </c>
      <c r="E18" s="193"/>
      <c r="I18" s="62">
        <v>10</v>
      </c>
      <c r="J18" s="52">
        <f t="shared" si="3"/>
        <v>98967.38478523804</v>
      </c>
      <c r="K18" s="70"/>
      <c r="L18" s="55">
        <f t="shared" si="11"/>
        <v>2106256.535138125</v>
      </c>
      <c r="M18" s="54">
        <f t="shared" si="0"/>
        <v>2205223.9199233633</v>
      </c>
      <c r="N18" s="55">
        <f t="shared" si="4"/>
        <v>16572769.918828536</v>
      </c>
      <c r="O18" s="56"/>
      <c r="P18" s="56"/>
      <c r="Q18" s="62">
        <v>10</v>
      </c>
      <c r="R18" s="52">
        <f t="shared" si="5"/>
        <v>89300.80301551711</v>
      </c>
      <c r="S18" s="70"/>
      <c r="T18" s="57">
        <f t="shared" si="12"/>
        <v>1360290.6789433723</v>
      </c>
      <c r="U18" s="139">
        <f t="shared" si="1"/>
        <v>1449591.4819588894</v>
      </c>
      <c r="V18" s="55">
        <f t="shared" si="6"/>
        <v>12026516.652800158</v>
      </c>
      <c r="W18" s="56"/>
      <c r="X18" s="56"/>
      <c r="Z18" s="62">
        <v>10</v>
      </c>
      <c r="AA18" s="63"/>
      <c r="AB18" s="52">
        <f t="shared" si="7"/>
        <v>9666.581769720928</v>
      </c>
      <c r="AC18" s="57">
        <f t="shared" si="8"/>
        <v>745965.8561947527</v>
      </c>
      <c r="AD18" s="59">
        <f t="shared" si="2"/>
        <v>755632.4379644736</v>
      </c>
      <c r="AE18" s="54">
        <f t="shared" si="9"/>
        <v>291329.0157324795</v>
      </c>
      <c r="AF18" s="55">
        <f t="shared" si="10"/>
        <v>2177231.105541562</v>
      </c>
      <c r="AJ18" s="108"/>
      <c r="AK18" s="122"/>
      <c r="AL18" s="63"/>
      <c r="AM18" s="81" t="s">
        <v>17</v>
      </c>
      <c r="AN18" s="81" t="s">
        <v>23</v>
      </c>
      <c r="AO18" s="81" t="s">
        <v>24</v>
      </c>
      <c r="AP18" s="81" t="s">
        <v>25</v>
      </c>
      <c r="AQ18" s="82" t="s">
        <v>26</v>
      </c>
    </row>
    <row r="19" spans="3:43" ht="12">
      <c r="C19" s="60" t="s">
        <v>48</v>
      </c>
      <c r="D19" s="192">
        <v>0.1</v>
      </c>
      <c r="E19" s="193"/>
      <c r="I19" s="62">
        <v>11</v>
      </c>
      <c r="J19" s="52">
        <f t="shared" si="3"/>
        <v>105895.10172020472</v>
      </c>
      <c r="K19" s="70"/>
      <c r="L19" s="55">
        <f t="shared" si="11"/>
        <v>2253694.492597794</v>
      </c>
      <c r="M19" s="54">
        <f t="shared" si="0"/>
        <v>2359589.5943179987</v>
      </c>
      <c r="N19" s="55">
        <f>M19+N18</f>
        <v>18932359.513146535</v>
      </c>
      <c r="O19" s="56"/>
      <c r="P19" s="56"/>
      <c r="Q19" s="62">
        <v>11</v>
      </c>
      <c r="R19" s="52">
        <f t="shared" si="5"/>
        <v>95551.85922660334</v>
      </c>
      <c r="S19" s="70"/>
      <c r="T19" s="57">
        <f t="shared" si="12"/>
        <v>1455511.0264694085</v>
      </c>
      <c r="U19" s="139">
        <f t="shared" si="1"/>
        <v>1551062.8856960118</v>
      </c>
      <c r="V19" s="55">
        <f>U19+V18</f>
        <v>13577579.53849617</v>
      </c>
      <c r="W19" s="56"/>
      <c r="X19" s="56"/>
      <c r="Z19" s="62">
        <v>11</v>
      </c>
      <c r="AA19" s="63"/>
      <c r="AB19" s="52">
        <f t="shared" si="7"/>
        <v>10343.242493601385</v>
      </c>
      <c r="AC19" s="57">
        <f t="shared" si="8"/>
        <v>798183.4661283856</v>
      </c>
      <c r="AD19" s="59">
        <f t="shared" si="2"/>
        <v>808526.708621987</v>
      </c>
      <c r="AE19" s="54">
        <f t="shared" si="9"/>
        <v>283383.6789397756</v>
      </c>
      <c r="AF19" s="55">
        <f>AE19+AF18</f>
        <v>2460614.7844813378</v>
      </c>
      <c r="AJ19" s="73" t="str">
        <f>"Typical System Life Cycle Cost ("&amp;D15&amp;")"</f>
        <v>Typical System Life Cycle Cost (Dollar)</v>
      </c>
      <c r="AK19" s="122"/>
      <c r="AL19" s="63"/>
      <c r="AM19" s="110">
        <f>$N$9</f>
        <v>1199495.7</v>
      </c>
      <c r="AN19" s="110">
        <f>$N$13</f>
        <v>6897986.714317257</v>
      </c>
      <c r="AO19" s="110">
        <f>$N$18</f>
        <v>16572769.918828536</v>
      </c>
      <c r="AP19" s="110">
        <f>$N$23</f>
        <v>31267684.00302597</v>
      </c>
      <c r="AQ19" s="111">
        <f>$N$28</f>
        <v>50299446.91526264</v>
      </c>
    </row>
    <row r="20" spans="1:43" ht="12">
      <c r="A20" s="155" t="s">
        <v>96</v>
      </c>
      <c r="C20" s="73" t="s">
        <v>92</v>
      </c>
      <c r="D20" s="190">
        <v>10</v>
      </c>
      <c r="E20" s="191"/>
      <c r="I20" s="62">
        <v>12</v>
      </c>
      <c r="J20" s="52">
        <f t="shared" si="3"/>
        <v>113307.75884061903</v>
      </c>
      <c r="K20" s="70"/>
      <c r="L20" s="55">
        <f t="shared" si="11"/>
        <v>2411453.10707964</v>
      </c>
      <c r="M20" s="54">
        <f t="shared" si="0"/>
        <v>2524760.865920259</v>
      </c>
      <c r="N20" s="55">
        <f t="shared" si="4"/>
        <v>21457120.379066795</v>
      </c>
      <c r="O20" s="56"/>
      <c r="P20" s="56"/>
      <c r="Q20" s="62">
        <v>12</v>
      </c>
      <c r="R20" s="52">
        <f t="shared" si="5"/>
        <v>102240.48937246554</v>
      </c>
      <c r="S20" s="70"/>
      <c r="T20" s="57">
        <f t="shared" si="12"/>
        <v>1557396.7983222671</v>
      </c>
      <c r="U20" s="139">
        <f t="shared" si="1"/>
        <v>1659637.2876947327</v>
      </c>
      <c r="V20" s="55">
        <f t="shared" si="6"/>
        <v>15237216.826190904</v>
      </c>
      <c r="W20" s="56"/>
      <c r="X20" s="56"/>
      <c r="Z20" s="62">
        <v>12</v>
      </c>
      <c r="AA20" s="63"/>
      <c r="AB20" s="52">
        <f t="shared" si="7"/>
        <v>11067.269468153492</v>
      </c>
      <c r="AC20" s="57">
        <f t="shared" si="8"/>
        <v>854056.3087573729</v>
      </c>
      <c r="AD20" s="59">
        <f t="shared" si="2"/>
        <v>865123.5782255264</v>
      </c>
      <c r="AE20" s="54">
        <f t="shared" si="9"/>
        <v>275655.03315050906</v>
      </c>
      <c r="AF20" s="55">
        <f t="shared" si="10"/>
        <v>2736269.8176318468</v>
      </c>
      <c r="AJ20" s="73" t="str">
        <f>"Upgrade System Life Cycle Cost ("&amp;D15&amp;")"</f>
        <v>Upgrade System Life Cycle Cost (Dollar)</v>
      </c>
      <c r="AK20" s="122"/>
      <c r="AL20" s="63"/>
      <c r="AM20" s="110">
        <f>$V$9</f>
        <v>1920981.72</v>
      </c>
      <c r="AN20" s="110">
        <f>$V$13</f>
        <v>5666852.585875898</v>
      </c>
      <c r="AO20" s="110">
        <f>$V$18</f>
        <v>12026516.652800158</v>
      </c>
      <c r="AP20" s="110">
        <f>$V$23</f>
        <v>20946274.496535383</v>
      </c>
      <c r="AQ20" s="111">
        <f>$V$28</f>
        <v>33456696.297691133</v>
      </c>
    </row>
    <row r="21" spans="3:43" ht="12.75" thickBot="1">
      <c r="C21" s="74" t="s">
        <v>93</v>
      </c>
      <c r="D21" s="163">
        <v>30</v>
      </c>
      <c r="E21" s="164"/>
      <c r="I21" s="62">
        <v>13</v>
      </c>
      <c r="J21" s="52">
        <f t="shared" si="3"/>
        <v>121239.30195946238</v>
      </c>
      <c r="K21" s="70"/>
      <c r="L21" s="55">
        <f t="shared" si="11"/>
        <v>2580254.824575215</v>
      </c>
      <c r="M21" s="54">
        <f t="shared" si="0"/>
        <v>2701494.1265346776</v>
      </c>
      <c r="N21" s="55">
        <f t="shared" si="4"/>
        <v>24158614.505601473</v>
      </c>
      <c r="O21" s="56"/>
      <c r="P21" s="56"/>
      <c r="Q21" s="62">
        <v>13</v>
      </c>
      <c r="R21" s="52">
        <f t="shared" si="5"/>
        <v>109397.32362853814</v>
      </c>
      <c r="S21" s="70"/>
      <c r="T21" s="57">
        <f t="shared" si="12"/>
        <v>1666414.574204826</v>
      </c>
      <c r="U21" s="139">
        <f t="shared" si="1"/>
        <v>1775811.897833364</v>
      </c>
      <c r="V21" s="55">
        <f t="shared" si="6"/>
        <v>17013028.724024266</v>
      </c>
      <c r="W21" s="56"/>
      <c r="X21" s="56"/>
      <c r="Z21" s="62">
        <v>13</v>
      </c>
      <c r="AA21" s="63"/>
      <c r="AB21" s="52">
        <f t="shared" si="7"/>
        <v>11841.978330924234</v>
      </c>
      <c r="AC21" s="57">
        <f t="shared" si="8"/>
        <v>913840.2503703891</v>
      </c>
      <c r="AD21" s="59">
        <f t="shared" si="2"/>
        <v>925682.2287013133</v>
      </c>
      <c r="AE21" s="54">
        <f t="shared" si="9"/>
        <v>268137.1686100407</v>
      </c>
      <c r="AF21" s="55">
        <f t="shared" si="10"/>
        <v>3004406.9862418873</v>
      </c>
      <c r="AJ21" s="130"/>
      <c r="AK21" s="131"/>
      <c r="AL21" s="132"/>
      <c r="AM21" s="133"/>
      <c r="AN21" s="133"/>
      <c r="AO21" s="133"/>
      <c r="AP21" s="133"/>
      <c r="AQ21" s="134"/>
    </row>
    <row r="22" spans="3:43" ht="12">
      <c r="C22" s="61"/>
      <c r="D22" s="75"/>
      <c r="E22" s="76"/>
      <c r="I22" s="62">
        <v>14</v>
      </c>
      <c r="J22" s="52">
        <f t="shared" si="3"/>
        <v>129726.05309662473</v>
      </c>
      <c r="K22" s="52">
        <f>FV($D$18,I22,0,-1*$D$34*$D$31*($D$36+$D$21/60*$D$17))</f>
        <v>1125530.1565628443</v>
      </c>
      <c r="L22" s="55">
        <f t="shared" si="11"/>
        <v>2760872.6622954803</v>
      </c>
      <c r="M22" s="54">
        <f t="shared" si="0"/>
        <v>4016128.8719549496</v>
      </c>
      <c r="N22" s="55">
        <f t="shared" si="4"/>
        <v>28174743.37755642</v>
      </c>
      <c r="O22" s="56"/>
      <c r="P22" s="56"/>
      <c r="Q22" s="62">
        <v>14</v>
      </c>
      <c r="R22" s="52">
        <f t="shared" si="5"/>
        <v>117055.13628253581</v>
      </c>
      <c r="S22" s="70"/>
      <c r="T22" s="57">
        <f t="shared" si="12"/>
        <v>1783063.594399164</v>
      </c>
      <c r="U22" s="139">
        <f t="shared" si="1"/>
        <v>1900118.7306816997</v>
      </c>
      <c r="V22" s="55">
        <f t="shared" si="6"/>
        <v>18913147.454705965</v>
      </c>
      <c r="W22" s="56"/>
      <c r="X22" s="56"/>
      <c r="Z22" s="62">
        <v>14</v>
      </c>
      <c r="AA22" s="63"/>
      <c r="AB22" s="52">
        <f>(J22+K22)-(R22+S22)</f>
        <v>1138201.0733769333</v>
      </c>
      <c r="AC22" s="57">
        <f t="shared" si="8"/>
        <v>977809.0678963163</v>
      </c>
      <c r="AD22" s="59">
        <f t="shared" si="2"/>
        <v>2116010.14127325</v>
      </c>
      <c r="AE22" s="54">
        <f t="shared" si="9"/>
        <v>557211.6046258699</v>
      </c>
      <c r="AF22" s="55">
        <f t="shared" si="10"/>
        <v>3561618.5908677573</v>
      </c>
      <c r="AJ22" s="73" t="s">
        <v>42</v>
      </c>
      <c r="AK22" s="122"/>
      <c r="AL22" s="63"/>
      <c r="AM22" s="110">
        <f>($AM$8-$AN$8)*1</f>
        <v>95472</v>
      </c>
      <c r="AN22" s="110">
        <f>($AM$8-$AN$8)*5</f>
        <v>477360</v>
      </c>
      <c r="AO22" s="110">
        <f>($AM$8-$AN$8)*10</f>
        <v>954720</v>
      </c>
      <c r="AP22" s="110">
        <f>($AM$8-$AN$8)*15</f>
        <v>1432080</v>
      </c>
      <c r="AQ22" s="111">
        <f>($AM$8-$AN$8)*20</f>
        <v>1909440</v>
      </c>
    </row>
    <row r="23" spans="3:43" ht="12.75" thickBot="1">
      <c r="C23" s="61"/>
      <c r="D23" s="75"/>
      <c r="E23" s="76"/>
      <c r="F23" s="80"/>
      <c r="G23" s="80"/>
      <c r="I23" s="62">
        <v>15</v>
      </c>
      <c r="J23" s="52">
        <f t="shared" si="3"/>
        <v>138806.8768133885</v>
      </c>
      <c r="K23" s="70"/>
      <c r="L23" s="55">
        <f t="shared" si="11"/>
        <v>2954133.748656164</v>
      </c>
      <c r="M23" s="54">
        <f t="shared" si="0"/>
        <v>3092940.6254695524</v>
      </c>
      <c r="N23" s="55">
        <f t="shared" si="4"/>
        <v>31267684.00302597</v>
      </c>
      <c r="O23" s="56"/>
      <c r="P23" s="56"/>
      <c r="Q23" s="62">
        <v>15</v>
      </c>
      <c r="R23" s="52">
        <f t="shared" si="5"/>
        <v>125248.99582231333</v>
      </c>
      <c r="S23" s="70"/>
      <c r="T23" s="57">
        <f t="shared" si="12"/>
        <v>1907878.0460071056</v>
      </c>
      <c r="U23" s="139">
        <f t="shared" si="1"/>
        <v>2033127.0418294189</v>
      </c>
      <c r="V23" s="55">
        <f t="shared" si="6"/>
        <v>20946274.496535383</v>
      </c>
      <c r="W23" s="56"/>
      <c r="X23" s="56"/>
      <c r="Z23" s="62">
        <v>15</v>
      </c>
      <c r="AA23" s="63"/>
      <c r="AB23" s="52">
        <f t="shared" si="7"/>
        <v>13557.880991075159</v>
      </c>
      <c r="AC23" s="57">
        <f t="shared" si="8"/>
        <v>1046255.7026490583</v>
      </c>
      <c r="AD23" s="59">
        <f t="shared" si="2"/>
        <v>1059813.5836401335</v>
      </c>
      <c r="AE23" s="54">
        <f t="shared" si="9"/>
        <v>253710.94573688883</v>
      </c>
      <c r="AF23" s="55">
        <f t="shared" si="10"/>
        <v>3815329.536604646</v>
      </c>
      <c r="AJ23" s="73" t="str">
        <f>"Energy Cost Savings ("&amp;D15&amp;")"</f>
        <v>Energy Cost Savings (Dollar)</v>
      </c>
      <c r="AK23" s="122"/>
      <c r="AL23" s="63"/>
      <c r="AM23" s="110">
        <f>AC9</f>
        <v>405756</v>
      </c>
      <c r="AN23" s="110">
        <f>SUM(AC9:AC13)</f>
        <v>2333396.85774156</v>
      </c>
      <c r="AO23" s="110">
        <f>SUM(AC9:AC18)</f>
        <v>5606106.658976929</v>
      </c>
      <c r="AP23" s="110">
        <f>SUM(AC9:AC23)</f>
        <v>10196251.454778451</v>
      </c>
      <c r="AQ23" s="111">
        <f>SUM(AC9:AC28)</f>
        <v>16634166.982293475</v>
      </c>
    </row>
    <row r="24" spans="3:43" ht="12">
      <c r="C24" s="77" t="s">
        <v>68</v>
      </c>
      <c r="D24" s="78"/>
      <c r="E24" s="79"/>
      <c r="F24" s="83"/>
      <c r="G24" s="83"/>
      <c r="I24" s="62">
        <v>16</v>
      </c>
      <c r="J24" s="52">
        <f t="shared" si="3"/>
        <v>148523.35819032564</v>
      </c>
      <c r="K24" s="70"/>
      <c r="L24" s="55">
        <f t="shared" si="11"/>
        <v>3160923.1110620955</v>
      </c>
      <c r="M24" s="54">
        <f t="shared" si="0"/>
        <v>3309446.469252421</v>
      </c>
      <c r="N24" s="55">
        <f>M24+N23</f>
        <v>34577130.472278394</v>
      </c>
      <c r="O24" s="56"/>
      <c r="P24" s="56"/>
      <c r="Q24" s="62">
        <v>16</v>
      </c>
      <c r="R24" s="52">
        <f t="shared" si="5"/>
        <v>134016.42552987524</v>
      </c>
      <c r="S24" s="70"/>
      <c r="T24" s="57">
        <f t="shared" si="12"/>
        <v>2041429.5092276032</v>
      </c>
      <c r="U24" s="139">
        <f t="shared" si="1"/>
        <v>2175445.9347574785</v>
      </c>
      <c r="V24" s="55">
        <f>U24+V23</f>
        <v>23121720.43129286</v>
      </c>
      <c r="W24" s="56"/>
      <c r="X24" s="56"/>
      <c r="Z24" s="62">
        <v>16</v>
      </c>
      <c r="AA24" s="63"/>
      <c r="AB24" s="52">
        <f t="shared" si="7"/>
        <v>14506.932660450402</v>
      </c>
      <c r="AC24" s="57">
        <f t="shared" si="8"/>
        <v>1119493.6018344923</v>
      </c>
      <c r="AD24" s="59">
        <f t="shared" si="2"/>
        <v>1134000.5344949428</v>
      </c>
      <c r="AE24" s="54">
        <f t="shared" si="9"/>
        <v>246791.55630770093</v>
      </c>
      <c r="AF24" s="55">
        <f>AE24+AF23</f>
        <v>4062121.092912347</v>
      </c>
      <c r="AJ24" s="73" t="str">
        <f>"Maintenance Savings ("&amp;D15&amp;")"</f>
        <v>Maintenance Savings (Dollar)</v>
      </c>
      <c r="AK24" s="122"/>
      <c r="AL24" s="63"/>
      <c r="AM24" s="110">
        <f>AB9</f>
        <v>5257.980000000003</v>
      </c>
      <c r="AN24" s="110">
        <f>SUM(AB9:AB13)</f>
        <v>30237.270699799803</v>
      </c>
      <c r="AO24" s="110">
        <f>SUM(AB9:AB18)</f>
        <v>72646.60705144843</v>
      </c>
      <c r="AP24" s="110">
        <f>SUM(AB9:AB23)</f>
        <v>1257658.051712136</v>
      </c>
      <c r="AQ24" s="111">
        <f>SUM(AB9:AB28)</f>
        <v>1341083.6352780312</v>
      </c>
    </row>
    <row r="25" spans="3:43" ht="12">
      <c r="C25" s="62"/>
      <c r="D25" s="81" t="s">
        <v>73</v>
      </c>
      <c r="E25" s="82" t="s">
        <v>43</v>
      </c>
      <c r="F25" s="25"/>
      <c r="G25" s="25"/>
      <c r="I25" s="62">
        <v>17</v>
      </c>
      <c r="J25" s="52">
        <f t="shared" si="3"/>
        <v>158919.99326364844</v>
      </c>
      <c r="K25" s="70"/>
      <c r="L25" s="55">
        <f t="shared" si="11"/>
        <v>3382187.7288364423</v>
      </c>
      <c r="M25" s="54">
        <f t="shared" si="0"/>
        <v>3541107.7221000907</v>
      </c>
      <c r="N25" s="55">
        <f t="shared" si="4"/>
        <v>38118238.19437849</v>
      </c>
      <c r="O25" s="56"/>
      <c r="P25" s="56"/>
      <c r="Q25" s="62">
        <v>17</v>
      </c>
      <c r="R25" s="52">
        <f t="shared" si="5"/>
        <v>143397.5753169665</v>
      </c>
      <c r="S25" s="70"/>
      <c r="T25" s="57">
        <f t="shared" si="12"/>
        <v>2184329.5748735354</v>
      </c>
      <c r="U25" s="139">
        <f t="shared" si="1"/>
        <v>2327727.150190502</v>
      </c>
      <c r="V25" s="55">
        <f t="shared" si="6"/>
        <v>25449447.581483364</v>
      </c>
      <c r="W25" s="56"/>
      <c r="X25" s="56"/>
      <c r="Z25" s="62">
        <v>17</v>
      </c>
      <c r="AA25" s="63"/>
      <c r="AB25" s="52">
        <f t="shared" si="7"/>
        <v>15522.417946681933</v>
      </c>
      <c r="AC25" s="57">
        <f t="shared" si="8"/>
        <v>1197858.153962907</v>
      </c>
      <c r="AD25" s="59">
        <f t="shared" si="2"/>
        <v>1213380.5719095888</v>
      </c>
      <c r="AE25" s="54">
        <f t="shared" si="9"/>
        <v>240060.87749930908</v>
      </c>
      <c r="AF25" s="55">
        <f t="shared" si="10"/>
        <v>4302181.970411656</v>
      </c>
      <c r="AJ25" s="73" t="str">
        <f>"NPV of Upgrade Savings ("&amp;D15&amp;")**"</f>
        <v>NPV of Upgrade Savings (Dollar)**</v>
      </c>
      <c r="AK25" s="122"/>
      <c r="AL25" s="63"/>
      <c r="AM25" s="110">
        <f>$AF$9</f>
        <v>-758850.9272727272</v>
      </c>
      <c r="AN25" s="110">
        <f>$AF$13</f>
        <v>636582.5874806697</v>
      </c>
      <c r="AO25" s="110">
        <f>$AF$18</f>
        <v>2177231.105541562</v>
      </c>
      <c r="AP25" s="110">
        <f>$AF$23</f>
        <v>3815329.536604646</v>
      </c>
      <c r="AQ25" s="111">
        <f>$AF$28</f>
        <v>4983791.274819317</v>
      </c>
    </row>
    <row r="26" spans="3:43" ht="12">
      <c r="C26" s="62" t="s">
        <v>0</v>
      </c>
      <c r="D26" s="5" t="s">
        <v>66</v>
      </c>
      <c r="E26" s="6" t="s">
        <v>66</v>
      </c>
      <c r="F26" s="25"/>
      <c r="G26" s="25"/>
      <c r="I26" s="62">
        <v>18</v>
      </c>
      <c r="J26" s="52">
        <f t="shared" si="3"/>
        <v>170044.39279210384</v>
      </c>
      <c r="K26" s="70"/>
      <c r="L26" s="55">
        <f t="shared" si="11"/>
        <v>3618940.8698549937</v>
      </c>
      <c r="M26" s="54">
        <f t="shared" si="0"/>
        <v>3788985.2626470975</v>
      </c>
      <c r="N26" s="55">
        <f t="shared" si="4"/>
        <v>41907223.45702559</v>
      </c>
      <c r="O26" s="56"/>
      <c r="P26" s="56"/>
      <c r="Q26" s="62">
        <v>18</v>
      </c>
      <c r="R26" s="52">
        <f t="shared" si="5"/>
        <v>153435.40558915416</v>
      </c>
      <c r="S26" s="70"/>
      <c r="T26" s="57">
        <f t="shared" si="12"/>
        <v>2337232.645114683</v>
      </c>
      <c r="U26" s="139">
        <f t="shared" si="1"/>
        <v>2490668.050703837</v>
      </c>
      <c r="V26" s="55">
        <f t="shared" si="6"/>
        <v>27940115.632187203</v>
      </c>
      <c r="W26" s="56"/>
      <c r="X26" s="56"/>
      <c r="Z26" s="62">
        <v>18</v>
      </c>
      <c r="AA26" s="63"/>
      <c r="AB26" s="52">
        <f t="shared" si="7"/>
        <v>16608.987202949676</v>
      </c>
      <c r="AC26" s="57">
        <f t="shared" si="8"/>
        <v>1281708.2247403106</v>
      </c>
      <c r="AD26" s="59">
        <f t="shared" si="2"/>
        <v>1298317.2119432602</v>
      </c>
      <c r="AE26" s="54">
        <f t="shared" si="9"/>
        <v>233513.76265841885</v>
      </c>
      <c r="AF26" s="55">
        <f t="shared" si="10"/>
        <v>4535695.7330700755</v>
      </c>
      <c r="AJ26" s="73" t="s">
        <v>28</v>
      </c>
      <c r="AK26" s="122"/>
      <c r="AL26" s="63"/>
      <c r="AM26" s="145" t="s">
        <v>54</v>
      </c>
      <c r="AN26" s="145">
        <f>IRR($AD$8:$AD$13)</f>
        <v>0.2909685493973997</v>
      </c>
      <c r="AO26" s="145">
        <f>IRR($AD$8:$AD$18)</f>
        <v>0.40992850717266716</v>
      </c>
      <c r="AP26" s="145">
        <f>IRR($AD$8:$AD$23)</f>
        <v>0.43065715972643537</v>
      </c>
      <c r="AQ26" s="146">
        <f>IRR($AD$8:$AD$28)</f>
        <v>0.4342137633872474</v>
      </c>
    </row>
    <row r="27" spans="3:43" ht="12.75" thickBot="1">
      <c r="C27" s="62" t="s">
        <v>1</v>
      </c>
      <c r="D27" s="5" t="s">
        <v>7</v>
      </c>
      <c r="E27" s="6" t="s">
        <v>6</v>
      </c>
      <c r="F27" s="25"/>
      <c r="G27" s="25"/>
      <c r="I27" s="62">
        <v>19</v>
      </c>
      <c r="J27" s="52">
        <f t="shared" si="3"/>
        <v>181947.5002875511</v>
      </c>
      <c r="K27" s="70"/>
      <c r="L27" s="55">
        <f t="shared" si="11"/>
        <v>3872266.7307448434</v>
      </c>
      <c r="M27" s="54">
        <f t="shared" si="0"/>
        <v>4054214.2310323943</v>
      </c>
      <c r="N27" s="55">
        <f t="shared" si="4"/>
        <v>45961437.68805798</v>
      </c>
      <c r="O27" s="56"/>
      <c r="P27" s="56"/>
      <c r="Q27" s="62">
        <v>19</v>
      </c>
      <c r="R27" s="52">
        <f t="shared" si="5"/>
        <v>164175.88398039498</v>
      </c>
      <c r="S27" s="70"/>
      <c r="T27" s="57">
        <f t="shared" si="12"/>
        <v>2500838.930272711</v>
      </c>
      <c r="U27" s="139">
        <f t="shared" si="1"/>
        <v>2665014.814253106</v>
      </c>
      <c r="V27" s="55">
        <f t="shared" si="6"/>
        <v>30605130.44644031</v>
      </c>
      <c r="W27" s="56"/>
      <c r="X27" s="56"/>
      <c r="Z27" s="62">
        <v>19</v>
      </c>
      <c r="AA27" s="63"/>
      <c r="AB27" s="52">
        <f t="shared" si="7"/>
        <v>17771.61630715613</v>
      </c>
      <c r="AC27" s="57">
        <f t="shared" si="8"/>
        <v>1371427.8004721324</v>
      </c>
      <c r="AD27" s="59">
        <f t="shared" si="2"/>
        <v>1389199.4167792886</v>
      </c>
      <c r="AE27" s="54">
        <f t="shared" si="9"/>
        <v>227145.2054950074</v>
      </c>
      <c r="AF27" s="55">
        <f t="shared" si="10"/>
        <v>4762840.938565083</v>
      </c>
      <c r="AJ27" s="74" t="s">
        <v>29</v>
      </c>
      <c r="AK27" s="123"/>
      <c r="AL27" s="124"/>
      <c r="AM27" s="125">
        <f>-1*(AA8/AC9)</f>
        <v>2.791086268594919</v>
      </c>
      <c r="AN27" s="125">
        <f>AM27</f>
        <v>2.791086268594919</v>
      </c>
      <c r="AO27" s="125">
        <f>AN27</f>
        <v>2.791086268594919</v>
      </c>
      <c r="AP27" s="125">
        <f>AO27</f>
        <v>2.791086268594919</v>
      </c>
      <c r="AQ27" s="126">
        <f>AP27</f>
        <v>2.791086268594919</v>
      </c>
    </row>
    <row r="28" spans="3:36" ht="12.75" thickBot="1">
      <c r="C28" s="62" t="s">
        <v>2</v>
      </c>
      <c r="D28" s="5" t="s">
        <v>51</v>
      </c>
      <c r="E28" s="6" t="s">
        <v>8</v>
      </c>
      <c r="F28" s="25"/>
      <c r="G28" s="25"/>
      <c r="I28" s="84">
        <v>20</v>
      </c>
      <c r="J28" s="85">
        <f t="shared" si="3"/>
        <v>194683.82530767968</v>
      </c>
      <c r="K28" s="86"/>
      <c r="L28" s="87">
        <f t="shared" si="11"/>
        <v>4143325.4018969825</v>
      </c>
      <c r="M28" s="88">
        <f t="shared" si="0"/>
        <v>4338009.227204662</v>
      </c>
      <c r="N28" s="55">
        <f t="shared" si="4"/>
        <v>50299446.91526264</v>
      </c>
      <c r="O28" s="56"/>
      <c r="P28" s="56"/>
      <c r="Q28" s="84">
        <v>20</v>
      </c>
      <c r="R28" s="85">
        <f t="shared" si="5"/>
        <v>175668.1958590226</v>
      </c>
      <c r="S28" s="86"/>
      <c r="T28" s="90">
        <f t="shared" si="12"/>
        <v>2675897.6553918007</v>
      </c>
      <c r="U28" s="140">
        <f t="shared" si="1"/>
        <v>2851565.851250823</v>
      </c>
      <c r="V28" s="87">
        <f t="shared" si="6"/>
        <v>33456696.297691133</v>
      </c>
      <c r="W28" s="56"/>
      <c r="X28" s="56"/>
      <c r="Z28" s="84">
        <v>20</v>
      </c>
      <c r="AA28" s="89"/>
      <c r="AB28" s="85">
        <f t="shared" si="7"/>
        <v>19015.62944865707</v>
      </c>
      <c r="AC28" s="90">
        <f t="shared" si="8"/>
        <v>1467427.7465051818</v>
      </c>
      <c r="AD28" s="91">
        <f t="shared" si="2"/>
        <v>1486443.375953839</v>
      </c>
      <c r="AE28" s="88">
        <f t="shared" si="9"/>
        <v>220950.3362542345</v>
      </c>
      <c r="AF28" s="87">
        <f t="shared" si="10"/>
        <v>4983791.274819317</v>
      </c>
      <c r="AJ28" s="20" t="s">
        <v>50</v>
      </c>
    </row>
    <row r="29" spans="3:36" ht="13.5" thickBot="1" thickTop="1">
      <c r="C29" s="62" t="s">
        <v>3</v>
      </c>
      <c r="D29" s="5">
        <v>40</v>
      </c>
      <c r="E29" s="6">
        <v>32</v>
      </c>
      <c r="F29" s="25"/>
      <c r="G29" s="92"/>
      <c r="I29" s="93" t="s">
        <v>31</v>
      </c>
      <c r="J29" s="94">
        <f>SUM(J8:J28)</f>
        <v>2206857.043988818</v>
      </c>
      <c r="K29" s="94">
        <f>SUM(K8:K28)</f>
        <v>1125530.1565628443</v>
      </c>
      <c r="L29" s="95">
        <f>SUM(L8:L28)</f>
        <v>46967059.71471098</v>
      </c>
      <c r="M29" s="96">
        <f>SUM(M8:M28)</f>
        <v>50299446.91526264</v>
      </c>
      <c r="N29" s="129"/>
      <c r="O29" s="56"/>
      <c r="P29" s="56"/>
      <c r="Q29" s="93" t="s">
        <v>31</v>
      </c>
      <c r="R29" s="94">
        <f>SUM(R8:R28)</f>
        <v>2282303.565273631</v>
      </c>
      <c r="S29" s="94">
        <f>SUM(S8:S28)</f>
        <v>841500</v>
      </c>
      <c r="T29" s="98">
        <f>SUM(T8:T28)</f>
        <v>30332892.732417505</v>
      </c>
      <c r="U29" s="141">
        <f>SUM(U8:U28)</f>
        <v>33456696.297691133</v>
      </c>
      <c r="V29" s="142"/>
      <c r="W29" s="56"/>
      <c r="X29" s="25"/>
      <c r="Z29" s="93" t="s">
        <v>31</v>
      </c>
      <c r="AA29" s="97"/>
      <c r="AB29" s="94">
        <f>SUM(AB8:AB28)</f>
        <v>1341083.6352780312</v>
      </c>
      <c r="AC29" s="98">
        <f>SUM(AC8:AC28)</f>
        <v>16634166.982293475</v>
      </c>
      <c r="AD29" s="99">
        <f>SUM(AD8:AD28)</f>
        <v>16842750.617571503</v>
      </c>
      <c r="AE29" s="100">
        <f>SUM(AE8:AE28)</f>
        <v>4983791.274819317</v>
      </c>
      <c r="AF29" s="135"/>
      <c r="AJ29" s="20" t="s">
        <v>55</v>
      </c>
    </row>
    <row r="30" spans="3:22" ht="12">
      <c r="C30" s="62" t="s">
        <v>16</v>
      </c>
      <c r="D30" s="5">
        <v>2</v>
      </c>
      <c r="E30" s="6">
        <v>2</v>
      </c>
      <c r="F30" s="25"/>
      <c r="G30" s="92"/>
      <c r="I30" s="20" t="s">
        <v>57</v>
      </c>
      <c r="J30" s="56"/>
      <c r="K30" s="56"/>
      <c r="L30" s="56"/>
      <c r="M30" s="56"/>
      <c r="N30" s="56"/>
      <c r="Q30" s="20" t="s">
        <v>57</v>
      </c>
      <c r="R30" s="56"/>
      <c r="S30" s="56"/>
      <c r="T30" s="56"/>
      <c r="U30" s="56"/>
      <c r="V30" s="56"/>
    </row>
    <row r="31" spans="3:30" ht="12">
      <c r="C31" s="62" t="s">
        <v>15</v>
      </c>
      <c r="D31" s="5">
        <v>1</v>
      </c>
      <c r="E31" s="6">
        <v>1</v>
      </c>
      <c r="F31" s="25"/>
      <c r="G31" s="92"/>
      <c r="M31" s="101" t="s">
        <v>11</v>
      </c>
      <c r="Q31" s="102"/>
      <c r="R31" s="102"/>
      <c r="S31" s="102"/>
      <c r="T31" s="102"/>
      <c r="U31" s="101" t="s">
        <v>11</v>
      </c>
      <c r="V31" s="102"/>
      <c r="W31" s="101" t="s">
        <v>11</v>
      </c>
      <c r="AB31" s="101"/>
      <c r="AC31" s="184"/>
      <c r="AD31" s="185"/>
    </row>
    <row r="32" spans="3:24" ht="12">
      <c r="C32" s="62" t="s">
        <v>5</v>
      </c>
      <c r="D32" s="7">
        <v>8000</v>
      </c>
      <c r="E32" s="8">
        <v>20000</v>
      </c>
      <c r="F32" s="25"/>
      <c r="G32" s="92"/>
      <c r="I32" s="20" t="s">
        <v>35</v>
      </c>
      <c r="Q32" s="25" t="s">
        <v>35</v>
      </c>
      <c r="R32" s="25"/>
      <c r="S32" s="25"/>
      <c r="T32" s="25"/>
      <c r="U32" s="25"/>
      <c r="V32" s="25"/>
      <c r="W32" s="25"/>
      <c r="X32" s="25"/>
    </row>
    <row r="33" spans="3:22" ht="12.75" customHeight="1">
      <c r="C33" s="62" t="s">
        <v>4</v>
      </c>
      <c r="D33" s="5">
        <v>96</v>
      </c>
      <c r="E33" s="6">
        <v>62</v>
      </c>
      <c r="F33" s="25"/>
      <c r="G33" s="92"/>
      <c r="I33" s="186" t="s">
        <v>56</v>
      </c>
      <c r="J33" s="186"/>
      <c r="K33" s="186"/>
      <c r="L33" s="186"/>
      <c r="M33" s="186"/>
      <c r="N33" s="186"/>
      <c r="O33" s="152"/>
      <c r="P33" s="103"/>
      <c r="Q33" s="186" t="str">
        <f>I33</f>
        <v>1)  Year 0 (Initial) costs represent the material and labor costs associated with the installation of the lighting system. These costs are not applicable for existing systems. </v>
      </c>
      <c r="R33" s="186"/>
      <c r="S33" s="186"/>
      <c r="T33" s="186"/>
      <c r="U33" s="186"/>
      <c r="V33" s="186"/>
    </row>
    <row r="34" spans="3:22" ht="12" customHeight="1">
      <c r="C34" s="84" t="s">
        <v>67</v>
      </c>
      <c r="D34" s="9">
        <v>900</v>
      </c>
      <c r="E34" s="10">
        <v>900</v>
      </c>
      <c r="G34" s="92"/>
      <c r="I34" s="186"/>
      <c r="J34" s="186"/>
      <c r="K34" s="186"/>
      <c r="L34" s="186"/>
      <c r="M34" s="186"/>
      <c r="N34" s="186"/>
      <c r="O34" s="152"/>
      <c r="P34" s="103"/>
      <c r="Q34" s="186"/>
      <c r="R34" s="186"/>
      <c r="S34" s="186"/>
      <c r="T34" s="186"/>
      <c r="U34" s="186"/>
      <c r="V34" s="186"/>
    </row>
    <row r="35" spans="3:22" ht="13.5" customHeight="1">
      <c r="C35" s="109" t="str">
        <f>"Lamp Cost ("&amp;D15&amp;")"</f>
        <v>Lamp Cost (Dollar)</v>
      </c>
      <c r="D35" s="5">
        <v>60</v>
      </c>
      <c r="E35" s="6">
        <v>150</v>
      </c>
      <c r="F35" s="25"/>
      <c r="G35" s="92"/>
      <c r="I35" s="194" t="s">
        <v>94</v>
      </c>
      <c r="J35" s="194"/>
      <c r="K35" s="194"/>
      <c r="L35" s="194"/>
      <c r="M35" s="194"/>
      <c r="N35" s="194"/>
      <c r="O35" s="153"/>
      <c r="P35" s="195"/>
      <c r="Q35" s="194" t="str">
        <f>I35</f>
        <v>2) For simplicity, it is assumed that the same number of lamps are replaced each year. This means lamp replacement cost are the same every year before adjustment for inflation.  In reality, lamp replacment and the associated costs will tend to be concentrated around the end of the rate life.</v>
      </c>
      <c r="R35" s="194"/>
      <c r="S35" s="194"/>
      <c r="T35" s="194"/>
      <c r="U35" s="194"/>
      <c r="V35" s="194"/>
    </row>
    <row r="36" spans="3:22" ht="12" customHeight="1" thickBot="1">
      <c r="C36" s="112" t="str">
        <f>"Ballast Cost ("&amp;D15&amp;")"</f>
        <v>Ballast Cost (Dollar)</v>
      </c>
      <c r="D36" s="11">
        <v>450</v>
      </c>
      <c r="E36" s="12">
        <v>900</v>
      </c>
      <c r="F36" s="80"/>
      <c r="G36" s="92"/>
      <c r="I36" s="194"/>
      <c r="J36" s="194"/>
      <c r="K36" s="194"/>
      <c r="L36" s="194"/>
      <c r="M36" s="194"/>
      <c r="N36" s="194"/>
      <c r="O36" s="153"/>
      <c r="P36" s="162"/>
      <c r="Q36" s="194"/>
      <c r="R36" s="194"/>
      <c r="S36" s="194"/>
      <c r="T36" s="194"/>
      <c r="U36" s="194"/>
      <c r="V36" s="194"/>
    </row>
    <row r="37" spans="6:22" ht="12.75" customHeight="1">
      <c r="F37" s="113"/>
      <c r="G37" s="92"/>
      <c r="I37" s="194"/>
      <c r="J37" s="194"/>
      <c r="K37" s="194"/>
      <c r="L37" s="194"/>
      <c r="M37" s="194"/>
      <c r="N37" s="194"/>
      <c r="O37" s="156"/>
      <c r="P37" s="195"/>
      <c r="Q37" s="194"/>
      <c r="R37" s="194"/>
      <c r="S37" s="194"/>
      <c r="T37" s="194"/>
      <c r="U37" s="194"/>
      <c r="V37" s="194"/>
    </row>
    <row r="38" spans="3:22" ht="12" customHeight="1">
      <c r="C38" s="25"/>
      <c r="D38" s="25"/>
      <c r="E38" s="25"/>
      <c r="F38" s="113"/>
      <c r="G38" s="92"/>
      <c r="I38" s="194"/>
      <c r="J38" s="194"/>
      <c r="K38" s="194"/>
      <c r="L38" s="194"/>
      <c r="M38" s="194"/>
      <c r="N38" s="194"/>
      <c r="O38" s="4"/>
      <c r="P38" s="162"/>
      <c r="Q38" s="194"/>
      <c r="R38" s="194"/>
      <c r="S38" s="194"/>
      <c r="T38" s="194"/>
      <c r="U38" s="194"/>
      <c r="V38" s="194"/>
    </row>
    <row r="39" spans="6:22" ht="12" customHeight="1">
      <c r="F39" s="113"/>
      <c r="G39" s="92"/>
      <c r="I39" s="186" t="s">
        <v>95</v>
      </c>
      <c r="J39" s="186"/>
      <c r="K39" s="186"/>
      <c r="L39" s="186"/>
      <c r="M39" s="186"/>
      <c r="N39" s="186"/>
      <c r="O39" s="4"/>
      <c r="Q39" s="186" t="str">
        <f>I39</f>
        <v>3) Magnetic ballasts have a rated life of 14 years if installed properly (electronic ballasts have a rated life of 20+ years).  Therefore, replacement costs for magnetic ballasts are applied at year 14, and electronic ballasts replacement costs are not applicable. </v>
      </c>
      <c r="R39" s="186"/>
      <c r="S39" s="186"/>
      <c r="T39" s="186"/>
      <c r="U39" s="186"/>
      <c r="V39" s="186"/>
    </row>
    <row r="40" spans="6:22" ht="12" customHeight="1">
      <c r="F40" s="113"/>
      <c r="G40" s="113"/>
      <c r="I40" s="186"/>
      <c r="J40" s="186"/>
      <c r="K40" s="186"/>
      <c r="L40" s="186"/>
      <c r="M40" s="186"/>
      <c r="N40" s="186"/>
      <c r="O40" s="4"/>
      <c r="Q40" s="186"/>
      <c r="R40" s="186"/>
      <c r="S40" s="186"/>
      <c r="T40" s="186"/>
      <c r="U40" s="186"/>
      <c r="V40" s="186"/>
    </row>
    <row r="41" spans="9:22" ht="12">
      <c r="I41" s="186"/>
      <c r="J41" s="186"/>
      <c r="K41" s="186"/>
      <c r="L41" s="186"/>
      <c r="M41" s="186"/>
      <c r="N41" s="186"/>
      <c r="O41" s="61"/>
      <c r="Q41" s="186"/>
      <c r="R41" s="186"/>
      <c r="S41" s="186"/>
      <c r="T41" s="186"/>
      <c r="U41" s="186"/>
      <c r="V41" s="186"/>
    </row>
    <row r="42" ht="12.75" customHeight="1"/>
  </sheetData>
  <sheetProtection sheet="1" objects="1" scenarios="1"/>
  <mergeCells count="35">
    <mergeCell ref="I33:N34"/>
    <mergeCell ref="Q33:V34"/>
    <mergeCell ref="D21:E21"/>
    <mergeCell ref="I39:N41"/>
    <mergeCell ref="Q39:V41"/>
    <mergeCell ref="I35:N38"/>
    <mergeCell ref="P35:P36"/>
    <mergeCell ref="Q35:V38"/>
    <mergeCell ref="P37:P38"/>
    <mergeCell ref="D16:E16"/>
    <mergeCell ref="D17:E17"/>
    <mergeCell ref="D18:E18"/>
    <mergeCell ref="AC31:AD31"/>
    <mergeCell ref="D19:E19"/>
    <mergeCell ref="D20:E20"/>
    <mergeCell ref="AJ2:AP2"/>
    <mergeCell ref="C3:F3"/>
    <mergeCell ref="I3:N3"/>
    <mergeCell ref="Q3:V3"/>
    <mergeCell ref="Z3:AF3"/>
    <mergeCell ref="AJ3:AP3"/>
    <mergeCell ref="C2:F2"/>
    <mergeCell ref="I2:N2"/>
    <mergeCell ref="Q2:V2"/>
    <mergeCell ref="Z2:AF2"/>
    <mergeCell ref="D15:E15"/>
    <mergeCell ref="AJ7:AL7"/>
    <mergeCell ref="AJ8:AL8"/>
    <mergeCell ref="AJ12:AL12"/>
    <mergeCell ref="D9:F9"/>
    <mergeCell ref="AJ9:AL9"/>
    <mergeCell ref="AJ10:AL10"/>
    <mergeCell ref="D11:F11"/>
    <mergeCell ref="AJ11:AL11"/>
    <mergeCell ref="D10:F10"/>
  </mergeCells>
  <printOptions/>
  <pageMargins left="0.75" right="0.75" top="1" bottom="1" header="0.5" footer="0.5"/>
  <pageSetup blackAndWhite="1" fitToWidth="5" horizontalDpi="600" verticalDpi="600" orientation="portrait" scale="90" r:id="rId10"/>
  <headerFooter alignWithMargins="0">
    <oddFooter>&amp;CUpgrade 4 &amp;D</oddFooter>
  </headerFooter>
  <colBreaks count="4" manualBreakCount="4">
    <brk id="7" max="41" man="1"/>
    <brk id="15" max="41" man="1"/>
    <brk id="24" max="41" man="1"/>
    <brk id="34" max="41" man="1"/>
  </colBreaks>
  <drawing r:id="rId9"/>
  <legacyDrawing r:id="rId8"/>
  <oleObjects>
    <oleObject progId="Word.Picture.8" shapeId="460239" r:id="rId1"/>
    <oleObject progId="Word.Picture.8" shapeId="664376" r:id="rId2"/>
    <oleObject progId="Word.Picture.8" shapeId="665939" r:id="rId3"/>
    <oleObject progId="Word.Picture.8" shapeId="1142419" r:id="rId4"/>
    <oleObject progId="Word.Picture.8" shapeId="1529107" r:id="rId5"/>
    <oleObject progId="Word.Picture.8" shapeId="1579889" r:id="rId6"/>
    <oleObject progId="Word.Picture.8" shapeId="1263185" r:id="rId7"/>
  </oleObjects>
</worksheet>
</file>

<file path=xl/worksheets/sheet6.xml><?xml version="1.0" encoding="utf-8"?>
<worksheet xmlns="http://schemas.openxmlformats.org/spreadsheetml/2006/main" xmlns:r="http://schemas.openxmlformats.org/officeDocument/2006/relationships">
  <sheetPr codeName="Sheet5"/>
  <dimension ref="A2:AQ48"/>
  <sheetViews>
    <sheetView showGridLines="0" showRowColHeaders="0" workbookViewId="0" topLeftCell="A1">
      <pane xSplit="1" topLeftCell="B1" activePane="topRight" state="frozen"/>
      <selection pane="topLeft" activeCell="A2" sqref="A1:A16384"/>
      <selection pane="topRight" activeCell="A7" sqref="A7"/>
    </sheetView>
  </sheetViews>
  <sheetFormatPr defaultColWidth="9.140625" defaultRowHeight="12.75"/>
  <cols>
    <col min="1" max="1" width="32.57421875" style="13" customWidth="1"/>
    <col min="2" max="2" width="0.5625" style="20" customWidth="1"/>
    <col min="3" max="3" width="37.421875" style="20" customWidth="1"/>
    <col min="4" max="6" width="12.7109375" style="20" customWidth="1"/>
    <col min="7" max="7" width="10.8515625" style="20" customWidth="1"/>
    <col min="8" max="8" width="0.85546875" style="22" customWidth="1"/>
    <col min="9" max="9" width="7.57421875" style="20" customWidth="1"/>
    <col min="10" max="10" width="15.7109375" style="20" customWidth="1"/>
    <col min="11" max="11" width="15.28125" style="20" customWidth="1"/>
    <col min="12" max="12" width="10.57421875" style="20" customWidth="1"/>
    <col min="13" max="14" width="11.28125" style="20" customWidth="1"/>
    <col min="15" max="15" width="15.421875" style="20" customWidth="1"/>
    <col min="16" max="16" width="0.9921875" style="20" customWidth="1"/>
    <col min="17" max="17" width="7.140625" style="20" customWidth="1"/>
    <col min="18" max="18" width="16.7109375" style="20" customWidth="1"/>
    <col min="19" max="19" width="17.00390625" style="20" customWidth="1"/>
    <col min="20" max="20" width="10.57421875" style="20" customWidth="1"/>
    <col min="21" max="21" width="11.57421875" style="20" customWidth="1"/>
    <col min="22" max="22" width="11.28125" style="20" customWidth="1"/>
    <col min="23" max="23" width="11.140625" style="20" customWidth="1"/>
    <col min="24" max="24" width="8.57421875" style="20" customWidth="1"/>
    <col min="25" max="25" width="1.1484375" style="20" customWidth="1"/>
    <col min="26" max="26" width="9.8515625" style="20" customWidth="1"/>
    <col min="27" max="27" width="10.421875" style="20" customWidth="1"/>
    <col min="28" max="28" width="12.00390625" style="20" customWidth="1"/>
    <col min="29" max="29" width="10.421875" style="20" customWidth="1"/>
    <col min="30" max="30" width="10.7109375" style="20" customWidth="1"/>
    <col min="31" max="31" width="10.28125" style="20" customWidth="1"/>
    <col min="32" max="32" width="11.28125" style="20" customWidth="1"/>
    <col min="33" max="33" width="10.8515625" style="20" customWidth="1"/>
    <col min="34" max="34" width="9.140625" style="20" customWidth="1"/>
    <col min="35" max="35" width="1.1484375" style="20" customWidth="1"/>
    <col min="36" max="38" width="11.421875" style="20" customWidth="1"/>
    <col min="39" max="43" width="10.7109375" style="20" customWidth="1"/>
    <col min="44" max="59" width="9.140625" style="20" customWidth="1"/>
    <col min="60" max="16384" width="9.140625" style="15" customWidth="1"/>
  </cols>
  <sheetData>
    <row r="2" spans="3:42" ht="12.75">
      <c r="C2" s="160" t="s">
        <v>10</v>
      </c>
      <c r="D2" s="160"/>
      <c r="E2" s="160"/>
      <c r="F2" s="160"/>
      <c r="G2" s="21"/>
      <c r="I2" s="160" t="s">
        <v>10</v>
      </c>
      <c r="J2" s="196"/>
      <c r="K2" s="196"/>
      <c r="L2" s="196"/>
      <c r="M2" s="196"/>
      <c r="N2" s="196"/>
      <c r="O2" s="21"/>
      <c r="Q2" s="160" t="s">
        <v>10</v>
      </c>
      <c r="R2" s="196"/>
      <c r="S2" s="196"/>
      <c r="T2" s="196"/>
      <c r="U2" s="196"/>
      <c r="V2" s="196"/>
      <c r="W2" s="21"/>
      <c r="Z2" s="160" t="s">
        <v>10</v>
      </c>
      <c r="AA2" s="196"/>
      <c r="AB2" s="196"/>
      <c r="AC2" s="196"/>
      <c r="AD2" s="196"/>
      <c r="AE2" s="196"/>
      <c r="AF2" s="196"/>
      <c r="AG2" s="21"/>
      <c r="AJ2" s="160" t="s">
        <v>10</v>
      </c>
      <c r="AK2" s="196"/>
      <c r="AL2" s="196"/>
      <c r="AM2" s="196"/>
      <c r="AN2" s="196"/>
      <c r="AO2" s="196"/>
      <c r="AP2" s="196"/>
    </row>
    <row r="3" spans="3:42" ht="12.75">
      <c r="C3" s="160" t="str">
        <f>Upgrade1!$C$3</f>
        <v>Company Name</v>
      </c>
      <c r="D3" s="161"/>
      <c r="E3" s="161"/>
      <c r="F3" s="161"/>
      <c r="G3" s="21"/>
      <c r="I3" s="160" t="str">
        <f>C3</f>
        <v>Company Name</v>
      </c>
      <c r="J3" s="196"/>
      <c r="K3" s="196"/>
      <c r="L3" s="196"/>
      <c r="M3" s="196"/>
      <c r="N3" s="196"/>
      <c r="O3" s="21"/>
      <c r="Q3" s="160" t="str">
        <f>C3</f>
        <v>Company Name</v>
      </c>
      <c r="R3" s="196"/>
      <c r="S3" s="196"/>
      <c r="T3" s="196"/>
      <c r="U3" s="196"/>
      <c r="V3" s="196"/>
      <c r="W3" s="21"/>
      <c r="Z3" s="160" t="str">
        <f>C3</f>
        <v>Company Name</v>
      </c>
      <c r="AA3" s="196"/>
      <c r="AB3" s="196"/>
      <c r="AC3" s="196"/>
      <c r="AD3" s="196"/>
      <c r="AE3" s="196"/>
      <c r="AF3" s="196"/>
      <c r="AG3" s="21"/>
      <c r="AJ3" s="160" t="str">
        <f>C3</f>
        <v>Company Name</v>
      </c>
      <c r="AK3" s="196"/>
      <c r="AL3" s="196"/>
      <c r="AM3" s="196"/>
      <c r="AN3" s="196"/>
      <c r="AO3" s="196"/>
      <c r="AP3" s="196"/>
    </row>
    <row r="4" spans="3:42" ht="12">
      <c r="C4" s="21"/>
      <c r="D4" s="21"/>
      <c r="E4" s="21"/>
      <c r="F4" s="23" t="s">
        <v>101</v>
      </c>
      <c r="N4" s="24" t="s">
        <v>100</v>
      </c>
      <c r="Q4" s="25"/>
      <c r="R4" s="25"/>
      <c r="S4" s="25"/>
      <c r="T4" s="25"/>
      <c r="V4" s="24" t="s">
        <v>99</v>
      </c>
      <c r="AF4" s="24" t="s">
        <v>98</v>
      </c>
      <c r="AP4" s="24" t="s">
        <v>97</v>
      </c>
    </row>
    <row r="5" spans="3:33" ht="12.75" thickBot="1">
      <c r="C5" s="21"/>
      <c r="D5" s="21"/>
      <c r="E5" s="21"/>
      <c r="F5" s="26"/>
      <c r="G5" s="27"/>
      <c r="N5" s="26"/>
      <c r="O5" s="28"/>
      <c r="Q5" s="29"/>
      <c r="R5" s="29"/>
      <c r="S5" s="25"/>
      <c r="T5" s="25"/>
      <c r="V5" s="26"/>
      <c r="W5" s="28"/>
      <c r="AF5" s="26"/>
      <c r="AG5" s="28"/>
    </row>
    <row r="6" spans="1:39" ht="12.75" thickBot="1">
      <c r="A6" s="14" t="s">
        <v>109</v>
      </c>
      <c r="B6" s="21"/>
      <c r="C6" s="21" t="s">
        <v>11</v>
      </c>
      <c r="D6" s="21"/>
      <c r="E6" s="21"/>
      <c r="F6" s="21"/>
      <c r="G6" s="21"/>
      <c r="I6" s="30" t="s">
        <v>91</v>
      </c>
      <c r="J6" s="31"/>
      <c r="K6" s="31"/>
      <c r="L6" s="31"/>
      <c r="M6" s="31"/>
      <c r="N6" s="32"/>
      <c r="O6" s="25"/>
      <c r="P6" s="25"/>
      <c r="Q6" s="143" t="s">
        <v>107</v>
      </c>
      <c r="R6" s="31"/>
      <c r="S6" s="31"/>
      <c r="T6" s="31"/>
      <c r="U6" s="31"/>
      <c r="V6" s="32"/>
      <c r="W6" s="25"/>
      <c r="X6" s="25"/>
      <c r="Z6" s="30" t="s">
        <v>53</v>
      </c>
      <c r="AA6" s="33"/>
      <c r="AB6" s="31"/>
      <c r="AC6" s="31"/>
      <c r="AD6" s="31"/>
      <c r="AE6" s="31"/>
      <c r="AF6" s="32"/>
      <c r="AJ6" s="116" t="s">
        <v>60</v>
      </c>
      <c r="AK6" s="117"/>
      <c r="AL6" s="117"/>
      <c r="AM6" s="95">
        <f>Upgrade1!AM15+Upgrade2!AC41+Upgrade3!AC41+Upgrade4!AC41</f>
        <v>1132500</v>
      </c>
    </row>
    <row r="7" spans="1:34" ht="36.75" thickBot="1">
      <c r="A7" s="16" t="s">
        <v>108</v>
      </c>
      <c r="B7" s="34"/>
      <c r="C7" s="20" t="s">
        <v>11</v>
      </c>
      <c r="I7" s="35" t="s">
        <v>18</v>
      </c>
      <c r="J7" s="36" t="s">
        <v>46</v>
      </c>
      <c r="K7" s="36" t="s">
        <v>47</v>
      </c>
      <c r="L7" s="37" t="s">
        <v>52</v>
      </c>
      <c r="M7" s="38" t="s">
        <v>32</v>
      </c>
      <c r="N7" s="39" t="s">
        <v>34</v>
      </c>
      <c r="O7" s="40"/>
      <c r="P7" s="41"/>
      <c r="Q7" s="35" t="s">
        <v>18</v>
      </c>
      <c r="R7" s="36" t="s">
        <v>46</v>
      </c>
      <c r="S7" s="36" t="s">
        <v>47</v>
      </c>
      <c r="T7" s="44" t="s">
        <v>52</v>
      </c>
      <c r="U7" s="138" t="s">
        <v>32</v>
      </c>
      <c r="V7" s="39" t="s">
        <v>34</v>
      </c>
      <c r="W7" s="40"/>
      <c r="X7" s="41"/>
      <c r="Z7" s="35" t="s">
        <v>18</v>
      </c>
      <c r="AA7" s="38" t="s">
        <v>39</v>
      </c>
      <c r="AB7" s="36" t="s">
        <v>38</v>
      </c>
      <c r="AC7" s="44" t="s">
        <v>37</v>
      </c>
      <c r="AD7" s="45" t="s">
        <v>40</v>
      </c>
      <c r="AE7" s="46" t="s">
        <v>36</v>
      </c>
      <c r="AF7" s="37" t="s">
        <v>33</v>
      </c>
      <c r="AH7" s="47"/>
    </row>
    <row r="8" spans="1:43" ht="12">
      <c r="A8" s="14"/>
      <c r="B8" s="21"/>
      <c r="C8" s="48" t="s">
        <v>9</v>
      </c>
      <c r="D8" s="49" t="s">
        <v>11</v>
      </c>
      <c r="E8" s="49"/>
      <c r="F8" s="50"/>
      <c r="I8" s="51" t="s">
        <v>30</v>
      </c>
      <c r="J8" s="52">
        <f>Upgrade1!J8+Upgrade2!J8+Upgrade3!J8+Upgrade4!J8</f>
        <v>0</v>
      </c>
      <c r="K8" s="52">
        <v>0</v>
      </c>
      <c r="L8" s="53"/>
      <c r="M8" s="54">
        <f>SUM(J8:L8)</f>
        <v>0</v>
      </c>
      <c r="N8" s="55">
        <f>M8</f>
        <v>0</v>
      </c>
      <c r="O8" s="56"/>
      <c r="P8" s="56"/>
      <c r="Q8" s="51" t="s">
        <v>30</v>
      </c>
      <c r="R8" s="52">
        <f>Upgrade1!R8+Upgrade2!R8+Upgrade3!R8+Upgrade4!R8</f>
        <v>1164000</v>
      </c>
      <c r="S8" s="52">
        <f>Upgrade1!S8+Upgrade2!S8+Upgrade3!S8+Upgrade4!S8</f>
        <v>3366000</v>
      </c>
      <c r="T8" s="57">
        <f>Upgrade1!T8+Upgrade2!T8+Upgrade3!T8+Upgrade4!T8</f>
        <v>0</v>
      </c>
      <c r="U8" s="139">
        <f aca="true" t="shared" si="0" ref="U8:U28">SUM(R8:T8)</f>
        <v>4530000</v>
      </c>
      <c r="V8" s="55">
        <f>U8</f>
        <v>4530000</v>
      </c>
      <c r="W8" s="56"/>
      <c r="X8" s="56"/>
      <c r="Z8" s="51" t="s">
        <v>30</v>
      </c>
      <c r="AA8" s="58">
        <f>($J$8+$K$8)-($R$8+$S$8)</f>
        <v>-4530000</v>
      </c>
      <c r="AB8" s="52" t="s">
        <v>11</v>
      </c>
      <c r="AC8" s="57"/>
      <c r="AD8" s="59">
        <f aca="true" t="shared" si="1" ref="AD8:AD28">SUM(AA8:AC8)</f>
        <v>-4530000</v>
      </c>
      <c r="AE8" s="54">
        <f>AD8</f>
        <v>-4530000</v>
      </c>
      <c r="AF8" s="55">
        <f>AE8</f>
        <v>-4530000</v>
      </c>
      <c r="AH8" s="47"/>
      <c r="AJ8" s="77" t="s">
        <v>41</v>
      </c>
      <c r="AK8" s="118"/>
      <c r="AL8" s="119"/>
      <c r="AM8" s="120"/>
      <c r="AN8" s="120"/>
      <c r="AO8" s="120"/>
      <c r="AP8" s="120"/>
      <c r="AQ8" s="121"/>
    </row>
    <row r="9" spans="1:43" ht="12">
      <c r="A9" s="157" t="s">
        <v>102</v>
      </c>
      <c r="B9" s="34"/>
      <c r="C9" s="60" t="s">
        <v>12</v>
      </c>
      <c r="D9" s="174" t="s">
        <v>110</v>
      </c>
      <c r="E9" s="175"/>
      <c r="F9" s="176"/>
      <c r="G9" s="61"/>
      <c r="I9" s="62">
        <v>1</v>
      </c>
      <c r="J9" s="20">
        <f>Upgrade1!J9+Upgrade2!J9+Upgrade3!J9+Upgrade4!J9</f>
        <v>215326.80000000002</v>
      </c>
      <c r="K9" s="52">
        <f>Upgrade1!K9+Upgrade2!K9+Upgrade3!K9+Upgrade4!K9</f>
        <v>0</v>
      </c>
      <c r="L9" s="55">
        <f>Upgrade1!L9+Upgrade2!L9+Upgrade3!L9+Upgrade4!L9</f>
        <v>4582656</v>
      </c>
      <c r="M9" s="54">
        <f aca="true" t="shared" si="2" ref="M9:M28">SUM(J9:L9)</f>
        <v>4797982.8</v>
      </c>
      <c r="N9" s="55">
        <f aca="true" t="shared" si="3" ref="N9:N28">M9+N8</f>
        <v>4797982.8</v>
      </c>
      <c r="O9" s="56"/>
      <c r="P9" s="56"/>
      <c r="Q9" s="62">
        <v>1</v>
      </c>
      <c r="R9" s="52">
        <f>Upgrade1!R9+Upgrade2!R9+Upgrade3!R9+Upgrade4!R9</f>
        <v>194294.88</v>
      </c>
      <c r="S9" s="52">
        <f>Upgrade1!S9+Upgrade2!S9+Upgrade3!S9+Upgrade4!S9</f>
        <v>0</v>
      </c>
      <c r="T9" s="57">
        <f>Upgrade1!T9+Upgrade2!T9+Upgrade3!T9+Upgrade4!T9</f>
        <v>2959632</v>
      </c>
      <c r="U9" s="139">
        <f t="shared" si="0"/>
        <v>3153926.88</v>
      </c>
      <c r="V9" s="55">
        <f aca="true" t="shared" si="4" ref="V9:V28">U9+V8</f>
        <v>7683926.88</v>
      </c>
      <c r="W9" s="56"/>
      <c r="X9" s="56"/>
      <c r="Z9" s="62">
        <v>1</v>
      </c>
      <c r="AA9" s="63"/>
      <c r="AB9" s="52">
        <f>(J8+K9)-(R9+S9)</f>
        <v>-194294.88</v>
      </c>
      <c r="AC9" s="57">
        <f aca="true" t="shared" si="5" ref="AC9:AC28">L9-T9</f>
        <v>1623024</v>
      </c>
      <c r="AD9" s="59">
        <f t="shared" si="1"/>
        <v>1428729.12</v>
      </c>
      <c r="AE9" s="54">
        <f>AD9/POWER((1+$D$13),Z9)</f>
        <v>1298844.6545454545</v>
      </c>
      <c r="AF9" s="55">
        <f aca="true" t="shared" si="6" ref="AF9:AF28">AE9+AF8</f>
        <v>-3231155.3454545457</v>
      </c>
      <c r="AH9" s="64"/>
      <c r="AJ9" s="108"/>
      <c r="AK9" s="122"/>
      <c r="AL9" s="63"/>
      <c r="AM9" s="81" t="s">
        <v>17</v>
      </c>
      <c r="AN9" s="81" t="s">
        <v>23</v>
      </c>
      <c r="AO9" s="81" t="s">
        <v>24</v>
      </c>
      <c r="AP9" s="81" t="s">
        <v>25</v>
      </c>
      <c r="AQ9" s="82" t="s">
        <v>26</v>
      </c>
    </row>
    <row r="10" spans="3:43" ht="12">
      <c r="C10" s="60" t="s">
        <v>27</v>
      </c>
      <c r="D10" s="174" t="s">
        <v>58</v>
      </c>
      <c r="E10" s="175"/>
      <c r="F10" s="176"/>
      <c r="G10" s="61"/>
      <c r="I10" s="62">
        <v>2</v>
      </c>
      <c r="J10" s="52">
        <f>Upgrade1!J10+Upgrade2!J10+Upgrade3!J10+Upgrade4!J10</f>
        <v>230399.676</v>
      </c>
      <c r="K10" s="52">
        <f>Upgrade1!K10+Upgrade2!K10+Upgrade3!K10+Upgrade4!K10</f>
        <v>0</v>
      </c>
      <c r="L10" s="55">
        <f>Upgrade1!L10+Upgrade2!L10+Upgrade3!L10+Upgrade4!L10</f>
        <v>4903441.92</v>
      </c>
      <c r="M10" s="54">
        <f t="shared" si="2"/>
        <v>5133841.596</v>
      </c>
      <c r="N10" s="55">
        <f t="shared" si="3"/>
        <v>9931824.396</v>
      </c>
      <c r="O10" s="56"/>
      <c r="P10" s="56"/>
      <c r="Q10" s="62">
        <v>2</v>
      </c>
      <c r="R10" s="52">
        <f>Upgrade1!R10+Upgrade2!R10+Upgrade3!R10+Upgrade4!R10</f>
        <v>207895.5216</v>
      </c>
      <c r="S10" s="52">
        <f>Upgrade1!S10+Upgrade2!S10+Upgrade3!S10+Upgrade4!S10</f>
        <v>0</v>
      </c>
      <c r="T10" s="57">
        <f>Upgrade1!T10+Upgrade2!T10+Upgrade3!T10+Upgrade4!T10</f>
        <v>3166806.24</v>
      </c>
      <c r="U10" s="139">
        <f t="shared" si="0"/>
        <v>3374701.7616000003</v>
      </c>
      <c r="V10" s="55">
        <f t="shared" si="4"/>
        <v>11058628.6416</v>
      </c>
      <c r="W10" s="56"/>
      <c r="X10" s="56"/>
      <c r="Z10" s="62">
        <v>2</v>
      </c>
      <c r="AA10" s="63"/>
      <c r="AB10" s="52">
        <f aca="true" t="shared" si="7" ref="AB10:AB28">(J10+K10)-(R10+S10)</f>
        <v>22504.1544</v>
      </c>
      <c r="AC10" s="57">
        <f t="shared" si="5"/>
        <v>1736635.6799999997</v>
      </c>
      <c r="AD10" s="59">
        <f t="shared" si="1"/>
        <v>1759139.8343999996</v>
      </c>
      <c r="AE10" s="54">
        <f aca="true" t="shared" si="8" ref="AE10:AE28">AD10/POWER((1+$D$13),Z10)</f>
        <v>1453834.573884297</v>
      </c>
      <c r="AF10" s="55">
        <f t="shared" si="6"/>
        <v>-1777320.7715702488</v>
      </c>
      <c r="AH10" s="47"/>
      <c r="AJ10" s="73" t="s">
        <v>61</v>
      </c>
      <c r="AK10" s="122"/>
      <c r="AL10" s="63"/>
      <c r="AM10" s="110">
        <f>Upgrade1!AM19+Upgrade2!AM19+Upgrade3!AM19+Upgrade4!AM19</f>
        <v>4797982.8</v>
      </c>
      <c r="AN10" s="110">
        <f>Upgrade1!AN19+Upgrade2!AN19+Upgrade3!AN19+Upgrade4!AN19</f>
        <v>27591946.857269026</v>
      </c>
      <c r="AO10" s="110">
        <f>Upgrade1!AO19+Upgrade2!AO19+Upgrade3!AO19+Upgrade4!AO19</f>
        <v>66291079.67531414</v>
      </c>
      <c r="AP10" s="110">
        <f>Upgrade1!AP19+Upgrade2!AP19+Upgrade3!AP19+Upgrade4!AP19</f>
        <v>125070736.01210389</v>
      </c>
      <c r="AQ10" s="111">
        <f>Upgrade1!AQ19+Upgrade2!AQ19+Upgrade3!AQ19+Upgrade4!AQ19</f>
        <v>201197787.66105056</v>
      </c>
    </row>
    <row r="11" spans="3:43" ht="12.75" thickBot="1">
      <c r="C11" s="65" t="s">
        <v>13</v>
      </c>
      <c r="D11" s="177">
        <v>60</v>
      </c>
      <c r="E11" s="178"/>
      <c r="F11" s="179"/>
      <c r="G11" s="66"/>
      <c r="I11" s="62">
        <v>3</v>
      </c>
      <c r="J11" s="52">
        <f>Upgrade1!J11+Upgrade2!J11+Upgrade3!J11+Upgrade4!J11</f>
        <v>246527.65332</v>
      </c>
      <c r="K11" s="52">
        <f>Upgrade1!K11+Upgrade2!K11+Upgrade3!K11+Upgrade4!K11</f>
        <v>0</v>
      </c>
      <c r="L11" s="55">
        <f>Upgrade1!L11+Upgrade2!L11+Upgrade3!L11+Upgrade4!L11</f>
        <v>5246682.854400001</v>
      </c>
      <c r="M11" s="54">
        <f t="shared" si="2"/>
        <v>5493210.50772</v>
      </c>
      <c r="N11" s="55">
        <f t="shared" si="3"/>
        <v>15425034.903719999</v>
      </c>
      <c r="O11" s="56"/>
      <c r="P11" s="56"/>
      <c r="Q11" s="62">
        <v>3</v>
      </c>
      <c r="R11" s="52">
        <f>Upgrade1!R11+Upgrade2!R11+Upgrade3!R11+Upgrade4!R11</f>
        <v>222448.20811200002</v>
      </c>
      <c r="S11" s="52">
        <f>Upgrade1!S11+Upgrade2!S11+Upgrade3!S11+Upgrade4!S11</f>
        <v>0</v>
      </c>
      <c r="T11" s="57">
        <f>Upgrade1!T11+Upgrade2!T11+Upgrade3!T11+Upgrade4!T11</f>
        <v>3388482.6768000005</v>
      </c>
      <c r="U11" s="139">
        <f t="shared" si="0"/>
        <v>3610930.8849120005</v>
      </c>
      <c r="V11" s="55">
        <f t="shared" si="4"/>
        <v>14669559.526512</v>
      </c>
      <c r="W11" s="56"/>
      <c r="X11" s="56"/>
      <c r="Z11" s="62">
        <v>3</v>
      </c>
      <c r="AA11" s="63"/>
      <c r="AB11" s="52">
        <f t="shared" si="7"/>
        <v>24079.44520799999</v>
      </c>
      <c r="AC11" s="57">
        <f t="shared" si="5"/>
        <v>1858200.1776</v>
      </c>
      <c r="AD11" s="59">
        <f t="shared" si="1"/>
        <v>1882279.622808</v>
      </c>
      <c r="AE11" s="54">
        <f t="shared" si="8"/>
        <v>1414184.5400510891</v>
      </c>
      <c r="AF11" s="55">
        <f t="shared" si="6"/>
        <v>-363136.2315191596</v>
      </c>
      <c r="AH11" s="47"/>
      <c r="AJ11" s="73" t="s">
        <v>62</v>
      </c>
      <c r="AK11" s="122"/>
      <c r="AL11" s="63"/>
      <c r="AM11" s="110">
        <f>Upgrade1!AM20+Upgrade2!AM20+Upgrade3!AM20+Upgrade4!AM20</f>
        <v>7683926.88</v>
      </c>
      <c r="AN11" s="110">
        <f>Upgrade1!AN20+Upgrade2!AN20+Upgrade3!AN20+Upgrade4!AN20</f>
        <v>22667410.34350359</v>
      </c>
      <c r="AO11" s="110">
        <f>Upgrade1!AO20+Upgrade2!AO20+Upgrade3!AO20+Upgrade4!AO20</f>
        <v>48106066.61120063</v>
      </c>
      <c r="AP11" s="110">
        <f>Upgrade1!AP20+Upgrade2!AP20+Upgrade3!AP20+Upgrade4!AP20</f>
        <v>83785097.98614153</v>
      </c>
      <c r="AQ11" s="111">
        <f>Upgrade1!AQ20+Upgrade2!AQ20+Upgrade3!AQ20+Upgrade4!AQ20</f>
        <v>133826785.19076453</v>
      </c>
    </row>
    <row r="12" spans="3:43" ht="12.75" thickBot="1">
      <c r="C12" s="25"/>
      <c r="D12" s="66"/>
      <c r="E12" s="67"/>
      <c r="F12" s="67"/>
      <c r="G12" s="66"/>
      <c r="I12" s="62">
        <v>4</v>
      </c>
      <c r="J12" s="52">
        <f>Upgrade1!J12+Upgrade2!J12+Upgrade3!J12+Upgrade4!J12</f>
        <v>263784.5890524</v>
      </c>
      <c r="K12" s="52">
        <f>Upgrade1!K12+Upgrade2!K12+Upgrade3!K12+Upgrade4!K12</f>
        <v>0</v>
      </c>
      <c r="L12" s="55">
        <f>Upgrade1!L12+Upgrade2!L12+Upgrade3!L12+Upgrade4!L12</f>
        <v>5613950.654208001</v>
      </c>
      <c r="M12" s="54">
        <f t="shared" si="2"/>
        <v>5877735.2432604</v>
      </c>
      <c r="N12" s="55">
        <f t="shared" si="3"/>
        <v>21302770.146980397</v>
      </c>
      <c r="O12" s="56"/>
      <c r="P12" s="56"/>
      <c r="Q12" s="62">
        <v>4</v>
      </c>
      <c r="R12" s="52">
        <f>Upgrade1!R12+Upgrade2!R12+Upgrade3!R12+Upgrade4!R12</f>
        <v>238019.58267984</v>
      </c>
      <c r="S12" s="52">
        <f>Upgrade1!S12+Upgrade2!S12+Upgrade3!S12+Upgrade4!S12</f>
        <v>0</v>
      </c>
      <c r="T12" s="57">
        <f>Upgrade1!T12+Upgrade2!T12+Upgrade3!T12+Upgrade4!T12</f>
        <v>3625676.4641760006</v>
      </c>
      <c r="U12" s="139">
        <f t="shared" si="0"/>
        <v>3863696.0468558404</v>
      </c>
      <c r="V12" s="55">
        <f t="shared" si="4"/>
        <v>18533255.57336784</v>
      </c>
      <c r="W12" s="56"/>
      <c r="X12" s="56"/>
      <c r="Z12" s="62">
        <v>4</v>
      </c>
      <c r="AA12" s="63"/>
      <c r="AB12" s="52">
        <f t="shared" si="7"/>
        <v>25765.00637256002</v>
      </c>
      <c r="AC12" s="57">
        <f t="shared" si="5"/>
        <v>1988274.1900320002</v>
      </c>
      <c r="AD12" s="59">
        <f t="shared" si="1"/>
        <v>2014039.1964045602</v>
      </c>
      <c r="AE12" s="54">
        <f t="shared" si="8"/>
        <v>1375615.8707769685</v>
      </c>
      <c r="AF12" s="55">
        <f t="shared" si="6"/>
        <v>1012479.6392578089</v>
      </c>
      <c r="AH12" s="47"/>
      <c r="AJ12" s="130"/>
      <c r="AK12" s="131"/>
      <c r="AL12" s="132"/>
      <c r="AM12" s="110">
        <f>Upgrade1!AM21+Upgrade2!AM21+Upgrade3!AM21+Upgrade4!AM21</f>
        <v>0</v>
      </c>
      <c r="AN12" s="110">
        <f>Upgrade1!AN21+Upgrade2!AN21+Upgrade3!AN21+Upgrade4!AN21</f>
        <v>0</v>
      </c>
      <c r="AO12" s="110">
        <f>Upgrade1!AO21+Upgrade2!AO21+Upgrade3!AO21+Upgrade4!AO21</f>
        <v>0</v>
      </c>
      <c r="AP12" s="110">
        <f>Upgrade1!AP21+Upgrade2!AP21+Upgrade3!AP21+Upgrade4!AP21</f>
        <v>0</v>
      </c>
      <c r="AQ12" s="111">
        <f>Upgrade1!AQ21+Upgrade2!AQ21+Upgrade3!AQ21+Upgrade4!AQ21</f>
        <v>0</v>
      </c>
    </row>
    <row r="13" spans="3:43" ht="12.75" thickBot="1">
      <c r="C13" s="116" t="s">
        <v>48</v>
      </c>
      <c r="D13" s="197">
        <v>0.1</v>
      </c>
      <c r="E13" s="198"/>
      <c r="F13" s="66"/>
      <c r="G13" s="66"/>
      <c r="I13" s="62">
        <v>5</v>
      </c>
      <c r="J13" s="52">
        <f>Upgrade1!J13+Upgrade2!J13+Upgrade3!J13+Upgrade4!J13</f>
        <v>282249.510286068</v>
      </c>
      <c r="K13" s="52">
        <f>Upgrade1!K13+Upgrade2!K13+Upgrade3!K13+Upgrade4!K13</f>
        <v>0</v>
      </c>
      <c r="L13" s="55">
        <f>Upgrade1!L13+Upgrade2!L13+Upgrade3!L13+Upgrade4!L13</f>
        <v>6006927.200002561</v>
      </c>
      <c r="M13" s="54">
        <f t="shared" si="2"/>
        <v>6289176.710288629</v>
      </c>
      <c r="N13" s="55">
        <f t="shared" si="3"/>
        <v>27591946.857269026</v>
      </c>
      <c r="O13" s="56"/>
      <c r="P13" s="56"/>
      <c r="Q13" s="62">
        <v>5</v>
      </c>
      <c r="R13" s="52">
        <f>Upgrade1!R13+Upgrade2!R13+Upgrade3!R13+Upgrade4!R13</f>
        <v>254680.95346742883</v>
      </c>
      <c r="S13" s="52">
        <f>Upgrade1!S13+Upgrade2!S13+Upgrade3!S13+Upgrade4!S13</f>
        <v>0</v>
      </c>
      <c r="T13" s="57">
        <f>Upgrade1!T13+Upgrade2!T13+Upgrade3!T13+Upgrade4!T13</f>
        <v>3879473.816668321</v>
      </c>
      <c r="U13" s="139">
        <f t="shared" si="0"/>
        <v>4134154.7701357496</v>
      </c>
      <c r="V13" s="55">
        <f t="shared" si="4"/>
        <v>22667410.34350359</v>
      </c>
      <c r="W13" s="56"/>
      <c r="X13" s="56"/>
      <c r="Z13" s="62">
        <v>5</v>
      </c>
      <c r="AA13" s="63"/>
      <c r="AB13" s="52">
        <f t="shared" si="7"/>
        <v>27568.55681863919</v>
      </c>
      <c r="AC13" s="57">
        <f t="shared" si="5"/>
        <v>2127453.3833342404</v>
      </c>
      <c r="AD13" s="59">
        <f t="shared" si="1"/>
        <v>2155021.94015288</v>
      </c>
      <c r="AE13" s="54">
        <f t="shared" si="8"/>
        <v>1338099.0743012333</v>
      </c>
      <c r="AF13" s="55">
        <f t="shared" si="6"/>
        <v>2350578.713559042</v>
      </c>
      <c r="AH13" s="47"/>
      <c r="AJ13" s="73" t="s">
        <v>42</v>
      </c>
      <c r="AK13" s="122"/>
      <c r="AL13" s="63"/>
      <c r="AM13" s="110">
        <f>Upgrade1!AM22+Upgrade2!AM22+Upgrade3!AM22+Upgrade4!AM22</f>
        <v>381888</v>
      </c>
      <c r="AN13" s="110">
        <f>Upgrade1!AN22+Upgrade2!AN22+Upgrade3!AN22+Upgrade4!AN22</f>
        <v>1909440</v>
      </c>
      <c r="AO13" s="110">
        <f>Upgrade1!AO22+Upgrade2!AO22+Upgrade3!AO22+Upgrade4!AO22</f>
        <v>3818880</v>
      </c>
      <c r="AP13" s="110">
        <f>Upgrade1!AP22+Upgrade2!AP22+Upgrade3!AP22+Upgrade4!AP22</f>
        <v>5728320</v>
      </c>
      <c r="AQ13" s="111">
        <f>Upgrade1!AQ22+Upgrade2!AQ22+Upgrade3!AQ22+Upgrade4!AQ22</f>
        <v>7637760</v>
      </c>
    </row>
    <row r="14" spans="1:43" ht="12.75" thickBot="1">
      <c r="A14" s="154" t="s">
        <v>78</v>
      </c>
      <c r="C14" s="29"/>
      <c r="D14" s="29"/>
      <c r="E14" s="25"/>
      <c r="I14" s="62">
        <v>6</v>
      </c>
      <c r="J14" s="52">
        <f>Upgrade1!J14+Upgrade2!J14+Upgrade3!J14+Upgrade4!J14</f>
        <v>302006.9760060928</v>
      </c>
      <c r="K14" s="70">
        <f>Upgrade1!K14+Upgrade2!K14+Upgrade3!K14+Upgrade4!K14</f>
        <v>0</v>
      </c>
      <c r="L14" s="55">
        <f>Upgrade1!L14+Upgrade2!L14+Upgrade3!L14+Upgrade4!L14</f>
        <v>6427412.104002741</v>
      </c>
      <c r="M14" s="54">
        <f t="shared" si="2"/>
        <v>6729419.080008834</v>
      </c>
      <c r="N14" s="55">
        <f t="shared" si="3"/>
        <v>34321365.93727786</v>
      </c>
      <c r="O14" s="56"/>
      <c r="P14" s="56"/>
      <c r="Q14" s="62">
        <v>6</v>
      </c>
      <c r="R14" s="52">
        <f>Upgrade1!R14+Upgrade2!R14+Upgrade3!R14+Upgrade4!R14</f>
        <v>272508.6202101488</v>
      </c>
      <c r="S14" s="70">
        <f>Upgrade1!S14+Upgrade2!S14+Upgrade3!S14+Upgrade4!S14</f>
        <v>0</v>
      </c>
      <c r="T14" s="57">
        <f>Upgrade1!T14+Upgrade2!T14+Upgrade3!T14+Upgrade4!T14</f>
        <v>4151036.9838351035</v>
      </c>
      <c r="U14" s="139">
        <f t="shared" si="0"/>
        <v>4423545.604045252</v>
      </c>
      <c r="V14" s="55">
        <f t="shared" si="4"/>
        <v>27090955.947548844</v>
      </c>
      <c r="W14" s="56"/>
      <c r="X14" s="56"/>
      <c r="Z14" s="62">
        <v>6</v>
      </c>
      <c r="AA14" s="63"/>
      <c r="AB14" s="52">
        <f t="shared" si="7"/>
        <v>29498.355795943993</v>
      </c>
      <c r="AC14" s="57">
        <f t="shared" si="5"/>
        <v>2276375.1201676377</v>
      </c>
      <c r="AD14" s="59">
        <f t="shared" si="1"/>
        <v>2305873.475963582</v>
      </c>
      <c r="AE14" s="54">
        <f t="shared" si="8"/>
        <v>1301605.463183927</v>
      </c>
      <c r="AF14" s="55">
        <f t="shared" si="6"/>
        <v>3652184.176742969</v>
      </c>
      <c r="AH14" s="47"/>
      <c r="AJ14" s="73" t="s">
        <v>63</v>
      </c>
      <c r="AK14" s="122"/>
      <c r="AL14" s="63"/>
      <c r="AM14" s="110">
        <f>Upgrade1!AM23+Upgrade2!AM23+Upgrade3!AM23+Upgrade4!AM23</f>
        <v>1623024</v>
      </c>
      <c r="AN14" s="110">
        <f>Upgrade1!AN23+Upgrade2!AN23+Upgrade3!AN23+Upgrade4!AN23</f>
        <v>9333587.43096624</v>
      </c>
      <c r="AO14" s="110">
        <f>Upgrade1!AO23+Upgrade2!AO23+Upgrade3!AO23+Upgrade4!AO23</f>
        <v>22424426.635907717</v>
      </c>
      <c r="AP14" s="110">
        <f>Upgrade1!AP23+Upgrade2!AP23+Upgrade3!AP23+Upgrade4!AP23</f>
        <v>40785005.819113806</v>
      </c>
      <c r="AQ14" s="111">
        <f>Upgrade1!AQ23+Upgrade2!AQ23+Upgrade3!AQ23+Upgrade4!AQ23</f>
        <v>66536667.9291739</v>
      </c>
    </row>
    <row r="15" spans="2:43" ht="12.75">
      <c r="B15" s="71"/>
      <c r="C15" s="149" t="s">
        <v>88</v>
      </c>
      <c r="D15" s="147"/>
      <c r="E15" s="147"/>
      <c r="F15" s="148"/>
      <c r="I15" s="62">
        <v>7</v>
      </c>
      <c r="J15" s="52">
        <f>Upgrade1!J15+Upgrade2!J15+Upgrade3!J15+Upgrade4!J15</f>
        <v>323147.4643265193</v>
      </c>
      <c r="K15" s="70">
        <f>Upgrade1!K15+Upgrade2!K15+Upgrade3!K15+Upgrade4!K15</f>
        <v>0</v>
      </c>
      <c r="L15" s="55">
        <f>Upgrade1!L15+Upgrade2!L15+Upgrade3!L15+Upgrade4!L15</f>
        <v>6877330.951282933</v>
      </c>
      <c r="M15" s="54">
        <f t="shared" si="2"/>
        <v>7200478.415609453</v>
      </c>
      <c r="N15" s="55">
        <f t="shared" si="3"/>
        <v>41521844.35288732</v>
      </c>
      <c r="O15" s="56"/>
      <c r="P15" s="56"/>
      <c r="Q15" s="62">
        <v>7</v>
      </c>
      <c r="R15" s="52">
        <f>Upgrade1!R15+Upgrade2!R15+Upgrade3!R15+Upgrade4!R15</f>
        <v>291584.22362485924</v>
      </c>
      <c r="S15" s="70">
        <f>Upgrade1!S15+Upgrade2!S15+Upgrade3!S15+Upgrade4!S15</f>
        <v>0</v>
      </c>
      <c r="T15" s="57">
        <f>Upgrade1!T15+Upgrade2!T15+Upgrade3!T15+Upgrade4!T15</f>
        <v>4441609.572703561</v>
      </c>
      <c r="U15" s="139">
        <f t="shared" si="0"/>
        <v>4733193.79632842</v>
      </c>
      <c r="V15" s="55">
        <f t="shared" si="4"/>
        <v>31824149.743877262</v>
      </c>
      <c r="W15" s="56"/>
      <c r="X15" s="56"/>
      <c r="Z15" s="62">
        <v>7</v>
      </c>
      <c r="AA15" s="63"/>
      <c r="AB15" s="52">
        <f t="shared" si="7"/>
        <v>31563.24070166005</v>
      </c>
      <c r="AC15" s="57">
        <f t="shared" si="5"/>
        <v>2435721.3785793725</v>
      </c>
      <c r="AD15" s="59">
        <f t="shared" si="1"/>
        <v>2467284.6192810326</v>
      </c>
      <c r="AE15" s="54">
        <f t="shared" si="8"/>
        <v>1266107.1323698196</v>
      </c>
      <c r="AF15" s="55">
        <f t="shared" si="6"/>
        <v>4918291.309112789</v>
      </c>
      <c r="AH15" s="47"/>
      <c r="AJ15" s="73" t="s">
        <v>64</v>
      </c>
      <c r="AK15" s="122"/>
      <c r="AL15" s="63"/>
      <c r="AM15" s="110">
        <f>Upgrade1!AM24+Upgrade2!AM24+Upgrade3!AM24+Upgrade4!AM24</f>
        <v>21031.920000000013</v>
      </c>
      <c r="AN15" s="110">
        <f>Upgrade1!AN24+Upgrade2!AN24+Upgrade3!AN24+Upgrade4!AN24</f>
        <v>120949.08279919921</v>
      </c>
      <c r="AO15" s="110">
        <f>Upgrade1!AO24+Upgrade2!AO24+Upgrade3!AO24+Upgrade4!AO24</f>
        <v>290586.4282057937</v>
      </c>
      <c r="AP15" s="110">
        <f>Upgrade1!AP24+Upgrade2!AP24+Upgrade3!AP24+Upgrade4!AP24</f>
        <v>5030632.206848544</v>
      </c>
      <c r="AQ15" s="111">
        <f>Upgrade1!AQ24+Upgrade2!AQ24+Upgrade3!AQ24+Upgrade4!AQ24</f>
        <v>5364334.541112125</v>
      </c>
    </row>
    <row r="16" spans="3:43" ht="12.75">
      <c r="C16" s="150" t="s">
        <v>84</v>
      </c>
      <c r="D16" s="199" t="s">
        <v>89</v>
      </c>
      <c r="E16" s="200"/>
      <c r="F16" s="201"/>
      <c r="I16" s="62">
        <v>8</v>
      </c>
      <c r="J16" s="52">
        <f>Upgrade1!J16+Upgrade2!J16+Upgrade3!J16+Upgrade4!J16</f>
        <v>345767.7868293756</v>
      </c>
      <c r="K16" s="70">
        <f>Upgrade1!K16+Upgrade2!K16+Upgrade3!K16+Upgrade4!K16</f>
        <v>0</v>
      </c>
      <c r="L16" s="55">
        <f>Upgrade1!L16+Upgrade2!L16+Upgrade3!L16+Upgrade4!L16</f>
        <v>7358744.117872739</v>
      </c>
      <c r="M16" s="54">
        <f t="shared" si="2"/>
        <v>7704511.904702115</v>
      </c>
      <c r="N16" s="55">
        <f t="shared" si="3"/>
        <v>49226356.25758943</v>
      </c>
      <c r="O16" s="56"/>
      <c r="P16" s="56"/>
      <c r="Q16" s="62">
        <v>8</v>
      </c>
      <c r="R16" s="52">
        <f>Upgrade1!R16+Upgrade2!R16+Upgrade3!R16+Upgrade4!R16</f>
        <v>311995.1192785994</v>
      </c>
      <c r="S16" s="70">
        <f>Upgrade1!S16+Upgrade2!S16+Upgrade3!S16+Upgrade4!S16</f>
        <v>0</v>
      </c>
      <c r="T16" s="57">
        <f>Upgrade1!T16+Upgrade2!T16+Upgrade3!T16+Upgrade4!T16</f>
        <v>4752522.24279281</v>
      </c>
      <c r="U16" s="139">
        <f t="shared" si="0"/>
        <v>5064517.36207141</v>
      </c>
      <c r="V16" s="55">
        <f t="shared" si="4"/>
        <v>36888667.10594867</v>
      </c>
      <c r="W16" s="56"/>
      <c r="X16" s="56"/>
      <c r="Z16" s="62">
        <v>8</v>
      </c>
      <c r="AA16" s="63"/>
      <c r="AB16" s="52">
        <f t="shared" si="7"/>
        <v>33772.66755077621</v>
      </c>
      <c r="AC16" s="57">
        <f t="shared" si="5"/>
        <v>2606221.875079929</v>
      </c>
      <c r="AD16" s="59">
        <f t="shared" si="1"/>
        <v>2639994.542630705</v>
      </c>
      <c r="AE16" s="54">
        <f t="shared" si="8"/>
        <v>1231576.937850643</v>
      </c>
      <c r="AF16" s="55">
        <f t="shared" si="6"/>
        <v>6149868.246963432</v>
      </c>
      <c r="AH16" s="47"/>
      <c r="AJ16" s="73" t="s">
        <v>65</v>
      </c>
      <c r="AK16" s="122"/>
      <c r="AL16" s="63"/>
      <c r="AM16" s="110">
        <f>$AF$9</f>
        <v>-3231155.3454545457</v>
      </c>
      <c r="AN16" s="110">
        <f>$AF$13</f>
        <v>2350578.713559042</v>
      </c>
      <c r="AO16" s="110">
        <f>$AF$18</f>
        <v>8513172.785802612</v>
      </c>
      <c r="AP16" s="110">
        <f>$AF$23</f>
        <v>15065566.510054948</v>
      </c>
      <c r="AQ16" s="111">
        <f>$AF$28</f>
        <v>19739413.462913632</v>
      </c>
    </row>
    <row r="17" spans="3:43" ht="12.75">
      <c r="C17" s="150" t="s">
        <v>85</v>
      </c>
      <c r="D17" s="199" t="s">
        <v>90</v>
      </c>
      <c r="E17" s="200"/>
      <c r="F17" s="201"/>
      <c r="I17" s="62">
        <v>9</v>
      </c>
      <c r="J17" s="52">
        <f>Upgrade1!J17+Upgrade2!J17+Upgrade3!J17+Upgrade4!J17</f>
        <v>369971.53190743196</v>
      </c>
      <c r="K17" s="70">
        <f>Upgrade1!K17+Upgrade2!K17+Upgrade3!K17+Upgrade4!K17</f>
        <v>0</v>
      </c>
      <c r="L17" s="55">
        <f>Upgrade1!L17+Upgrade2!L17+Upgrade3!L17+Upgrade4!L17</f>
        <v>7873856.206123832</v>
      </c>
      <c r="M17" s="54">
        <f t="shared" si="2"/>
        <v>8243827.738031263</v>
      </c>
      <c r="N17" s="55">
        <f t="shared" si="3"/>
        <v>57470183.99562069</v>
      </c>
      <c r="O17" s="56"/>
      <c r="P17" s="56"/>
      <c r="Q17" s="62">
        <v>9</v>
      </c>
      <c r="R17" s="52">
        <f>Upgrade1!R17+Upgrade2!R17+Upgrade3!R17+Upgrade4!R17</f>
        <v>333834.7776281014</v>
      </c>
      <c r="S17" s="70">
        <f>Upgrade1!S17+Upgrade2!S17+Upgrade3!S17+Upgrade4!S17</f>
        <v>0</v>
      </c>
      <c r="T17" s="57">
        <f>Upgrade1!T17+Upgrade2!T17+Upgrade3!T17+Upgrade4!T17</f>
        <v>5085198.799788307</v>
      </c>
      <c r="U17" s="139">
        <f t="shared" si="0"/>
        <v>5419033.577416409</v>
      </c>
      <c r="V17" s="55">
        <f t="shared" si="4"/>
        <v>42307700.68336508</v>
      </c>
      <c r="W17" s="56"/>
      <c r="X17" s="56"/>
      <c r="Z17" s="62">
        <v>9</v>
      </c>
      <c r="AA17" s="63"/>
      <c r="AB17" s="52">
        <f t="shared" si="7"/>
        <v>36136.75427933055</v>
      </c>
      <c r="AC17" s="57">
        <f t="shared" si="5"/>
        <v>2788657.4063355243</v>
      </c>
      <c r="AD17" s="59">
        <f t="shared" si="1"/>
        <v>2824794.1606148547</v>
      </c>
      <c r="AE17" s="54">
        <f t="shared" si="8"/>
        <v>1197988.4759092617</v>
      </c>
      <c r="AF17" s="55">
        <f t="shared" si="6"/>
        <v>7347856.722872694</v>
      </c>
      <c r="AH17" s="47"/>
      <c r="AJ17" s="73" t="s">
        <v>28</v>
      </c>
      <c r="AK17" s="122"/>
      <c r="AL17" s="63"/>
      <c r="AM17" s="145" t="s">
        <v>54</v>
      </c>
      <c r="AN17" s="145">
        <f>IRR($AD$8:$AD$13)</f>
        <v>0.273191364104593</v>
      </c>
      <c r="AO17" s="145">
        <f>IRR($AD$8:$AD$18)</f>
        <v>0.39650665165638727</v>
      </c>
      <c r="AP17" s="145">
        <f>IRR($AD$8:$AD$23)</f>
        <v>0.41855637575033233</v>
      </c>
      <c r="AQ17" s="146">
        <f>IRR($AD$8:$AD$28)</f>
        <v>0.42245032876386773</v>
      </c>
    </row>
    <row r="18" spans="3:43" ht="13.5" thickBot="1">
      <c r="C18" s="150" t="s">
        <v>86</v>
      </c>
      <c r="D18" s="202"/>
      <c r="E18" s="203"/>
      <c r="F18" s="204"/>
      <c r="I18" s="62">
        <v>10</v>
      </c>
      <c r="J18" s="52">
        <f>Upgrade1!J18+Upgrade2!J18+Upgrade3!J18+Upgrade4!J18</f>
        <v>395869.53914095217</v>
      </c>
      <c r="K18" s="70">
        <f>Upgrade1!K18+Upgrade2!K18+Upgrade3!K18+Upgrade4!K18</f>
        <v>0</v>
      </c>
      <c r="L18" s="55">
        <f>Upgrade1!L18+Upgrade2!L18+Upgrade3!L18+Upgrade4!L18</f>
        <v>8425026.1405525</v>
      </c>
      <c r="M18" s="54">
        <f t="shared" si="2"/>
        <v>8820895.679693453</v>
      </c>
      <c r="N18" s="55">
        <f t="shared" si="3"/>
        <v>66291079.67531414</v>
      </c>
      <c r="O18" s="56"/>
      <c r="P18" s="56"/>
      <c r="Q18" s="62">
        <v>10</v>
      </c>
      <c r="R18" s="52">
        <f>Upgrade1!R18+Upgrade2!R18+Upgrade3!R18+Upgrade4!R18</f>
        <v>357203.21206206846</v>
      </c>
      <c r="S18" s="70">
        <f>Upgrade1!S18+Upgrade2!S18+Upgrade3!S18+Upgrade4!S18</f>
        <v>0</v>
      </c>
      <c r="T18" s="57">
        <f>Upgrade1!T18+Upgrade2!T18+Upgrade3!T18+Upgrade4!T18</f>
        <v>5441162.715773489</v>
      </c>
      <c r="U18" s="139">
        <f t="shared" si="0"/>
        <v>5798365.927835558</v>
      </c>
      <c r="V18" s="55">
        <f t="shared" si="4"/>
        <v>48106066.61120063</v>
      </c>
      <c r="W18" s="56"/>
      <c r="X18" s="56"/>
      <c r="Z18" s="62">
        <v>10</v>
      </c>
      <c r="AA18" s="63"/>
      <c r="AB18" s="52">
        <f t="shared" si="7"/>
        <v>38666.32707888371</v>
      </c>
      <c r="AC18" s="57">
        <f t="shared" si="5"/>
        <v>2983863.424779011</v>
      </c>
      <c r="AD18" s="59">
        <f t="shared" si="1"/>
        <v>3022529.7518578945</v>
      </c>
      <c r="AE18" s="54">
        <f t="shared" si="8"/>
        <v>1165316.062929918</v>
      </c>
      <c r="AF18" s="55">
        <f t="shared" si="6"/>
        <v>8513172.785802612</v>
      </c>
      <c r="AH18" s="47"/>
      <c r="AJ18" s="74" t="s">
        <v>29</v>
      </c>
      <c r="AK18" s="123"/>
      <c r="AL18" s="124"/>
      <c r="AM18" s="125">
        <f>-1*(AA8/AC9)</f>
        <v>2.791086268594919</v>
      </c>
      <c r="AN18" s="125">
        <f>AM18</f>
        <v>2.791086268594919</v>
      </c>
      <c r="AO18" s="125">
        <f>AN18</f>
        <v>2.791086268594919</v>
      </c>
      <c r="AP18" s="125">
        <f>AO18</f>
        <v>2.791086268594919</v>
      </c>
      <c r="AQ18" s="126">
        <f>AP18</f>
        <v>2.791086268594919</v>
      </c>
    </row>
    <row r="19" spans="3:36" ht="13.5" thickBot="1">
      <c r="C19" s="151" t="s">
        <v>87</v>
      </c>
      <c r="D19" s="205"/>
      <c r="E19" s="206"/>
      <c r="F19" s="207"/>
      <c r="I19" s="62">
        <v>11</v>
      </c>
      <c r="J19" s="52">
        <f>Upgrade1!J19+Upgrade2!J19+Upgrade3!J19+Upgrade4!J19</f>
        <v>423580.4068808189</v>
      </c>
      <c r="K19" s="70">
        <f>Upgrade1!K19+Upgrade2!K19+Upgrade3!K19+Upgrade4!K19</f>
        <v>0</v>
      </c>
      <c r="L19" s="55">
        <f>Upgrade1!L19+Upgrade2!L19+Upgrade3!L19+Upgrade4!L19</f>
        <v>9014777.970391177</v>
      </c>
      <c r="M19" s="54">
        <f t="shared" si="2"/>
        <v>9438358.377271995</v>
      </c>
      <c r="N19" s="55">
        <f>M19+N18</f>
        <v>75729438.05258614</v>
      </c>
      <c r="O19" s="56"/>
      <c r="P19" s="56"/>
      <c r="Q19" s="62">
        <v>11</v>
      </c>
      <c r="R19" s="52">
        <f>Upgrade1!R19+Upgrade2!R19+Upgrade3!R19+Upgrade4!R19</f>
        <v>382207.43690641335</v>
      </c>
      <c r="S19" s="70">
        <f>Upgrade1!S19+Upgrade2!S19+Upgrade3!S19+Upgrade4!S19</f>
        <v>0</v>
      </c>
      <c r="T19" s="57">
        <f>Upgrade1!T19+Upgrade2!T19+Upgrade3!T19+Upgrade4!T19</f>
        <v>5822044.105877634</v>
      </c>
      <c r="U19" s="139">
        <f t="shared" si="0"/>
        <v>6204251.542784047</v>
      </c>
      <c r="V19" s="55">
        <f>U19+V18</f>
        <v>54310318.15398468</v>
      </c>
      <c r="W19" s="56"/>
      <c r="X19" s="56"/>
      <c r="Z19" s="62">
        <v>11</v>
      </c>
      <c r="AA19" s="63"/>
      <c r="AB19" s="52">
        <f t="shared" si="7"/>
        <v>41372.96997440554</v>
      </c>
      <c r="AC19" s="57">
        <f t="shared" si="5"/>
        <v>3192733.8645135425</v>
      </c>
      <c r="AD19" s="59">
        <f t="shared" si="1"/>
        <v>3234106.834487948</v>
      </c>
      <c r="AE19" s="54">
        <f t="shared" si="8"/>
        <v>1133534.7157591025</v>
      </c>
      <c r="AF19" s="55">
        <f>AE19+AF18</f>
        <v>9646707.501561714</v>
      </c>
      <c r="AH19" s="47"/>
      <c r="AJ19" s="20" t="s">
        <v>50</v>
      </c>
    </row>
    <row r="20" spans="1:36" ht="12">
      <c r="A20" s="155" t="s">
        <v>96</v>
      </c>
      <c r="C20" s="61"/>
      <c r="D20" s="75"/>
      <c r="E20" s="76"/>
      <c r="I20" s="62">
        <v>12</v>
      </c>
      <c r="J20" s="52">
        <f>Upgrade1!J20+Upgrade2!J20+Upgrade3!J20+Upgrade4!J20</f>
        <v>453231.03536247613</v>
      </c>
      <c r="K20" s="70">
        <f>Upgrade1!K20+Upgrade2!K20+Upgrade3!K20+Upgrade4!K20</f>
        <v>0</v>
      </c>
      <c r="L20" s="55">
        <f>Upgrade1!L20+Upgrade2!L20+Upgrade3!L20+Upgrade4!L20</f>
        <v>9645812.42831856</v>
      </c>
      <c r="M20" s="54">
        <f t="shared" si="2"/>
        <v>10099043.463681037</v>
      </c>
      <c r="N20" s="55">
        <f t="shared" si="3"/>
        <v>85828481.51626718</v>
      </c>
      <c r="O20" s="56"/>
      <c r="P20" s="56"/>
      <c r="Q20" s="62">
        <v>12</v>
      </c>
      <c r="R20" s="52">
        <f>Upgrade1!R20+Upgrade2!R20+Upgrade3!R20+Upgrade4!R20</f>
        <v>408961.95748986216</v>
      </c>
      <c r="S20" s="70">
        <f>Upgrade1!S20+Upgrade2!S20+Upgrade3!S20+Upgrade4!S20</f>
        <v>0</v>
      </c>
      <c r="T20" s="57">
        <f>Upgrade1!T20+Upgrade2!T20+Upgrade3!T20+Upgrade4!T20</f>
        <v>6229587.1932890685</v>
      </c>
      <c r="U20" s="139">
        <f t="shared" si="0"/>
        <v>6638549.150778931</v>
      </c>
      <c r="V20" s="55">
        <f t="shared" si="4"/>
        <v>60948867.304763615</v>
      </c>
      <c r="W20" s="56"/>
      <c r="X20" s="56"/>
      <c r="Z20" s="62">
        <v>12</v>
      </c>
      <c r="AA20" s="63"/>
      <c r="AB20" s="52">
        <f t="shared" si="7"/>
        <v>44269.07787261397</v>
      </c>
      <c r="AC20" s="57">
        <f t="shared" si="5"/>
        <v>3416225.2350294916</v>
      </c>
      <c r="AD20" s="59">
        <f t="shared" si="1"/>
        <v>3460494.3129021055</v>
      </c>
      <c r="AE20" s="54">
        <f t="shared" si="8"/>
        <v>1102620.1326020362</v>
      </c>
      <c r="AF20" s="55">
        <f t="shared" si="6"/>
        <v>10749327.63416375</v>
      </c>
      <c r="AH20" s="47"/>
      <c r="AJ20" s="20" t="s">
        <v>55</v>
      </c>
    </row>
    <row r="21" spans="3:34" ht="12">
      <c r="C21" s="61"/>
      <c r="D21" s="75"/>
      <c r="E21" s="76"/>
      <c r="I21" s="62">
        <v>13</v>
      </c>
      <c r="J21" s="52">
        <f>Upgrade1!J21+Upgrade2!J21+Upgrade3!J21+Upgrade4!J21</f>
        <v>484957.2078378495</v>
      </c>
      <c r="K21" s="70">
        <f>Upgrade1!K21+Upgrade2!K21+Upgrade3!K21+Upgrade4!K21</f>
        <v>0</v>
      </c>
      <c r="L21" s="55">
        <f>Upgrade1!L21+Upgrade2!L21+Upgrade3!L21+Upgrade4!L21</f>
        <v>10321019.29830086</v>
      </c>
      <c r="M21" s="54">
        <f t="shared" si="2"/>
        <v>10805976.50613871</v>
      </c>
      <c r="N21" s="55">
        <f t="shared" si="3"/>
        <v>96634458.0224059</v>
      </c>
      <c r="O21" s="56"/>
      <c r="P21" s="56"/>
      <c r="Q21" s="62">
        <v>13</v>
      </c>
      <c r="R21" s="52">
        <f>Upgrade1!R21+Upgrade2!R21+Upgrade3!R21+Upgrade4!R21</f>
        <v>437589.29451415257</v>
      </c>
      <c r="S21" s="70">
        <f>Upgrade1!S21+Upgrade2!S21+Upgrade3!S21+Upgrade4!S21</f>
        <v>0</v>
      </c>
      <c r="T21" s="57">
        <f>Upgrade1!T21+Upgrade2!T21+Upgrade3!T21+Upgrade4!T21</f>
        <v>6665658.296819304</v>
      </c>
      <c r="U21" s="139">
        <f t="shared" si="0"/>
        <v>7103247.591333456</v>
      </c>
      <c r="V21" s="55">
        <f t="shared" si="4"/>
        <v>68052114.89609706</v>
      </c>
      <c r="W21" s="56"/>
      <c r="X21" s="56"/>
      <c r="Z21" s="62">
        <v>13</v>
      </c>
      <c r="AA21" s="63"/>
      <c r="AB21" s="52">
        <f t="shared" si="7"/>
        <v>47367.913323696936</v>
      </c>
      <c r="AC21" s="57">
        <f t="shared" si="5"/>
        <v>3655361.0014815563</v>
      </c>
      <c r="AD21" s="59">
        <f t="shared" si="1"/>
        <v>3702728.914805253</v>
      </c>
      <c r="AE21" s="54">
        <f t="shared" si="8"/>
        <v>1072548.6744401627</v>
      </c>
      <c r="AF21" s="55">
        <f t="shared" si="6"/>
        <v>11821876.308603913</v>
      </c>
      <c r="AH21" s="47"/>
    </row>
    <row r="22" spans="3:34" ht="12">
      <c r="C22" s="80"/>
      <c r="D22" s="80"/>
      <c r="E22" s="80"/>
      <c r="F22" s="80"/>
      <c r="I22" s="62">
        <v>14</v>
      </c>
      <c r="J22" s="52">
        <f>Upgrade1!J22+Upgrade2!J22+Upgrade3!J22+Upgrade4!J22</f>
        <v>518904.2123864989</v>
      </c>
      <c r="K22" s="52">
        <f>Upgrade1!K22+Upgrade2!K22+Upgrade3!K22+Upgrade4!K22</f>
        <v>4502120.626251377</v>
      </c>
      <c r="L22" s="55">
        <f>Upgrade1!L22+Upgrade2!L22+Upgrade3!L22+Upgrade4!L22</f>
        <v>11043490.649181921</v>
      </c>
      <c r="M22" s="54">
        <f t="shared" si="2"/>
        <v>16064515.487819798</v>
      </c>
      <c r="N22" s="55">
        <f t="shared" si="3"/>
        <v>112698973.51022568</v>
      </c>
      <c r="O22" s="56"/>
      <c r="P22" s="56"/>
      <c r="Q22" s="62">
        <v>14</v>
      </c>
      <c r="R22" s="52">
        <f>Upgrade1!R22+Upgrade2!R22+Upgrade3!R22+Upgrade4!R22</f>
        <v>468220.54513014323</v>
      </c>
      <c r="S22" s="70">
        <f>Upgrade1!S22+Upgrade2!S22+Upgrade3!S22+Upgrade4!S22</f>
        <v>0</v>
      </c>
      <c r="T22" s="57">
        <f>Upgrade1!T22+Upgrade2!T22+Upgrade3!T22+Upgrade4!T22</f>
        <v>7132254.377596656</v>
      </c>
      <c r="U22" s="139">
        <f t="shared" si="0"/>
        <v>7600474.922726799</v>
      </c>
      <c r="V22" s="55">
        <f t="shared" si="4"/>
        <v>75652589.81882386</v>
      </c>
      <c r="W22" s="56"/>
      <c r="X22" s="56"/>
      <c r="Z22" s="62">
        <v>14</v>
      </c>
      <c r="AA22" s="63"/>
      <c r="AB22" s="52">
        <f t="shared" si="7"/>
        <v>4552804.293507733</v>
      </c>
      <c r="AC22" s="57">
        <f t="shared" si="5"/>
        <v>3911236.271585265</v>
      </c>
      <c r="AD22" s="59">
        <f t="shared" si="1"/>
        <v>8464040.565093</v>
      </c>
      <c r="AE22" s="54">
        <f t="shared" si="8"/>
        <v>2228846.4185034796</v>
      </c>
      <c r="AF22" s="55">
        <f t="shared" si="6"/>
        <v>14050722.727107393</v>
      </c>
      <c r="AH22" s="47"/>
    </row>
    <row r="23" spans="3:34" ht="12">
      <c r="C23" s="25"/>
      <c r="D23" s="127"/>
      <c r="E23" s="127"/>
      <c r="F23" s="83"/>
      <c r="G23" s="80"/>
      <c r="I23" s="62">
        <v>15</v>
      </c>
      <c r="J23" s="52">
        <f>Upgrade1!J23+Upgrade2!J23+Upgrade3!J23+Upgrade4!J23</f>
        <v>555227.507253554</v>
      </c>
      <c r="K23" s="70">
        <f>Upgrade1!K23+Upgrade2!K23+Upgrade3!K23+Upgrade4!K23</f>
        <v>0</v>
      </c>
      <c r="L23" s="55">
        <f>Upgrade1!L23+Upgrade2!L23+Upgrade3!L23+Upgrade4!L23</f>
        <v>11816534.994624656</v>
      </c>
      <c r="M23" s="54">
        <f t="shared" si="2"/>
        <v>12371762.50187821</v>
      </c>
      <c r="N23" s="55">
        <f t="shared" si="3"/>
        <v>125070736.01210389</v>
      </c>
      <c r="O23" s="56"/>
      <c r="P23" s="56"/>
      <c r="Q23" s="62">
        <v>15</v>
      </c>
      <c r="R23" s="52">
        <f>Upgrade1!R23+Upgrade2!R23+Upgrade3!R23+Upgrade4!R23</f>
        <v>500995.9832892533</v>
      </c>
      <c r="S23" s="70">
        <f>Upgrade1!S23+Upgrade2!S23+Upgrade3!S23+Upgrade4!S23</f>
        <v>0</v>
      </c>
      <c r="T23" s="57">
        <f>Upgrade1!T23+Upgrade2!T23+Upgrade3!T23+Upgrade4!T23</f>
        <v>7631512.184028422</v>
      </c>
      <c r="U23" s="139">
        <f t="shared" si="0"/>
        <v>8132508.167317675</v>
      </c>
      <c r="V23" s="55">
        <f t="shared" si="4"/>
        <v>83785097.98614153</v>
      </c>
      <c r="W23" s="56"/>
      <c r="X23" s="56"/>
      <c r="Z23" s="62">
        <v>15</v>
      </c>
      <c r="AA23" s="63"/>
      <c r="AB23" s="52">
        <f t="shared" si="7"/>
        <v>54231.523964300635</v>
      </c>
      <c r="AC23" s="57">
        <f t="shared" si="5"/>
        <v>4185022.8105962332</v>
      </c>
      <c r="AD23" s="59">
        <f t="shared" si="1"/>
        <v>4239254.334560534</v>
      </c>
      <c r="AE23" s="54">
        <f t="shared" si="8"/>
        <v>1014843.7829475553</v>
      </c>
      <c r="AF23" s="55">
        <f t="shared" si="6"/>
        <v>15065566.510054948</v>
      </c>
      <c r="AH23" s="47"/>
    </row>
    <row r="24" spans="3:34" ht="12">
      <c r="C24" s="25"/>
      <c r="D24" s="75"/>
      <c r="E24" s="75"/>
      <c r="F24" s="25"/>
      <c r="G24" s="83"/>
      <c r="I24" s="62">
        <v>16</v>
      </c>
      <c r="J24" s="52">
        <f>Upgrade1!J24+Upgrade2!J24+Upgrade3!J24+Upgrade4!J24</f>
        <v>594093.4327613026</v>
      </c>
      <c r="K24" s="70">
        <f>Upgrade1!K24+Upgrade2!K24+Upgrade3!K24+Upgrade4!K24</f>
        <v>0</v>
      </c>
      <c r="L24" s="55">
        <f>Upgrade1!L24+Upgrade2!L24+Upgrade3!L24+Upgrade4!L24</f>
        <v>12643692.444248382</v>
      </c>
      <c r="M24" s="54">
        <f t="shared" si="2"/>
        <v>13237785.877009684</v>
      </c>
      <c r="N24" s="55">
        <f>M24+N23</f>
        <v>138308521.88911358</v>
      </c>
      <c r="O24" s="56"/>
      <c r="P24" s="56"/>
      <c r="Q24" s="62">
        <v>16</v>
      </c>
      <c r="R24" s="52">
        <f>Upgrade1!R24+Upgrade2!R24+Upgrade3!R24+Upgrade4!R24</f>
        <v>536065.702119501</v>
      </c>
      <c r="S24" s="70">
        <f>Upgrade1!S24+Upgrade2!S24+Upgrade3!S24+Upgrade4!S24</f>
        <v>0</v>
      </c>
      <c r="T24" s="57">
        <f>Upgrade1!T24+Upgrade2!T24+Upgrade3!T24+Upgrade4!T24</f>
        <v>8165718.036910413</v>
      </c>
      <c r="U24" s="139">
        <f t="shared" si="0"/>
        <v>8701783.739029914</v>
      </c>
      <c r="V24" s="55">
        <f>U24+V23</f>
        <v>92486881.72517145</v>
      </c>
      <c r="W24" s="56"/>
      <c r="X24" s="56"/>
      <c r="Z24" s="62">
        <v>16</v>
      </c>
      <c r="AA24" s="63"/>
      <c r="AB24" s="52">
        <f t="shared" si="7"/>
        <v>58027.73064180161</v>
      </c>
      <c r="AC24" s="57">
        <f t="shared" si="5"/>
        <v>4477974.407337969</v>
      </c>
      <c r="AD24" s="59">
        <f t="shared" si="1"/>
        <v>4536002.137979771</v>
      </c>
      <c r="AE24" s="54">
        <f t="shared" si="8"/>
        <v>987166.2252308037</v>
      </c>
      <c r="AF24" s="55">
        <f>AE24+AF23</f>
        <v>16052732.735285752</v>
      </c>
      <c r="AH24" s="47"/>
    </row>
    <row r="25" spans="3:34" ht="12">
      <c r="C25" s="25"/>
      <c r="D25" s="75"/>
      <c r="E25" s="75"/>
      <c r="F25" s="25"/>
      <c r="G25" s="25"/>
      <c r="I25" s="62">
        <v>17</v>
      </c>
      <c r="J25" s="52">
        <f>Upgrade1!J25+Upgrade2!J25+Upgrade3!J25+Upgrade4!J25</f>
        <v>635679.9730545938</v>
      </c>
      <c r="K25" s="70">
        <f>Upgrade1!K25+Upgrade2!K25+Upgrade3!K25+Upgrade4!K25</f>
        <v>0</v>
      </c>
      <c r="L25" s="55">
        <f>Upgrade1!L25+Upgrade2!L25+Upgrade3!L25+Upgrade4!L25</f>
        <v>13528750.91534577</v>
      </c>
      <c r="M25" s="54">
        <f t="shared" si="2"/>
        <v>14164430.888400363</v>
      </c>
      <c r="N25" s="55">
        <f t="shared" si="3"/>
        <v>152472952.77751395</v>
      </c>
      <c r="O25" s="56"/>
      <c r="P25" s="56"/>
      <c r="Q25" s="62">
        <v>17</v>
      </c>
      <c r="R25" s="52">
        <f>Upgrade1!R25+Upgrade2!R25+Upgrade3!R25+Upgrade4!R25</f>
        <v>573590.301267866</v>
      </c>
      <c r="S25" s="70">
        <f>Upgrade1!S25+Upgrade2!S25+Upgrade3!S25+Upgrade4!S25</f>
        <v>0</v>
      </c>
      <c r="T25" s="57">
        <f>Upgrade1!T25+Upgrade2!T25+Upgrade3!T25+Upgrade4!T25</f>
        <v>8737318.299494142</v>
      </c>
      <c r="U25" s="139">
        <f t="shared" si="0"/>
        <v>9310908.600762008</v>
      </c>
      <c r="V25" s="55">
        <f t="shared" si="4"/>
        <v>101797790.32593346</v>
      </c>
      <c r="W25" s="56"/>
      <c r="X25" s="56"/>
      <c r="Z25" s="62">
        <v>17</v>
      </c>
      <c r="AA25" s="63"/>
      <c r="AB25" s="52">
        <f t="shared" si="7"/>
        <v>62089.67178672773</v>
      </c>
      <c r="AC25" s="57">
        <f t="shared" si="5"/>
        <v>4791432.615851628</v>
      </c>
      <c r="AD25" s="59">
        <f t="shared" si="1"/>
        <v>4853522.287638355</v>
      </c>
      <c r="AE25" s="54">
        <f t="shared" si="8"/>
        <v>960243.5099972363</v>
      </c>
      <c r="AF25" s="55">
        <f t="shared" si="6"/>
        <v>17012976.24528299</v>
      </c>
      <c r="AH25" s="47"/>
    </row>
    <row r="26" spans="3:34" ht="12">
      <c r="C26" s="25"/>
      <c r="D26" s="75"/>
      <c r="E26" s="75"/>
      <c r="F26" s="25"/>
      <c r="G26" s="25"/>
      <c r="I26" s="62">
        <v>18</v>
      </c>
      <c r="J26" s="52">
        <f>Upgrade1!J26+Upgrade2!J26+Upgrade3!J26+Upgrade4!J26</f>
        <v>680177.5711684154</v>
      </c>
      <c r="K26" s="70">
        <f>Upgrade1!K26+Upgrade2!K26+Upgrade3!K26+Upgrade4!K26</f>
        <v>0</v>
      </c>
      <c r="L26" s="55">
        <f>Upgrade1!L26+Upgrade2!L26+Upgrade3!L26+Upgrade4!L26</f>
        <v>14475763.479419975</v>
      </c>
      <c r="M26" s="54">
        <f t="shared" si="2"/>
        <v>15155941.05058839</v>
      </c>
      <c r="N26" s="55">
        <f t="shared" si="3"/>
        <v>167628893.82810235</v>
      </c>
      <c r="O26" s="56"/>
      <c r="P26" s="56"/>
      <c r="Q26" s="62">
        <v>18</v>
      </c>
      <c r="R26" s="52">
        <f>Upgrade1!R26+Upgrade2!R26+Upgrade3!R26+Upgrade4!R26</f>
        <v>613741.6223566167</v>
      </c>
      <c r="S26" s="70">
        <f>Upgrade1!S26+Upgrade2!S26+Upgrade3!S26+Upgrade4!S26</f>
        <v>0</v>
      </c>
      <c r="T26" s="57">
        <f>Upgrade1!T26+Upgrade2!T26+Upgrade3!T26+Upgrade4!T26</f>
        <v>9348930.580458732</v>
      </c>
      <c r="U26" s="139">
        <f t="shared" si="0"/>
        <v>9962672.202815348</v>
      </c>
      <c r="V26" s="55">
        <f t="shared" si="4"/>
        <v>111760462.52874881</v>
      </c>
      <c r="W26" s="56"/>
      <c r="X26" s="56"/>
      <c r="Z26" s="62">
        <v>18</v>
      </c>
      <c r="AA26" s="63"/>
      <c r="AB26" s="52">
        <f t="shared" si="7"/>
        <v>66435.9488117987</v>
      </c>
      <c r="AC26" s="57">
        <f t="shared" si="5"/>
        <v>5126832.898961242</v>
      </c>
      <c r="AD26" s="59">
        <f t="shared" si="1"/>
        <v>5193268.847773041</v>
      </c>
      <c r="AE26" s="54">
        <f t="shared" si="8"/>
        <v>934055.0506336754</v>
      </c>
      <c r="AF26" s="55">
        <f t="shared" si="6"/>
        <v>17947031.295916665</v>
      </c>
      <c r="AH26" s="47"/>
    </row>
    <row r="27" spans="3:34" ht="12">
      <c r="C27" s="25"/>
      <c r="D27" s="75"/>
      <c r="E27" s="75"/>
      <c r="F27" s="25"/>
      <c r="G27" s="25"/>
      <c r="I27" s="62">
        <v>19</v>
      </c>
      <c r="J27" s="52">
        <f>Upgrade1!J27+Upgrade2!J27+Upgrade3!J27+Upgrade4!J27</f>
        <v>727790.0011502045</v>
      </c>
      <c r="K27" s="70">
        <f>Upgrade1!K27+Upgrade2!K27+Upgrade3!K27+Upgrade4!K27</f>
        <v>0</v>
      </c>
      <c r="L27" s="55">
        <f>Upgrade1!L27+Upgrade2!L27+Upgrade3!L27+Upgrade4!L27</f>
        <v>15489066.922979373</v>
      </c>
      <c r="M27" s="54">
        <f t="shared" si="2"/>
        <v>16216856.924129577</v>
      </c>
      <c r="N27" s="55">
        <f t="shared" si="3"/>
        <v>183845750.75223193</v>
      </c>
      <c r="O27" s="56"/>
      <c r="P27" s="56"/>
      <c r="Q27" s="62">
        <v>19</v>
      </c>
      <c r="R27" s="52">
        <f>Upgrade1!R27+Upgrade2!R27+Upgrade3!R27+Upgrade4!R27</f>
        <v>656703.5359215799</v>
      </c>
      <c r="S27" s="70">
        <f>Upgrade1!S27+Upgrade2!S27+Upgrade3!S27+Upgrade4!S27</f>
        <v>0</v>
      </c>
      <c r="T27" s="57">
        <f>Upgrade1!T27+Upgrade2!T27+Upgrade3!T27+Upgrade4!T27</f>
        <v>10003355.721090844</v>
      </c>
      <c r="U27" s="139">
        <f t="shared" si="0"/>
        <v>10660059.257012423</v>
      </c>
      <c r="V27" s="55">
        <f t="shared" si="4"/>
        <v>122420521.78576124</v>
      </c>
      <c r="W27" s="56"/>
      <c r="X27" s="56"/>
      <c r="Z27" s="62">
        <v>19</v>
      </c>
      <c r="AA27" s="63"/>
      <c r="AB27" s="52">
        <f t="shared" si="7"/>
        <v>71086.46522862453</v>
      </c>
      <c r="AC27" s="57">
        <f t="shared" si="5"/>
        <v>5485711.20188853</v>
      </c>
      <c r="AD27" s="59">
        <f t="shared" si="1"/>
        <v>5556797.667117154</v>
      </c>
      <c r="AE27" s="54">
        <f t="shared" si="8"/>
        <v>908580.8219800296</v>
      </c>
      <c r="AF27" s="55">
        <f t="shared" si="6"/>
        <v>18855612.117896695</v>
      </c>
      <c r="AH27" s="47"/>
    </row>
    <row r="28" spans="3:34" ht="12.75" thickBot="1">
      <c r="C28" s="25"/>
      <c r="D28" s="75"/>
      <c r="E28" s="75"/>
      <c r="F28" s="25"/>
      <c r="G28" s="25"/>
      <c r="I28" s="84">
        <v>20</v>
      </c>
      <c r="J28" s="85">
        <f>Upgrade1!J28+Upgrade2!J28+Upgrade3!J28+Upgrade4!J28</f>
        <v>778735.3012307187</v>
      </c>
      <c r="K28" s="86">
        <f>Upgrade1!K28+Upgrade2!K28+Upgrade3!K28+Upgrade4!K28</f>
        <v>0</v>
      </c>
      <c r="L28" s="87">
        <f>Upgrade1!L28+Upgrade2!L28+Upgrade3!L28+Upgrade4!L28</f>
        <v>16573301.60758793</v>
      </c>
      <c r="M28" s="88">
        <f t="shared" si="2"/>
        <v>17352036.908818647</v>
      </c>
      <c r="N28" s="55">
        <f t="shared" si="3"/>
        <v>201197787.66105056</v>
      </c>
      <c r="O28" s="56"/>
      <c r="P28" s="56"/>
      <c r="Q28" s="84">
        <v>20</v>
      </c>
      <c r="R28" s="85">
        <f>Upgrade1!R28+Upgrade2!R28+Upgrade3!R28+Upgrade4!R28</f>
        <v>702672.7834360905</v>
      </c>
      <c r="S28" s="86">
        <f>Upgrade1!S28+Upgrade2!S28+Upgrade3!S28+Upgrade4!S28</f>
        <v>0</v>
      </c>
      <c r="T28" s="90">
        <f>Upgrade1!T28+Upgrade2!T28+Upgrade3!T28+Upgrade4!T28</f>
        <v>10703590.621567203</v>
      </c>
      <c r="U28" s="140">
        <f t="shared" si="0"/>
        <v>11406263.405003292</v>
      </c>
      <c r="V28" s="87">
        <f t="shared" si="4"/>
        <v>133826785.19076453</v>
      </c>
      <c r="W28" s="56"/>
      <c r="X28" s="56"/>
      <c r="Z28" s="84">
        <v>20</v>
      </c>
      <c r="AA28" s="89"/>
      <c r="AB28" s="85">
        <f t="shared" si="7"/>
        <v>76062.51779462828</v>
      </c>
      <c r="AC28" s="90">
        <f t="shared" si="5"/>
        <v>5869710.986020727</v>
      </c>
      <c r="AD28" s="91">
        <f t="shared" si="1"/>
        <v>5945773.503815356</v>
      </c>
      <c r="AE28" s="88">
        <f t="shared" si="8"/>
        <v>883801.345016938</v>
      </c>
      <c r="AF28" s="87">
        <f t="shared" si="6"/>
        <v>19739413.462913632</v>
      </c>
      <c r="AH28" s="47"/>
    </row>
    <row r="29" spans="3:34" ht="13.5" thickBot="1" thickTop="1">
      <c r="C29" s="25"/>
      <c r="D29" s="75"/>
      <c r="E29" s="75"/>
      <c r="F29" s="25"/>
      <c r="G29" s="92"/>
      <c r="I29" s="93" t="s">
        <v>31</v>
      </c>
      <c r="J29" s="94">
        <f>SUM(J8:J28)</f>
        <v>8827428.175955271</v>
      </c>
      <c r="K29" s="94">
        <f>SUM(K8:K28)</f>
        <v>4502120.626251377</v>
      </c>
      <c r="L29" s="95">
        <f>SUM(L8:L28)</f>
        <v>187868238.85884392</v>
      </c>
      <c r="M29" s="96">
        <f>SUM(M8:M28)</f>
        <v>201197787.66105056</v>
      </c>
      <c r="N29" s="129"/>
      <c r="O29" s="56"/>
      <c r="P29" s="56"/>
      <c r="Q29" s="93" t="s">
        <v>31</v>
      </c>
      <c r="R29" s="94">
        <f>SUM(R8:R28)</f>
        <v>9129214.261094524</v>
      </c>
      <c r="S29" s="94">
        <f>SUM(S8:S28)</f>
        <v>3366000</v>
      </c>
      <c r="T29" s="98">
        <f>SUM(T8:T28)</f>
        <v>121331570.92967002</v>
      </c>
      <c r="U29" s="141">
        <f>SUM(U8:U28)</f>
        <v>133826785.19076453</v>
      </c>
      <c r="V29" s="142"/>
      <c r="W29" s="56"/>
      <c r="X29" s="25"/>
      <c r="Z29" s="93" t="s">
        <v>31</v>
      </c>
      <c r="AA29" s="97"/>
      <c r="AB29" s="94">
        <f>SUM(AB8:AB28)</f>
        <v>5149007.741112125</v>
      </c>
      <c r="AC29" s="98">
        <f>SUM(AC8:AC28)</f>
        <v>66536667.9291739</v>
      </c>
      <c r="AD29" s="99">
        <f>SUM(AD8:AD28)</f>
        <v>67155675.67028601</v>
      </c>
      <c r="AE29" s="100">
        <f>SUM(AE8:AE28)</f>
        <v>19739413.462913632</v>
      </c>
      <c r="AF29" s="135"/>
      <c r="AH29" s="47"/>
    </row>
    <row r="30" spans="3:34" ht="12">
      <c r="C30" s="25"/>
      <c r="D30" s="128"/>
      <c r="E30" s="128"/>
      <c r="F30" s="25"/>
      <c r="G30" s="92"/>
      <c r="I30" s="20" t="s">
        <v>57</v>
      </c>
      <c r="J30" s="56"/>
      <c r="K30" s="56"/>
      <c r="L30" s="56"/>
      <c r="M30" s="56"/>
      <c r="N30" s="56"/>
      <c r="Q30" s="20" t="s">
        <v>57</v>
      </c>
      <c r="R30" s="56"/>
      <c r="S30" s="56"/>
      <c r="T30" s="56"/>
      <c r="U30" s="56"/>
      <c r="V30" s="56"/>
      <c r="AH30" s="47"/>
    </row>
    <row r="31" spans="3:34" ht="12">
      <c r="C31" s="25"/>
      <c r="D31" s="75"/>
      <c r="E31" s="75"/>
      <c r="F31" s="25"/>
      <c r="G31" s="92"/>
      <c r="M31" s="101" t="s">
        <v>11</v>
      </c>
      <c r="Q31" s="102"/>
      <c r="R31" s="102"/>
      <c r="S31" s="102"/>
      <c r="T31" s="102"/>
      <c r="U31" s="101" t="s">
        <v>11</v>
      </c>
      <c r="V31" s="102"/>
      <c r="W31" s="101" t="s">
        <v>11</v>
      </c>
      <c r="Z31" s="20" t="s">
        <v>11</v>
      </c>
      <c r="AH31" s="47"/>
    </row>
    <row r="32" spans="3:24" ht="12">
      <c r="C32" s="25"/>
      <c r="D32" s="75"/>
      <c r="E32" s="75"/>
      <c r="F32" s="25"/>
      <c r="G32" s="92"/>
      <c r="I32" s="20" t="s">
        <v>35</v>
      </c>
      <c r="Q32" s="25" t="s">
        <v>35</v>
      </c>
      <c r="R32" s="25"/>
      <c r="S32" s="25"/>
      <c r="T32" s="25"/>
      <c r="U32" s="25"/>
      <c r="V32" s="25"/>
      <c r="W32" s="25"/>
      <c r="X32" s="25"/>
    </row>
    <row r="33" spans="3:22" ht="12" customHeight="1">
      <c r="C33" s="61"/>
      <c r="D33" s="75"/>
      <c r="E33" s="75"/>
      <c r="G33" s="92"/>
      <c r="I33" s="186" t="s">
        <v>56</v>
      </c>
      <c r="J33" s="186"/>
      <c r="K33" s="186"/>
      <c r="L33" s="186"/>
      <c r="M33" s="186"/>
      <c r="N33" s="186"/>
      <c r="O33" s="152"/>
      <c r="P33" s="103"/>
      <c r="Q33" s="186" t="str">
        <f>I33</f>
        <v>1)  Year 0 (Initial) costs represent the material and labor costs associated with the installation of the lighting system. These costs are not applicable for existing systems. </v>
      </c>
      <c r="R33" s="186"/>
      <c r="S33" s="186"/>
      <c r="T33" s="186"/>
      <c r="U33" s="186"/>
      <c r="V33" s="186"/>
    </row>
    <row r="34" spans="3:22" ht="12" customHeight="1">
      <c r="C34" s="61"/>
      <c r="D34" s="75"/>
      <c r="E34" s="75"/>
      <c r="F34" s="25"/>
      <c r="G34" s="92"/>
      <c r="I34" s="186"/>
      <c r="J34" s="186"/>
      <c r="K34" s="186"/>
      <c r="L34" s="186"/>
      <c r="M34" s="186"/>
      <c r="N34" s="186"/>
      <c r="O34" s="152"/>
      <c r="P34" s="103"/>
      <c r="Q34" s="186"/>
      <c r="R34" s="186"/>
      <c r="S34" s="186"/>
      <c r="T34" s="186"/>
      <c r="U34" s="186"/>
      <c r="V34" s="186"/>
    </row>
    <row r="35" spans="6:22" ht="13.5" customHeight="1">
      <c r="F35" s="80"/>
      <c r="G35" s="92"/>
      <c r="I35" s="194" t="s">
        <v>94</v>
      </c>
      <c r="J35" s="194"/>
      <c r="K35" s="194"/>
      <c r="L35" s="194"/>
      <c r="M35" s="194"/>
      <c r="N35" s="194"/>
      <c r="O35" s="153"/>
      <c r="P35" s="195"/>
      <c r="Q35" s="194" t="str">
        <f>I35</f>
        <v>2) For simplicity, it is assumed that the same number of lamps are replaced each year. This means lamp replacement cost are the same every year before adjustment for inflation.  In reality, lamp replacment and the associated costs will tend to be concentrated around the end of the rate life.</v>
      </c>
      <c r="R35" s="194"/>
      <c r="S35" s="194"/>
      <c r="T35" s="194"/>
      <c r="U35" s="194"/>
      <c r="V35" s="194"/>
    </row>
    <row r="36" spans="3:22" ht="12" customHeight="1">
      <c r="C36" s="25"/>
      <c r="D36" s="25"/>
      <c r="E36" s="25"/>
      <c r="F36" s="113"/>
      <c r="G36" s="92"/>
      <c r="I36" s="194"/>
      <c r="J36" s="194"/>
      <c r="K36" s="194"/>
      <c r="L36" s="194"/>
      <c r="M36" s="194"/>
      <c r="N36" s="194"/>
      <c r="O36" s="153"/>
      <c r="P36" s="162"/>
      <c r="Q36" s="194"/>
      <c r="R36" s="194"/>
      <c r="S36" s="194"/>
      <c r="T36" s="194"/>
      <c r="U36" s="194"/>
      <c r="V36" s="194"/>
    </row>
    <row r="37" spans="6:22" ht="12.75" customHeight="1">
      <c r="F37" s="113"/>
      <c r="G37" s="92"/>
      <c r="I37" s="194"/>
      <c r="J37" s="194"/>
      <c r="K37" s="194"/>
      <c r="L37" s="194"/>
      <c r="M37" s="194"/>
      <c r="N37" s="194"/>
      <c r="O37" s="156"/>
      <c r="P37" s="195"/>
      <c r="Q37" s="194"/>
      <c r="R37" s="194"/>
      <c r="S37" s="194"/>
      <c r="T37" s="194"/>
      <c r="U37" s="194"/>
      <c r="V37" s="194"/>
    </row>
    <row r="38" spans="6:22" ht="12" customHeight="1">
      <c r="F38" s="113"/>
      <c r="G38" s="92"/>
      <c r="I38" s="194"/>
      <c r="J38" s="194"/>
      <c r="K38" s="194"/>
      <c r="L38" s="194"/>
      <c r="M38" s="194"/>
      <c r="N38" s="194"/>
      <c r="O38" s="4"/>
      <c r="P38" s="162"/>
      <c r="Q38" s="194"/>
      <c r="R38" s="194"/>
      <c r="S38" s="194"/>
      <c r="T38" s="194"/>
      <c r="U38" s="194"/>
      <c r="V38" s="194"/>
    </row>
    <row r="39" spans="6:22" ht="12" customHeight="1">
      <c r="F39" s="113"/>
      <c r="G39" s="92"/>
      <c r="I39" s="186" t="s">
        <v>95</v>
      </c>
      <c r="J39" s="186"/>
      <c r="K39" s="186"/>
      <c r="L39" s="186"/>
      <c r="M39" s="186"/>
      <c r="N39" s="186"/>
      <c r="O39" s="4"/>
      <c r="Q39" s="186" t="str">
        <f>I39</f>
        <v>3) Magnetic ballasts have a rated life of 14 years if installed properly (electronic ballasts have a rated life of 20+ years).  Therefore, replacement costs for magnetic ballasts are applied at year 14, and electronic ballasts replacement costs are not applicable. </v>
      </c>
      <c r="R39" s="186"/>
      <c r="S39" s="186"/>
      <c r="T39" s="186"/>
      <c r="U39" s="186"/>
      <c r="V39" s="186"/>
    </row>
    <row r="40" spans="7:22" ht="12.75">
      <c r="G40" s="113"/>
      <c r="I40" s="186"/>
      <c r="J40" s="186"/>
      <c r="K40" s="186"/>
      <c r="L40" s="186"/>
      <c r="M40" s="186"/>
      <c r="N40" s="186"/>
      <c r="O40" s="4"/>
      <c r="Q40" s="186"/>
      <c r="R40" s="186"/>
      <c r="S40" s="186"/>
      <c r="T40" s="186"/>
      <c r="U40" s="186"/>
      <c r="V40" s="186"/>
    </row>
    <row r="41" spans="9:22" ht="12">
      <c r="I41" s="186"/>
      <c r="J41" s="186"/>
      <c r="K41" s="186"/>
      <c r="L41" s="186"/>
      <c r="M41" s="186"/>
      <c r="N41" s="186"/>
      <c r="O41" s="61"/>
      <c r="Q41" s="186"/>
      <c r="R41" s="186"/>
      <c r="S41" s="186"/>
      <c r="T41" s="186"/>
      <c r="U41" s="186"/>
      <c r="V41" s="186"/>
    </row>
    <row r="42" ht="12.75" customHeight="1"/>
    <row r="44" ht="12.75" customHeight="1"/>
    <row r="45" ht="12">
      <c r="F45" s="61"/>
    </row>
    <row r="46" spans="6:7" ht="12.75" customHeight="1">
      <c r="F46" s="61"/>
      <c r="G46" s="61"/>
    </row>
    <row r="47" spans="6:7" ht="12">
      <c r="F47" s="25"/>
      <c r="G47" s="61"/>
    </row>
    <row r="48" ht="12">
      <c r="G48" s="25"/>
    </row>
  </sheetData>
  <mergeCells count="26">
    <mergeCell ref="I39:N41"/>
    <mergeCell ref="Q39:V41"/>
    <mergeCell ref="I35:N38"/>
    <mergeCell ref="P35:P36"/>
    <mergeCell ref="Q35:V38"/>
    <mergeCell ref="P37:P38"/>
    <mergeCell ref="I33:N34"/>
    <mergeCell ref="Q33:V34"/>
    <mergeCell ref="D16:F16"/>
    <mergeCell ref="D17:F17"/>
    <mergeCell ref="D18:F18"/>
    <mergeCell ref="D19:F19"/>
    <mergeCell ref="D9:F9"/>
    <mergeCell ref="D10:F10"/>
    <mergeCell ref="D11:F11"/>
    <mergeCell ref="D13:E13"/>
    <mergeCell ref="C2:F2"/>
    <mergeCell ref="C3:F3"/>
    <mergeCell ref="AJ2:AP2"/>
    <mergeCell ref="AJ3:AP3"/>
    <mergeCell ref="I2:N2"/>
    <mergeCell ref="I3:N3"/>
    <mergeCell ref="Z2:AF2"/>
    <mergeCell ref="Z3:AF3"/>
    <mergeCell ref="Q3:V3"/>
    <mergeCell ref="Q2:V2"/>
  </mergeCells>
  <printOptions/>
  <pageMargins left="0.75" right="0.75" top="1" bottom="1" header="0.5" footer="0.5"/>
  <pageSetup blackAndWhite="1" fitToWidth="5" horizontalDpi="600" verticalDpi="600" orientation="portrait" scale="90" r:id="rId10"/>
  <headerFooter alignWithMargins="0">
    <oddFooter>&amp;CRoll-Up &amp;D</oddFooter>
  </headerFooter>
  <colBreaks count="4" manualBreakCount="4">
    <brk id="7" max="41" man="1"/>
    <brk id="15" max="41" man="1"/>
    <brk id="24" max="41" man="1"/>
    <brk id="34" max="41" man="1"/>
  </colBreaks>
  <drawing r:id="rId9"/>
  <legacyDrawing r:id="rId8"/>
  <oleObjects>
    <oleObject progId="Word.Picture.8" shapeId="460236" r:id="rId1"/>
    <oleObject progId="Word.Picture.8" shapeId="664375" r:id="rId2"/>
    <oleObject progId="Word.Picture.8" shapeId="665938" r:id="rId3"/>
    <oleObject progId="Word.Picture.8" shapeId="1142418" r:id="rId4"/>
    <oleObject progId="Word.Picture.8" shapeId="1529242" r:id="rId5"/>
    <oleObject progId="Word.Picture.8" shapeId="1580055" r:id="rId6"/>
    <oleObject progId="Word.Picture.8" shapeId="1263182" r:id="rId7"/>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 User</dc:creator>
  <cp:keywords/>
  <dc:description/>
  <cp:lastModifiedBy>Steve Bagley</cp:lastModifiedBy>
  <cp:lastPrinted>2001-06-11T19:39:22Z</cp:lastPrinted>
  <dcterms:created xsi:type="dcterms:W3CDTF">2000-08-01T02:45:53Z</dcterms:created>
  <dcterms:modified xsi:type="dcterms:W3CDTF">2002-06-18T19:41:50Z</dcterms:modified>
  <cp:category/>
  <cp:version/>
  <cp:contentType/>
  <cp:contentStatus/>
</cp:coreProperties>
</file>