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Instructions" sheetId="1" r:id="rId1"/>
    <sheet name="Contact Information" sheetId="2" r:id="rId2"/>
    <sheet name="Input Sheet" sheetId="3" r:id="rId3"/>
    <sheet name="Estimation Tools" sheetId="4" r:id="rId4"/>
    <sheet name="Output Sheet" sheetId="5" r:id="rId5"/>
    <sheet name="Calcs" sheetId="6" r:id="rId6"/>
  </sheets>
  <definedNames/>
  <calcPr fullCalcOnLoad="1"/>
</workbook>
</file>

<file path=xl/comments6.xml><?xml version="1.0" encoding="utf-8"?>
<comments xmlns="http://schemas.openxmlformats.org/spreadsheetml/2006/main">
  <authors>
    <author>Glen Thomas</author>
  </authors>
  <commentList>
    <comment ref="C32" authorId="0">
      <text>
        <r>
          <rPr>
            <b/>
            <sz val="8"/>
            <rFont val="Tahoma"/>
            <family val="0"/>
          </rPr>
          <t>Glen Thomas:</t>
        </r>
        <r>
          <rPr>
            <sz val="8"/>
            <rFont val="Tahoma"/>
            <family val="0"/>
          </rPr>
          <t xml:space="preserve">
anything 20% or less is treated as 20%.  The table uses 0% to avoid errors.
</t>
        </r>
      </text>
    </comment>
  </commentList>
</comments>
</file>

<file path=xl/sharedStrings.xml><?xml version="1.0" encoding="utf-8"?>
<sst xmlns="http://schemas.openxmlformats.org/spreadsheetml/2006/main" count="284" uniqueCount="208">
  <si>
    <t>Motor HP</t>
  </si>
  <si>
    <t>Compressor Make</t>
  </si>
  <si>
    <t>Compressor Model</t>
  </si>
  <si>
    <t>Load/Unload</t>
  </si>
  <si>
    <t>Rated Pressure</t>
  </si>
  <si>
    <t xml:space="preserve">     Low Load (minimum)</t>
  </si>
  <si>
    <t>Motor Efficiency</t>
  </si>
  <si>
    <t xml:space="preserve">Existing </t>
  </si>
  <si>
    <t>Proposed</t>
  </si>
  <si>
    <t>Estimate the compressor loading:</t>
  </si>
  <si>
    <t xml:space="preserve">     Total (should be at 100%)</t>
  </si>
  <si>
    <t>Base Performance Curves</t>
  </si>
  <si>
    <t>Modulation</t>
  </si>
  <si>
    <t>On/Off</t>
  </si>
  <si>
    <t>VFD</t>
  </si>
  <si>
    <t>Capacity</t>
  </si>
  <si>
    <t>Mod/Unload</t>
  </si>
  <si>
    <t>kW</t>
  </si>
  <si>
    <t>Time</t>
  </si>
  <si>
    <t>Total</t>
  </si>
  <si>
    <t>Rated CFM</t>
  </si>
  <si>
    <t>Screw</t>
  </si>
  <si>
    <t>Operating Hours</t>
  </si>
  <si>
    <t>Baseline</t>
  </si>
  <si>
    <t>New</t>
  </si>
  <si>
    <t>Max. Power</t>
  </si>
  <si>
    <t>Ave. Power</t>
  </si>
  <si>
    <t>Energy Use</t>
  </si>
  <si>
    <t>Savings</t>
  </si>
  <si>
    <t>kWh</t>
  </si>
  <si>
    <t>Average Discharge Pressure</t>
  </si>
  <si>
    <t>Pressure rating adjustment</t>
  </si>
  <si>
    <t>Additional Demand</t>
  </si>
  <si>
    <t>cfm</t>
  </si>
  <si>
    <t>Vendor</t>
  </si>
  <si>
    <t>Air Demand factor</t>
  </si>
  <si>
    <t>CFM/HP</t>
  </si>
  <si>
    <t xml:space="preserve">Dryer </t>
  </si>
  <si>
    <t>Compressor</t>
  </si>
  <si>
    <t>Recip</t>
  </si>
  <si>
    <t>Rotary Vane</t>
  </si>
  <si>
    <t>Other</t>
  </si>
  <si>
    <t>System</t>
  </si>
  <si>
    <t>1 - Inlet Modulation</t>
  </si>
  <si>
    <t>3 - Load/Unload</t>
  </si>
  <si>
    <t>4 - VFD</t>
  </si>
  <si>
    <t>Partload Control</t>
  </si>
  <si>
    <t>Control Type</t>
  </si>
  <si>
    <t>Dryer Type</t>
  </si>
  <si>
    <t>Compressor Type</t>
  </si>
  <si>
    <t>Calculated Full Load Power</t>
  </si>
  <si>
    <t>Max Power</t>
  </si>
  <si>
    <t>purge air %</t>
  </si>
  <si>
    <t>Dryer Savings</t>
  </si>
  <si>
    <t>Air savings</t>
  </si>
  <si>
    <t>savings from dryer</t>
  </si>
  <si>
    <t>ave cap</t>
  </si>
  <si>
    <t>med</t>
  </si>
  <si>
    <t>low</t>
  </si>
  <si>
    <t>Estimated Savings</t>
  </si>
  <si>
    <t>Date</t>
  </si>
  <si>
    <t>Compressed Air System Savings Estimate</t>
  </si>
  <si>
    <t>Dryer Make</t>
  </si>
  <si>
    <t>Dryer Model</t>
  </si>
  <si>
    <t>Make:</t>
  </si>
  <si>
    <t>Model:</t>
  </si>
  <si>
    <t>Rated Capacity:</t>
  </si>
  <si>
    <t>Rated Pressure:</t>
  </si>
  <si>
    <t>Control:</t>
  </si>
  <si>
    <t>Estimated Energy Savings:</t>
  </si>
  <si>
    <t>Note that this analysis was performed without system monitoring.  The estimated savings are only as</t>
  </si>
  <si>
    <t>accurate as the estimates entered into the model.  More detailed analysis could revise the savings estimate</t>
  </si>
  <si>
    <t>Average discharge pressure has increased</t>
  </si>
  <si>
    <t>Receiver volume decreased</t>
  </si>
  <si>
    <t>Alerts:</t>
  </si>
  <si>
    <t>Dryer capacity is less than compressor capacity</t>
  </si>
  <si>
    <t>The compressor loading estimates do not equal 100%</t>
  </si>
  <si>
    <t>The system may have insufficient receiver volume</t>
  </si>
  <si>
    <t>either up or down.  This analysis assumes the proposed equipment is installed in accordance with</t>
  </si>
  <si>
    <t>efficient system design principles.</t>
  </si>
  <si>
    <t>The CFM/HP for the proposed compressor is out of the normal expected range</t>
  </si>
  <si>
    <t>consider Dryer</t>
  </si>
  <si>
    <t>Phone</t>
  </si>
  <si>
    <t>Email</t>
  </si>
  <si>
    <t>Annual Operating Hours</t>
  </si>
  <si>
    <t xml:space="preserve">     High Load (full capacity)</t>
  </si>
  <si>
    <t>Baseline kWh</t>
  </si>
  <si>
    <t>1 - Refrigerated - Non-Cycling</t>
  </si>
  <si>
    <t>2 - On/Off (Recips)</t>
  </si>
  <si>
    <t>Should the energy calculations include the dryer?</t>
  </si>
  <si>
    <t>% Time</t>
  </si>
  <si>
    <t>% Air Flow</t>
  </si>
  <si>
    <t xml:space="preserve">     Medium Load</t>
  </si>
  <si>
    <t xml:space="preserve">Customer  </t>
  </si>
  <si>
    <t>Company</t>
  </si>
  <si>
    <t>Name</t>
  </si>
  <si>
    <t>Weighted Average Power</t>
  </si>
  <si>
    <t>Partload performance based on control methods</t>
  </si>
  <si>
    <t>Weighted averages based on partload and time at loads</t>
  </si>
  <si>
    <t>3 - Desiccant - Heatless</t>
  </si>
  <si>
    <t>4 - Desiccant - Heated</t>
  </si>
  <si>
    <t>5 - Desiccant - Heatless, Dew Point Control</t>
  </si>
  <si>
    <t>6 - Desiccant - Heated, Dew Point Control</t>
  </si>
  <si>
    <t>Input power for the existing dryer heater or compressor</t>
  </si>
  <si>
    <t>Input power for the proposed dryer heater or compressor</t>
  </si>
  <si>
    <t>Weighted averages based on above adjusted partload and time at loads</t>
  </si>
  <si>
    <t>Logic table for dryer alarm</t>
  </si>
  <si>
    <t>2 - Refrigerated - Cycling or VFD</t>
  </si>
  <si>
    <t>Is power required?</t>
  </si>
  <si>
    <t>Is power entered?</t>
  </si>
  <si>
    <t>Is this correct?</t>
  </si>
  <si>
    <t>Should the proposed equipment be compared with the baseline equipment?</t>
  </si>
  <si>
    <t xml:space="preserve">  (Otherwise the comparison will be against a inlet modulated machine the same size as the proposed machine)</t>
  </si>
  <si>
    <t>compare</t>
  </si>
  <si>
    <t>to baseline</t>
  </si>
  <si>
    <t>% Capacity</t>
  </si>
  <si>
    <t>% Power Penalty</t>
  </si>
  <si>
    <t>Proposed performance curves</t>
  </si>
  <si>
    <t>This table allows a look up for</t>
  </si>
  <si>
    <t>% power penalties base on</t>
  </si>
  <si>
    <t>From Input sheet</t>
  </si>
  <si>
    <t>New w/ Mod.</t>
  </si>
  <si>
    <t>Average power is the max power times the weighted average power times the operating pressure adjustment</t>
  </si>
  <si>
    <t>Energy Use is average power times hours</t>
  </si>
  <si>
    <t>Existing as Baseline</t>
  </si>
  <si>
    <t>New inlet modulated machine as baseline</t>
  </si>
  <si>
    <t>Existing Dryer % Power Use</t>
  </si>
  <si>
    <t>% CFM</t>
  </si>
  <si>
    <t>% time</t>
  </si>
  <si>
    <t>% purge air required</t>
  </si>
  <si>
    <t>Dryer Types (for reference only)</t>
  </si>
  <si>
    <t>Alt. Baseline</t>
  </si>
  <si>
    <t>Is the dryer included in calculations?</t>
  </si>
  <si>
    <t>Dryer Baseine</t>
  </si>
  <si>
    <t>Air baseline</t>
  </si>
  <si>
    <t>Baseline Energy Use:</t>
  </si>
  <si>
    <t>% Energy Savings:</t>
  </si>
  <si>
    <t>Partload estimates for the different types of dryers.  Assumes 25%</t>
  </si>
  <si>
    <t>power is minimum.</t>
  </si>
  <si>
    <t>Calculates the average weighted power based on the partload curves and</t>
  </si>
  <si>
    <t>the loading cycles</t>
  </si>
  <si>
    <t>full flow</t>
  </si>
  <si>
    <t>Calculates the average capacity based on cfm and the loading cycle</t>
  </si>
  <si>
    <t>purge air for the different dryer types</t>
  </si>
  <si>
    <t>average power and purge air requirements for the three cases</t>
  </si>
  <si>
    <t>final calculations</t>
  </si>
  <si>
    <t>IR</t>
  </si>
  <si>
    <t>Portland Compressor</t>
  </si>
  <si>
    <t>Cam-Air</t>
  </si>
  <si>
    <t>TS-10</t>
  </si>
  <si>
    <t>DS50</t>
  </si>
  <si>
    <t>Receiver Volume</t>
  </si>
  <si>
    <t>Additional demand plus the original compressor capacity is greater than the proposed compressor capacity</t>
  </si>
  <si>
    <t>Receiver ratio (gal/cfm)</t>
  </si>
  <si>
    <t xml:space="preserve">Recommended minimum receiver ratio </t>
  </si>
  <si>
    <t>Recommended % Air Flow</t>
  </si>
  <si>
    <t>Partload curves adjusted for receiver volume changes, adjusted capacity, and dryer savings</t>
  </si>
  <si>
    <t>Receiver Ratio (gal/cfm)</t>
  </si>
  <si>
    <t>receiver ratio and % capacity</t>
  </si>
  <si>
    <t>Dryer Energy Use</t>
  </si>
  <si>
    <t>Evaluator</t>
  </si>
  <si>
    <t>5 - Modulation w/ Unloading</t>
  </si>
  <si>
    <t>John Doe</t>
  </si>
  <si>
    <t>XYZ Consultants</t>
  </si>
  <si>
    <t>123-456-7890</t>
  </si>
  <si>
    <t>xxx@xyz.com</t>
  </si>
  <si>
    <t>steves@finecabinet.com</t>
  </si>
  <si>
    <t>Fine Cabinets</t>
  </si>
  <si>
    <t>509-522-9876</t>
  </si>
  <si>
    <t>Steve Smith</t>
  </si>
  <si>
    <t>Sales Guy</t>
  </si>
  <si>
    <t>baseline</t>
  </si>
  <si>
    <t>eem</t>
  </si>
  <si>
    <t>xxx</t>
  </si>
  <si>
    <t>1457 E. Wilber</t>
  </si>
  <si>
    <t>Walla Walla, WA 99362</t>
  </si>
  <si>
    <t xml:space="preserve">Address </t>
  </si>
  <si>
    <t>City/State</t>
  </si>
  <si>
    <t>yyy</t>
  </si>
  <si>
    <t>Baseline Compressor:</t>
  </si>
  <si>
    <t>Notes:</t>
  </si>
  <si>
    <t>orig</t>
  </si>
  <si>
    <t>new</t>
  </si>
  <si>
    <t>Unlikely motor efficiency</t>
  </si>
  <si>
    <t>HP</t>
  </si>
  <si>
    <t>ICFM</t>
  </si>
  <si>
    <t>PSIG</t>
  </si>
  <si>
    <t>Gal.</t>
  </si>
  <si>
    <t>Gal/ICFM</t>
  </si>
  <si>
    <t>hrs/year    (8,760 hours in a year)</t>
  </si>
  <si>
    <t>Dryer</t>
  </si>
  <si>
    <t>Supply</t>
  </si>
  <si>
    <t>Proposed Energy Use:</t>
  </si>
  <si>
    <t xml:space="preserve">This sheet has some simple tools to help estimate some of the values for the input sheet when exact numbers are not available.  </t>
  </si>
  <si>
    <t>Receiver Volume:</t>
  </si>
  <si>
    <t>Diameter</t>
  </si>
  <si>
    <t>Height</t>
  </si>
  <si>
    <t>Inches</t>
  </si>
  <si>
    <t>Volume</t>
  </si>
  <si>
    <t>Ft^3</t>
  </si>
  <si>
    <t>(Note:  To be conservative, this measurement should not include the rounded ends.)</t>
  </si>
  <si>
    <t>Input HP</t>
  </si>
  <si>
    <t>Compressor Capacity:</t>
  </si>
  <si>
    <t>Pipe Volume:</t>
  </si>
  <si>
    <t>Inside Diameter</t>
  </si>
  <si>
    <t>Length</t>
  </si>
  <si>
    <t>Feet</t>
  </si>
  <si>
    <t>(A simple estimate is 5 ICFM per connected HP)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</si>
</sst>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%"/>
    <numFmt numFmtId="170" formatCode="#,##0.0"/>
    <numFmt numFmtId="171" formatCode="_(* #,##0.0_);_(* \(#,##0.0\);_(* &quot;-&quot;??_);_(@_)"/>
    <numFmt numFmtId="172" formatCode="_(* #,##0_);_(* \(#,##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wrapText="1"/>
    </xf>
    <xf numFmtId="9" fontId="0" fillId="0" borderId="0" xfId="2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169" fontId="0" fillId="0" borderId="1" xfId="21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2" borderId="1" xfId="0" applyFill="1" applyBorder="1" applyAlignment="1">
      <alignment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5" xfId="0" applyNumberFormat="1" applyBorder="1" applyAlignment="1">
      <alignment/>
    </xf>
    <xf numFmtId="9" fontId="0" fillId="0" borderId="0" xfId="21" applyBorder="1" applyAlignment="1">
      <alignment/>
    </xf>
    <xf numFmtId="9" fontId="0" fillId="0" borderId="0" xfId="0" applyNumberFormat="1" applyBorder="1" applyAlignment="1">
      <alignment/>
    </xf>
    <xf numFmtId="9" fontId="0" fillId="0" borderId="6" xfId="21" applyBorder="1" applyAlignment="1">
      <alignment/>
    </xf>
    <xf numFmtId="9" fontId="0" fillId="0" borderId="7" xfId="0" applyNumberFormat="1" applyBorder="1" applyAlignment="1">
      <alignment/>
    </xf>
    <xf numFmtId="9" fontId="0" fillId="0" borderId="8" xfId="21" applyBorder="1" applyAlignment="1">
      <alignment/>
    </xf>
    <xf numFmtId="9" fontId="0" fillId="0" borderId="8" xfId="0" applyNumberFormat="1" applyBorder="1" applyAlignment="1">
      <alignment/>
    </xf>
    <xf numFmtId="9" fontId="0" fillId="0" borderId="9" xfId="21" applyBorder="1" applyAlignment="1">
      <alignment/>
    </xf>
    <xf numFmtId="10" fontId="0" fillId="0" borderId="0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0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7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2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left"/>
    </xf>
    <xf numFmtId="9" fontId="0" fillId="0" borderId="6" xfId="21" applyBorder="1" applyAlignment="1">
      <alignment horizontal="center"/>
    </xf>
    <xf numFmtId="0" fontId="0" fillId="0" borderId="6" xfId="0" applyFill="1" applyBorder="1" applyAlignment="1">
      <alignment horizontal="center"/>
    </xf>
    <xf numFmtId="169" fontId="0" fillId="0" borderId="10" xfId="21" applyNumberFormat="1" applyFill="1" applyBorder="1" applyAlignment="1">
      <alignment horizontal="center"/>
    </xf>
    <xf numFmtId="0" fontId="0" fillId="0" borderId="8" xfId="0" applyFill="1" applyBorder="1" applyAlignment="1">
      <alignment/>
    </xf>
    <xf numFmtId="169" fontId="0" fillId="0" borderId="11" xfId="21" applyNumberFormat="1" applyBorder="1" applyAlignment="1">
      <alignment horizontal="center"/>
    </xf>
    <xf numFmtId="169" fontId="0" fillId="0" borderId="11" xfId="21" applyNumberFormat="1" applyFill="1" applyBorder="1" applyAlignment="1">
      <alignment horizontal="center"/>
    </xf>
    <xf numFmtId="169" fontId="0" fillId="0" borderId="12" xfId="21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2" xfId="0" applyBorder="1" applyAlignment="1" quotePrefix="1">
      <alignment horizontal="left"/>
    </xf>
    <xf numFmtId="9" fontId="0" fillId="0" borderId="3" xfId="21" applyBorder="1" applyAlignment="1">
      <alignment/>
    </xf>
    <xf numFmtId="9" fontId="0" fillId="0" borderId="4" xfId="21" applyBorder="1" applyAlignment="1">
      <alignment/>
    </xf>
    <xf numFmtId="9" fontId="0" fillId="0" borderId="5" xfId="21" applyBorder="1" applyAlignment="1">
      <alignment/>
    </xf>
    <xf numFmtId="9" fontId="0" fillId="0" borderId="6" xfId="0" applyNumberFormat="1" applyBorder="1" applyAlignment="1">
      <alignment/>
    </xf>
    <xf numFmtId="9" fontId="0" fillId="0" borderId="9" xfId="0" applyNumberFormat="1" applyBorder="1" applyAlignment="1">
      <alignment/>
    </xf>
    <xf numFmtId="0" fontId="0" fillId="0" borderId="3" xfId="0" applyBorder="1" applyAlignment="1" quotePrefix="1">
      <alignment horizontal="left"/>
    </xf>
    <xf numFmtId="169" fontId="0" fillId="0" borderId="0" xfId="21" applyNumberFormat="1" applyBorder="1" applyAlignment="1">
      <alignment/>
    </xf>
    <xf numFmtId="169" fontId="0" fillId="0" borderId="8" xfId="21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 quotePrefix="1">
      <alignment horizontal="left"/>
    </xf>
    <xf numFmtId="0" fontId="2" fillId="0" borderId="0" xfId="0" applyFont="1" applyBorder="1" applyAlignment="1">
      <alignment/>
    </xf>
    <xf numFmtId="0" fontId="7" fillId="0" borderId="1" xfId="20" applyFill="1" applyBorder="1" applyAlignment="1">
      <alignment/>
    </xf>
    <xf numFmtId="14" fontId="0" fillId="2" borderId="0" xfId="0" applyNumberFormat="1" applyFill="1" applyBorder="1" applyAlignment="1">
      <alignment horizontal="left"/>
    </xf>
    <xf numFmtId="9" fontId="6" fillId="0" borderId="0" xfId="0" applyNumberFormat="1" applyFont="1" applyAlignment="1">
      <alignment/>
    </xf>
    <xf numFmtId="0" fontId="0" fillId="0" borderId="5" xfId="0" applyFill="1" applyBorder="1" applyAlignment="1" quotePrefix="1">
      <alignment horizontal="left"/>
    </xf>
    <xf numFmtId="0" fontId="0" fillId="0" borderId="7" xfId="0" applyFill="1" applyBorder="1" applyAlignment="1" quotePrefix="1">
      <alignment horizontal="left"/>
    </xf>
    <xf numFmtId="0" fontId="0" fillId="0" borderId="8" xfId="0" applyBorder="1" applyAlignment="1">
      <alignment/>
    </xf>
    <xf numFmtId="16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3" fontId="0" fillId="0" borderId="8" xfId="15" applyBorder="1" applyAlignment="1">
      <alignment/>
    </xf>
    <xf numFmtId="0" fontId="0" fillId="0" borderId="1" xfId="0" applyFill="1" applyBorder="1" applyAlignment="1">
      <alignment horizontal="left"/>
    </xf>
    <xf numFmtId="0" fontId="7" fillId="0" borderId="1" xfId="20" applyFont="1" applyFill="1" applyBorder="1" applyAlignment="1" quotePrefix="1">
      <alignment horizontal="left"/>
    </xf>
    <xf numFmtId="0" fontId="0" fillId="2" borderId="1" xfId="0" applyFill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 quotePrefix="1">
      <alignment horizontal="left"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9" fontId="0" fillId="0" borderId="1" xfId="21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9" fontId="0" fillId="0" borderId="1" xfId="21" applyFill="1" applyBorder="1" applyAlignment="1" applyProtection="1">
      <alignment horizontal="center"/>
      <protection locked="0"/>
    </xf>
    <xf numFmtId="9" fontId="0" fillId="0" borderId="1" xfId="21" applyFill="1" applyBorder="1" applyAlignment="1" applyProtection="1" quotePrefix="1">
      <alignment horizontal="center"/>
      <protection locked="0"/>
    </xf>
    <xf numFmtId="9" fontId="0" fillId="2" borderId="0" xfId="21" applyFill="1" applyAlignment="1" applyProtection="1">
      <alignment horizontal="center"/>
      <protection locked="0"/>
    </xf>
    <xf numFmtId="9" fontId="0" fillId="2" borderId="0" xfId="0" applyNumberFormat="1" applyFill="1" applyAlignment="1" applyProtection="1">
      <alignment horizontal="left"/>
      <protection locked="0"/>
    </xf>
    <xf numFmtId="0" fontId="0" fillId="0" borderId="1" xfId="0" applyFill="1" applyBorder="1" applyAlignment="1" applyProtection="1">
      <alignment/>
      <protection locked="0"/>
    </xf>
    <xf numFmtId="9" fontId="0" fillId="2" borderId="0" xfId="21" applyFill="1" applyAlignment="1" applyProtection="1">
      <alignment/>
      <protection locked="0"/>
    </xf>
    <xf numFmtId="9" fontId="0" fillId="2" borderId="1" xfId="2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3" fontId="2" fillId="2" borderId="0" xfId="0" applyNumberFormat="1" applyFont="1" applyFill="1" applyAlignment="1" applyProtection="1">
      <alignment/>
      <protection/>
    </xf>
    <xf numFmtId="9" fontId="0" fillId="2" borderId="0" xfId="21" applyFill="1" applyAlignment="1" applyProtection="1">
      <alignment/>
      <protection/>
    </xf>
    <xf numFmtId="166" fontId="0" fillId="2" borderId="1" xfId="0" applyNumberFormat="1" applyFill="1" applyBorder="1" applyAlignment="1" applyProtection="1">
      <alignment/>
      <protection/>
    </xf>
    <xf numFmtId="169" fontId="0" fillId="2" borderId="1" xfId="21" applyNumberForma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9" fontId="0" fillId="2" borderId="1" xfId="21" applyFill="1" applyBorder="1" applyAlignment="1" applyProtection="1">
      <alignment/>
      <protection/>
    </xf>
    <xf numFmtId="2" fontId="0" fillId="2" borderId="1" xfId="0" applyNumberForma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ill="1" applyAlignment="1" applyProtection="1" quotePrefix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169" fontId="0" fillId="2" borderId="0" xfId="0" applyNumberForma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2" fillId="0" borderId="1" xfId="21" applyFont="1" applyBorder="1" applyAlignment="1">
      <alignment horizontal="center"/>
    </xf>
    <xf numFmtId="172" fontId="0" fillId="0" borderId="1" xfId="15" applyNumberFormat="1" applyBorder="1" applyAlignment="1">
      <alignment/>
    </xf>
    <xf numFmtId="9" fontId="0" fillId="0" borderId="1" xfId="21" applyBorder="1" applyAlignment="1">
      <alignment/>
    </xf>
    <xf numFmtId="17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1" xfId="21" applyBorder="1" applyAlignment="1">
      <alignment horizontal="center"/>
    </xf>
    <xf numFmtId="0" fontId="0" fillId="2" borderId="0" xfId="0" applyFill="1" applyAlignment="1" quotePrefix="1">
      <alignment horizontal="left"/>
    </xf>
    <xf numFmtId="0" fontId="2" fillId="2" borderId="0" xfId="0" applyFont="1" applyFill="1" applyAlignment="1">
      <alignment/>
    </xf>
    <xf numFmtId="166" fontId="0" fillId="2" borderId="0" xfId="0" applyNumberFormat="1" applyFill="1" applyAlignment="1">
      <alignment/>
    </xf>
    <xf numFmtId="0" fontId="2" fillId="2" borderId="0" xfId="0" applyFont="1" applyFill="1" applyAlignment="1" quotePrefix="1">
      <alignment horizontal="left"/>
    </xf>
    <xf numFmtId="0" fontId="0" fillId="3" borderId="1" xfId="0" applyFill="1" applyBorder="1" applyAlignment="1" applyProtection="1">
      <alignment/>
      <protection locked="0"/>
    </xf>
    <xf numFmtId="0" fontId="3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 val="0"/>
        <i val="0"/>
      </font>
      <border/>
    </dxf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Relationship Id="rId3" Type="http://schemas.openxmlformats.org/officeDocument/2006/relationships/image" Target="../media/image13.jpeg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9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9</xdr:col>
      <xdr:colOff>9525</xdr:colOff>
      <xdr:row>49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0" cy="799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28575</xdr:colOff>
      <xdr:row>3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0</xdr:rowOff>
    </xdr:from>
    <xdr:to>
      <xdr:col>9</xdr:col>
      <xdr:colOff>476250</xdr:colOff>
      <xdr:row>4</xdr:row>
      <xdr:rowOff>47625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50</xdr:row>
      <xdr:rowOff>0</xdr:rowOff>
    </xdr:from>
    <xdr:to>
      <xdr:col>9</xdr:col>
      <xdr:colOff>9525</xdr:colOff>
      <xdr:row>98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8096250"/>
          <a:ext cx="544830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100</xdr:row>
      <xdr:rowOff>0</xdr:rowOff>
    </xdr:from>
    <xdr:to>
      <xdr:col>8</xdr:col>
      <xdr:colOff>581025</xdr:colOff>
      <xdr:row>149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6192500"/>
          <a:ext cx="5391150" cy="794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150</xdr:row>
      <xdr:rowOff>0</xdr:rowOff>
    </xdr:from>
    <xdr:to>
      <xdr:col>8</xdr:col>
      <xdr:colOff>600075</xdr:colOff>
      <xdr:row>198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24288750"/>
          <a:ext cx="5429250" cy="782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200</xdr:row>
      <xdr:rowOff>0</xdr:rowOff>
    </xdr:from>
    <xdr:to>
      <xdr:col>9</xdr:col>
      <xdr:colOff>9525</xdr:colOff>
      <xdr:row>216</xdr:row>
      <xdr:rowOff>76200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32385000"/>
          <a:ext cx="54292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1914525</xdr:colOff>
      <xdr:row>2</xdr:row>
      <xdr:rowOff>9525</xdr:rowOff>
    </xdr:from>
    <xdr:to>
      <xdr:col>3</xdr:col>
      <xdr:colOff>19050</xdr:colOff>
      <xdr:row>3</xdr:row>
      <xdr:rowOff>38100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33375"/>
          <a:ext cx="1619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333375"/>
          <a:ext cx="1609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19050</xdr:colOff>
      <xdr:row>10</xdr:row>
      <xdr:rowOff>28575</xdr:rowOff>
    </xdr:to>
    <xdr:pic>
      <xdr:nvPicPr>
        <xdr:cNvPr id="3" name="Combo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504950"/>
          <a:ext cx="1619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28575</xdr:colOff>
      <xdr:row>10</xdr:row>
      <xdr:rowOff>28575</xdr:rowOff>
    </xdr:to>
    <xdr:pic>
      <xdr:nvPicPr>
        <xdr:cNvPr id="4" name="Combo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86175" y="1504950"/>
          <a:ext cx="1619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30</xdr:row>
      <xdr:rowOff>171450</xdr:rowOff>
    </xdr:from>
    <xdr:to>
      <xdr:col>3</xdr:col>
      <xdr:colOff>1533525</xdr:colOff>
      <xdr:row>32</xdr:row>
      <xdr:rowOff>9525</xdr:rowOff>
    </xdr:to>
    <xdr:pic>
      <xdr:nvPicPr>
        <xdr:cNvPr id="5" name="Combo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0" y="5124450"/>
          <a:ext cx="3124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171450</xdr:rowOff>
    </xdr:from>
    <xdr:to>
      <xdr:col>7</xdr:col>
      <xdr:colOff>361950</xdr:colOff>
      <xdr:row>32</xdr:row>
      <xdr:rowOff>9525</xdr:rowOff>
    </xdr:to>
    <xdr:pic>
      <xdr:nvPicPr>
        <xdr:cNvPr id="6" name="Combo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76850" y="5124450"/>
          <a:ext cx="3133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37</xdr:row>
      <xdr:rowOff>0</xdr:rowOff>
    </xdr:from>
    <xdr:to>
      <xdr:col>2</xdr:col>
      <xdr:colOff>1057275</xdr:colOff>
      <xdr:row>38</xdr:row>
      <xdr:rowOff>57150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62007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25</xdr:row>
      <xdr:rowOff>152400</xdr:rowOff>
    </xdr:from>
    <xdr:to>
      <xdr:col>3</xdr:col>
      <xdr:colOff>876300</xdr:colOff>
      <xdr:row>27</xdr:row>
      <xdr:rowOff>19050</xdr:rowOff>
    </xdr:to>
    <xdr:pic>
      <xdr:nvPicPr>
        <xdr:cNvPr id="8" name="Check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42957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eves@finercabinetry.com" TargetMode="External" /><Relationship Id="rId2" Type="http://schemas.openxmlformats.org/officeDocument/2006/relationships/hyperlink" Target="mailto:xxx@xyz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K7" sqref="K7"/>
    </sheetView>
  </sheetViews>
  <sheetFormatPr defaultColWidth="9.140625" defaultRowHeight="12.75"/>
  <sheetData/>
  <sheetProtection/>
  <printOptions horizontalCentered="1"/>
  <pageMargins left="0.75" right="0.75" top="1" bottom="1" header="0.5" footer="0.5"/>
  <pageSetup horizontalDpi="600" verticalDpi="600" orientation="portrait" scale="95" r:id="rId2"/>
  <headerFooter alignWithMargins="0">
    <oddHeader>&amp;CCompressed Air Small System Analysis Tool - Instruction Sheet</oddHeader>
    <oddFooter>&amp;LDisclaimer: The Compressed Air Small System Analysis Tool is designed for systems LESS THAn 100 horsepower.  It is only to be used as an estimation of potential energy savings.&amp;R&amp;"Arial,Bold"&amp;8Page: &amp;P of &amp;N</oddFooter>
  </headerFooter>
  <rowBreaks count="4" manualBreakCount="4">
    <brk id="50" max="255" man="1"/>
    <brk id="99" max="255" man="1"/>
    <brk id="149" max="255" man="1"/>
    <brk id="1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2:C26"/>
  <sheetViews>
    <sheetView workbookViewId="0" topLeftCell="A1">
      <selection activeCell="E6" sqref="E6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41.57421875" style="9" customWidth="1"/>
    <col min="4" max="16384" width="9.140625" style="9" customWidth="1"/>
  </cols>
  <sheetData>
    <row r="2" spans="2:3" ht="12.75">
      <c r="B2" s="16" t="s">
        <v>60</v>
      </c>
      <c r="C2" s="17">
        <v>38801</v>
      </c>
    </row>
    <row r="3" spans="2:3" ht="12.75">
      <c r="B3" s="21"/>
      <c r="C3" s="78"/>
    </row>
    <row r="4" ht="18">
      <c r="B4" s="22" t="s">
        <v>93</v>
      </c>
    </row>
    <row r="5" spans="2:3" ht="12.75">
      <c r="B5" s="16" t="s">
        <v>94</v>
      </c>
      <c r="C5" s="18" t="s">
        <v>167</v>
      </c>
    </row>
    <row r="6" spans="2:3" ht="12.75">
      <c r="B6" s="16" t="s">
        <v>95</v>
      </c>
      <c r="C6" s="18" t="s">
        <v>169</v>
      </c>
    </row>
    <row r="7" spans="2:3" ht="12.75">
      <c r="B7" s="88" t="s">
        <v>176</v>
      </c>
      <c r="C7" s="18" t="s">
        <v>174</v>
      </c>
    </row>
    <row r="8" spans="2:3" ht="12.75">
      <c r="B8" s="16" t="s">
        <v>177</v>
      </c>
      <c r="C8" s="86" t="s">
        <v>175</v>
      </c>
    </row>
    <row r="9" spans="2:3" ht="12.75">
      <c r="B9" s="16" t="s">
        <v>82</v>
      </c>
      <c r="C9" s="8" t="s">
        <v>168</v>
      </c>
    </row>
    <row r="10" spans="2:3" ht="12.75">
      <c r="B10" s="16" t="s">
        <v>83</v>
      </c>
      <c r="C10" s="87" t="s">
        <v>166</v>
      </c>
    </row>
    <row r="11" ht="12.75">
      <c r="B11" s="21"/>
    </row>
    <row r="12" ht="18">
      <c r="B12" s="22" t="s">
        <v>34</v>
      </c>
    </row>
    <row r="13" spans="2:3" ht="12.75">
      <c r="B13" s="16" t="s">
        <v>94</v>
      </c>
      <c r="C13" s="8" t="s">
        <v>147</v>
      </c>
    </row>
    <row r="14" spans="2:3" ht="12.75">
      <c r="B14" s="16" t="s">
        <v>95</v>
      </c>
      <c r="C14" s="8" t="s">
        <v>170</v>
      </c>
    </row>
    <row r="15" spans="2:3" ht="12.75">
      <c r="B15" s="88" t="s">
        <v>176</v>
      </c>
      <c r="C15" s="8"/>
    </row>
    <row r="16" spans="2:3" ht="12.75">
      <c r="B16" s="16" t="s">
        <v>177</v>
      </c>
      <c r="C16" s="8"/>
    </row>
    <row r="17" spans="2:3" ht="12.75">
      <c r="B17" s="16" t="s">
        <v>82</v>
      </c>
      <c r="C17" s="8"/>
    </row>
    <row r="18" spans="2:3" ht="12.75">
      <c r="B18" s="16" t="s">
        <v>83</v>
      </c>
      <c r="C18" s="77"/>
    </row>
    <row r="19" ht="12.75">
      <c r="B19" s="21"/>
    </row>
    <row r="20" ht="18">
      <c r="B20" s="22" t="s">
        <v>160</v>
      </c>
    </row>
    <row r="21" spans="2:3" ht="12.75">
      <c r="B21" s="16" t="s">
        <v>94</v>
      </c>
      <c r="C21" s="18" t="s">
        <v>163</v>
      </c>
    </row>
    <row r="22" spans="2:3" ht="12.75">
      <c r="B22" s="16" t="s">
        <v>95</v>
      </c>
      <c r="C22" s="8" t="s">
        <v>162</v>
      </c>
    </row>
    <row r="23" spans="2:3" ht="12.75">
      <c r="B23" s="88" t="s">
        <v>176</v>
      </c>
      <c r="C23" s="8"/>
    </row>
    <row r="24" spans="2:3" ht="12.75">
      <c r="B24" s="16" t="s">
        <v>177</v>
      </c>
      <c r="C24" s="8"/>
    </row>
    <row r="25" spans="2:3" ht="12.75">
      <c r="B25" s="16" t="s">
        <v>82</v>
      </c>
      <c r="C25" s="8" t="s">
        <v>164</v>
      </c>
    </row>
    <row r="26" spans="2:3" ht="12.75">
      <c r="B26" s="16" t="s">
        <v>83</v>
      </c>
      <c r="C26" s="77" t="s">
        <v>165</v>
      </c>
    </row>
  </sheetData>
  <sheetProtection password="ED06" sheet="1" objects="1" scenarios="1"/>
  <protectedRanges>
    <protectedRange sqref="C21:C26" name="Range4"/>
    <protectedRange sqref="C13:C18" name="Range3"/>
    <protectedRange sqref="C5:C10" name="Range2"/>
    <protectedRange sqref="C2" name="Range1"/>
  </protectedRanges>
  <hyperlinks>
    <hyperlink ref="C10" r:id="rId1" display="steves@finercabinetry.com"/>
    <hyperlink ref="C26" r:id="rId2" display="xxx@xyz.com"/>
  </hyperlinks>
  <printOptions/>
  <pageMargins left="0.75" right="0.75" top="1" bottom="1" header="0.5" footer="0.5"/>
  <pageSetup horizontalDpi="1200" verticalDpi="12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68"/>
  <sheetViews>
    <sheetView workbookViewId="0" topLeftCell="A10">
      <selection activeCell="F42" sqref="F42"/>
    </sheetView>
  </sheetViews>
  <sheetFormatPr defaultColWidth="9.140625" defaultRowHeight="12.75"/>
  <cols>
    <col min="1" max="1" width="2.57421875" style="90" customWidth="1"/>
    <col min="2" max="2" width="28.7109375" style="90" customWidth="1"/>
    <col min="3" max="3" width="24.00390625" style="90" customWidth="1"/>
    <col min="4" max="5" width="23.8515625" style="90" customWidth="1"/>
    <col min="6" max="6" width="8.57421875" style="90" customWidth="1"/>
    <col min="7" max="18" width="9.140625" style="90" customWidth="1"/>
    <col min="19" max="19" width="67.57421875" style="90" bestFit="1" customWidth="1"/>
    <col min="20" max="16384" width="9.140625" style="90" customWidth="1"/>
  </cols>
  <sheetData>
    <row r="1" spans="1:19" ht="12.75">
      <c r="A1" s="106"/>
      <c r="B1" s="106"/>
      <c r="S1" s="91"/>
    </row>
    <row r="2" spans="1:19" ht="12.75">
      <c r="A2" s="108" t="s">
        <v>38</v>
      </c>
      <c r="B2" s="106"/>
      <c r="C2" s="93" t="s">
        <v>23</v>
      </c>
      <c r="D2" s="93" t="s">
        <v>8</v>
      </c>
      <c r="F2" s="118" t="s">
        <v>50</v>
      </c>
      <c r="G2" s="106"/>
      <c r="H2" s="106"/>
      <c r="I2" s="111">
        <f>0.746*C4/C5*1.1</f>
        <v>43.41798941798942</v>
      </c>
      <c r="J2" s="111">
        <f>0.746*D4/D5*1.1</f>
        <v>43.0083857442348</v>
      </c>
      <c r="N2" s="106"/>
      <c r="O2" s="106"/>
      <c r="P2" s="106"/>
      <c r="Q2" s="106"/>
      <c r="R2" s="106"/>
      <c r="S2" s="118"/>
    </row>
    <row r="3" spans="1:19" ht="16.5" customHeight="1">
      <c r="A3" s="106"/>
      <c r="B3" s="118" t="s">
        <v>49</v>
      </c>
      <c r="C3" s="94" t="s">
        <v>21</v>
      </c>
      <c r="D3" s="94" t="s">
        <v>21</v>
      </c>
      <c r="E3" s="106"/>
      <c r="F3" s="106" t="s">
        <v>31</v>
      </c>
      <c r="G3" s="106"/>
      <c r="H3" s="106"/>
      <c r="I3" s="112">
        <f>1-(C9-C15)/C9/2</f>
        <v>0.9</v>
      </c>
      <c r="J3" s="112">
        <f>1-(D9-D15)/D9/2</f>
        <v>0.9</v>
      </c>
      <c r="N3" s="106"/>
      <c r="O3" s="106"/>
      <c r="P3" s="106"/>
      <c r="Q3" s="106"/>
      <c r="R3" s="106"/>
      <c r="S3" s="106"/>
    </row>
    <row r="4" spans="1:19" ht="12.75">
      <c r="A4" s="106"/>
      <c r="B4" s="106" t="s">
        <v>0</v>
      </c>
      <c r="C4" s="94">
        <v>50</v>
      </c>
      <c r="D4" s="94">
        <v>50</v>
      </c>
      <c r="E4" s="106" t="s">
        <v>184</v>
      </c>
      <c r="F4" s="118" t="s">
        <v>35</v>
      </c>
      <c r="G4" s="106"/>
      <c r="H4" s="106"/>
      <c r="I4" s="113"/>
      <c r="J4" s="114">
        <f>C8/(D8-D17+IF(R38,Calcs!C109,0))</f>
        <v>1</v>
      </c>
      <c r="N4" s="106"/>
      <c r="O4" s="106"/>
      <c r="P4" s="106"/>
      <c r="Q4" s="106"/>
      <c r="R4" s="106"/>
      <c r="S4" s="106"/>
    </row>
    <row r="5" spans="1:19" ht="12.75">
      <c r="A5" s="106"/>
      <c r="B5" s="118" t="s">
        <v>6</v>
      </c>
      <c r="C5" s="95">
        <v>0.945</v>
      </c>
      <c r="D5" s="95">
        <v>0.954</v>
      </c>
      <c r="E5" s="106"/>
      <c r="F5" s="106" t="s">
        <v>153</v>
      </c>
      <c r="G5" s="106"/>
      <c r="H5" s="106"/>
      <c r="I5" s="115">
        <f>C13/C8</f>
        <v>4</v>
      </c>
      <c r="J5" s="115">
        <f>D13/D8</f>
        <v>6</v>
      </c>
      <c r="N5" s="106"/>
      <c r="O5" s="106"/>
      <c r="P5" s="106"/>
      <c r="Q5" s="106"/>
      <c r="R5" s="106"/>
      <c r="S5" s="106"/>
    </row>
    <row r="6" spans="1:19" ht="12.75">
      <c r="A6" s="106"/>
      <c r="B6" s="106" t="s">
        <v>1</v>
      </c>
      <c r="C6" s="94" t="s">
        <v>181</v>
      </c>
      <c r="D6" s="94" t="s">
        <v>182</v>
      </c>
      <c r="E6" s="106"/>
      <c r="F6" s="106" t="s">
        <v>36</v>
      </c>
      <c r="G6" s="106"/>
      <c r="H6" s="106"/>
      <c r="I6" s="111">
        <f>C8/C4</f>
        <v>5</v>
      </c>
      <c r="J6" s="111">
        <f>D8/D4</f>
        <v>5</v>
      </c>
      <c r="N6" s="106"/>
      <c r="O6" s="106"/>
      <c r="P6" s="106"/>
      <c r="Q6" s="106"/>
      <c r="R6" s="106"/>
      <c r="S6" s="106" t="s">
        <v>21</v>
      </c>
    </row>
    <row r="7" spans="1:19" ht="12.75">
      <c r="A7" s="106"/>
      <c r="B7" s="118" t="s">
        <v>2</v>
      </c>
      <c r="C7" s="94" t="s">
        <v>173</v>
      </c>
      <c r="D7" s="94" t="s">
        <v>178</v>
      </c>
      <c r="E7" s="106"/>
      <c r="F7" s="106" t="s">
        <v>154</v>
      </c>
      <c r="G7" s="106"/>
      <c r="H7" s="106"/>
      <c r="I7" s="106"/>
      <c r="J7" s="106">
        <f>IF(Q8=4,2,IF(Q8=1,2,3))</f>
        <v>3</v>
      </c>
      <c r="K7" s="119" t="s">
        <v>188</v>
      </c>
      <c r="N7" s="106"/>
      <c r="O7" s="106"/>
      <c r="P7" s="106" t="s">
        <v>171</v>
      </c>
      <c r="Q7" s="106">
        <f>VALUE(LEFT(C10,1))</f>
        <v>1</v>
      </c>
      <c r="R7" s="106"/>
      <c r="S7" s="106" t="s">
        <v>39</v>
      </c>
    </row>
    <row r="8" spans="1:21" ht="12.75">
      <c r="A8" s="106"/>
      <c r="B8" s="106" t="s">
        <v>20</v>
      </c>
      <c r="C8" s="96">
        <v>250</v>
      </c>
      <c r="D8" s="96">
        <v>250</v>
      </c>
      <c r="E8" s="106" t="s">
        <v>185</v>
      </c>
      <c r="I8" s="106"/>
      <c r="J8" s="106"/>
      <c r="N8" s="106"/>
      <c r="O8" s="106"/>
      <c r="P8" s="106" t="s">
        <v>172</v>
      </c>
      <c r="Q8" s="106">
        <f>VALUE(LEFT(D10,1))</f>
        <v>3</v>
      </c>
      <c r="R8" s="106"/>
      <c r="S8" s="106" t="s">
        <v>40</v>
      </c>
      <c r="U8" s="91"/>
    </row>
    <row r="9" spans="1:19" ht="12.75">
      <c r="A9" s="106"/>
      <c r="B9" s="106" t="s">
        <v>4</v>
      </c>
      <c r="C9" s="94">
        <v>125</v>
      </c>
      <c r="D9" s="94">
        <v>125</v>
      </c>
      <c r="E9" s="106" t="s">
        <v>186</v>
      </c>
      <c r="G9" s="116" t="s">
        <v>74</v>
      </c>
      <c r="H9" s="106"/>
      <c r="I9" s="106"/>
      <c r="J9" s="106"/>
      <c r="K9" s="106"/>
      <c r="L9" s="106"/>
      <c r="N9" s="106"/>
      <c r="O9" s="106"/>
      <c r="P9" s="106"/>
      <c r="Q9" s="106"/>
      <c r="R9" s="106"/>
      <c r="S9" s="106" t="s">
        <v>41</v>
      </c>
    </row>
    <row r="10" spans="1:19" ht="15" customHeight="1">
      <c r="A10" s="106"/>
      <c r="B10" s="118" t="s">
        <v>46</v>
      </c>
      <c r="C10" s="94" t="s">
        <v>43</v>
      </c>
      <c r="D10" s="94" t="s">
        <v>44</v>
      </c>
      <c r="E10" s="106"/>
      <c r="G10" s="117">
        <f>IF(D15&gt;C15,"Alert","")</f>
      </c>
      <c r="H10" s="106" t="s">
        <v>72</v>
      </c>
      <c r="I10" s="106"/>
      <c r="J10" s="106"/>
      <c r="K10" s="106"/>
      <c r="L10" s="106"/>
      <c r="N10" s="106"/>
      <c r="O10" s="106"/>
      <c r="P10" s="106"/>
      <c r="Q10" s="106"/>
      <c r="R10" s="106"/>
      <c r="S10" s="106"/>
    </row>
    <row r="11" spans="1:19" ht="12.75">
      <c r="A11" s="106"/>
      <c r="B11" s="118"/>
      <c r="C11" s="98"/>
      <c r="D11" s="98"/>
      <c r="E11" s="106"/>
      <c r="G11" s="117">
        <f>IF(C13&gt;D13,"Alert","")</f>
      </c>
      <c r="H11" s="106" t="s">
        <v>73</v>
      </c>
      <c r="I11" s="106"/>
      <c r="J11" s="106"/>
      <c r="K11" s="106"/>
      <c r="L11" s="106"/>
      <c r="N11" s="106"/>
      <c r="O11" s="106"/>
      <c r="P11" s="106"/>
      <c r="Q11" s="106"/>
      <c r="R11" s="106"/>
      <c r="S11" s="118"/>
    </row>
    <row r="12" spans="1:19" ht="12.75">
      <c r="A12" s="108" t="s">
        <v>42</v>
      </c>
      <c r="B12" s="106"/>
      <c r="C12" s="98"/>
      <c r="D12" s="98"/>
      <c r="E12" s="106"/>
      <c r="G12" s="117">
        <f>IF(E35&lt;D8,"Alert","")</f>
      </c>
      <c r="H12" s="106" t="s">
        <v>75</v>
      </c>
      <c r="I12" s="106"/>
      <c r="J12" s="106"/>
      <c r="K12" s="106"/>
      <c r="L12" s="106"/>
      <c r="N12" s="106"/>
      <c r="O12" s="106"/>
      <c r="P12" s="106"/>
      <c r="Q12" s="106"/>
      <c r="R12" s="106"/>
      <c r="S12" s="106" t="s">
        <v>43</v>
      </c>
    </row>
    <row r="13" spans="1:19" ht="12.75">
      <c r="A13" s="106"/>
      <c r="B13" s="106" t="s">
        <v>151</v>
      </c>
      <c r="C13" s="94">
        <v>1000</v>
      </c>
      <c r="D13" s="94">
        <v>1500</v>
      </c>
      <c r="E13" s="106" t="s">
        <v>187</v>
      </c>
      <c r="G13" s="117">
        <f>IF(C8+D17&gt;D8,"Alert","")</f>
      </c>
      <c r="H13" s="106" t="s">
        <v>152</v>
      </c>
      <c r="I13" s="106"/>
      <c r="J13" s="106"/>
      <c r="K13" s="106"/>
      <c r="L13" s="106"/>
      <c r="N13" s="106"/>
      <c r="O13" s="106"/>
      <c r="P13" s="106"/>
      <c r="Q13" s="106"/>
      <c r="R13" s="106"/>
      <c r="S13" s="118" t="s">
        <v>88</v>
      </c>
    </row>
    <row r="14" spans="1:19" ht="12.75">
      <c r="A14" s="106"/>
      <c r="B14" s="106"/>
      <c r="C14" s="98"/>
      <c r="D14" s="98"/>
      <c r="E14" s="106"/>
      <c r="G14" s="117">
        <f>IF(SUM(C20:C22)=1,"","Alert")</f>
      </c>
      <c r="H14" s="106" t="s">
        <v>76</v>
      </c>
      <c r="I14" s="106"/>
      <c r="J14" s="106"/>
      <c r="K14" s="106"/>
      <c r="L14" s="106"/>
      <c r="N14" s="106"/>
      <c r="O14" s="106"/>
      <c r="P14" s="106"/>
      <c r="Q14" s="106"/>
      <c r="R14" s="106"/>
      <c r="S14" s="106" t="s">
        <v>44</v>
      </c>
    </row>
    <row r="15" spans="1:19" ht="12.75">
      <c r="A15" s="106"/>
      <c r="B15" s="106" t="s">
        <v>30</v>
      </c>
      <c r="C15" s="94">
        <v>100</v>
      </c>
      <c r="D15" s="94">
        <v>100</v>
      </c>
      <c r="E15" s="106" t="s">
        <v>186</v>
      </c>
      <c r="G15" s="117">
        <f>IF(LEFT(D10,1)="1","",IF(J5&lt;J7,"Alert",""))</f>
      </c>
      <c r="H15" s="106" t="s">
        <v>77</v>
      </c>
      <c r="I15" s="106"/>
      <c r="J15" s="106"/>
      <c r="K15" s="106"/>
      <c r="L15" s="106"/>
      <c r="N15" s="106"/>
      <c r="O15" s="106"/>
      <c r="P15" s="106"/>
      <c r="Q15" s="106"/>
      <c r="R15" s="106"/>
      <c r="S15" s="106" t="s">
        <v>45</v>
      </c>
    </row>
    <row r="16" spans="1:21" ht="12.75">
      <c r="A16" s="106"/>
      <c r="B16" s="106"/>
      <c r="C16" s="98"/>
      <c r="D16" s="98"/>
      <c r="E16" s="106"/>
      <c r="G16" s="117">
        <f>IF(OR(J6&gt;6,J6&lt;2,I6&gt;6,I6&lt;2),"Alert","")</f>
      </c>
      <c r="H16" s="106" t="s">
        <v>80</v>
      </c>
      <c r="I16" s="106"/>
      <c r="J16" s="106"/>
      <c r="K16" s="106"/>
      <c r="L16" s="106"/>
      <c r="N16" s="106"/>
      <c r="O16" s="106"/>
      <c r="P16" s="106"/>
      <c r="Q16" s="106"/>
      <c r="R16" s="106"/>
      <c r="S16" s="118" t="s">
        <v>161</v>
      </c>
      <c r="U16" s="91"/>
    </row>
    <row r="17" spans="1:19" ht="12.75">
      <c r="A17" s="106"/>
      <c r="B17" s="106" t="s">
        <v>32</v>
      </c>
      <c r="C17" s="98"/>
      <c r="D17" s="94">
        <v>0</v>
      </c>
      <c r="E17" s="106" t="s">
        <v>185</v>
      </c>
      <c r="G17" s="117">
        <f>IF(C67,"","Alert")</f>
      </c>
      <c r="H17" s="118" t="s">
        <v>103</v>
      </c>
      <c r="I17" s="106"/>
      <c r="J17" s="106"/>
      <c r="K17" s="106"/>
      <c r="L17" s="106"/>
      <c r="N17" s="106"/>
      <c r="O17" s="106"/>
      <c r="P17" s="106"/>
      <c r="Q17" s="106"/>
      <c r="R17" s="106"/>
      <c r="S17" s="106"/>
    </row>
    <row r="18" spans="1:19" ht="12.75">
      <c r="A18" s="106"/>
      <c r="B18" s="106"/>
      <c r="C18" s="98"/>
      <c r="D18" s="98"/>
      <c r="G18" s="117">
        <f>IF(E67,"","Alert")</f>
      </c>
      <c r="H18" s="118" t="s">
        <v>104</v>
      </c>
      <c r="I18" s="106"/>
      <c r="J18" s="106"/>
      <c r="K18" s="106"/>
      <c r="L18" s="106"/>
      <c r="N18" s="106"/>
      <c r="O18" s="106"/>
      <c r="P18" s="106"/>
      <c r="Q18" s="106"/>
      <c r="R18" s="106"/>
      <c r="S18" s="106"/>
    </row>
    <row r="19" spans="1:19" ht="12.75">
      <c r="A19" s="106"/>
      <c r="B19" s="106" t="s">
        <v>9</v>
      </c>
      <c r="C19" s="93" t="s">
        <v>90</v>
      </c>
      <c r="D19" s="93" t="s">
        <v>91</v>
      </c>
      <c r="E19" s="92" t="s">
        <v>155</v>
      </c>
      <c r="G19" s="117">
        <f>IF(OR(C5&lt;0.875,C5&gt;0.955,D5&lt;0.875,D5&gt;0.955),"Alert","")</f>
      </c>
      <c r="H19" s="106" t="s">
        <v>183</v>
      </c>
      <c r="I19" s="106"/>
      <c r="J19" s="106"/>
      <c r="K19" s="106"/>
      <c r="L19" s="106"/>
      <c r="N19" s="106"/>
      <c r="O19" s="106"/>
      <c r="P19" s="106"/>
      <c r="Q19" s="106"/>
      <c r="R19" s="106"/>
      <c r="S19" s="106"/>
    </row>
    <row r="20" spans="1:19" ht="14.25" customHeight="1">
      <c r="A20" s="106"/>
      <c r="B20" s="118" t="s">
        <v>85</v>
      </c>
      <c r="C20" s="99">
        <v>0.05</v>
      </c>
      <c r="D20" s="100">
        <v>0.9</v>
      </c>
      <c r="E20" s="105">
        <v>0.9</v>
      </c>
      <c r="H20" s="91"/>
      <c r="N20" s="106"/>
      <c r="O20" s="106"/>
      <c r="P20" s="106"/>
      <c r="Q20" s="106"/>
      <c r="R20" s="106"/>
      <c r="S20" s="118" t="s">
        <v>87</v>
      </c>
    </row>
    <row r="21" spans="1:19" ht="12.75">
      <c r="A21" s="106"/>
      <c r="B21" s="118" t="s">
        <v>92</v>
      </c>
      <c r="C21" s="99">
        <v>0.5</v>
      </c>
      <c r="D21" s="99">
        <v>0.5</v>
      </c>
      <c r="E21" s="105">
        <v>0.6</v>
      </c>
      <c r="N21" s="106"/>
      <c r="O21" s="106"/>
      <c r="P21" s="106"/>
      <c r="Q21" s="106"/>
      <c r="R21" s="106"/>
      <c r="S21" s="118" t="s">
        <v>107</v>
      </c>
    </row>
    <row r="22" spans="1:19" ht="12.75">
      <c r="A22" s="106"/>
      <c r="B22" s="118" t="s">
        <v>5</v>
      </c>
      <c r="C22" s="99">
        <v>0.45</v>
      </c>
      <c r="D22" s="99">
        <v>0.25</v>
      </c>
      <c r="E22" s="105">
        <v>0.25</v>
      </c>
      <c r="L22" s="121"/>
      <c r="M22" s="121"/>
      <c r="N22" s="122"/>
      <c r="O22" s="106"/>
      <c r="P22" s="106"/>
      <c r="Q22" s="106"/>
      <c r="R22" s="106"/>
      <c r="S22" s="118" t="s">
        <v>99</v>
      </c>
    </row>
    <row r="23" spans="1:19" ht="12.75">
      <c r="A23" s="106"/>
      <c r="B23" s="119" t="s">
        <v>10</v>
      </c>
      <c r="C23" s="101">
        <f>SUM(C20:C22)</f>
        <v>1</v>
      </c>
      <c r="D23" s="102"/>
      <c r="L23" s="121"/>
      <c r="M23" s="121"/>
      <c r="N23" s="122"/>
      <c r="O23" s="106"/>
      <c r="P23" s="106"/>
      <c r="Q23" s="106"/>
      <c r="R23" s="106"/>
      <c r="S23" s="118" t="s">
        <v>100</v>
      </c>
    </row>
    <row r="24" spans="1:19" ht="12.75">
      <c r="A24" s="106"/>
      <c r="B24" s="106"/>
      <c r="L24" s="21"/>
      <c r="M24" s="21"/>
      <c r="N24" s="21"/>
      <c r="O24" s="106"/>
      <c r="P24" s="106"/>
      <c r="Q24" s="106"/>
      <c r="R24" s="106"/>
      <c r="S24" s="118" t="s">
        <v>101</v>
      </c>
    </row>
    <row r="25" spans="1:19" ht="12.75">
      <c r="A25" s="106"/>
      <c r="B25" s="118" t="s">
        <v>84</v>
      </c>
      <c r="C25" s="96">
        <v>6000</v>
      </c>
      <c r="D25" s="91" t="s">
        <v>189</v>
      </c>
      <c r="L25" s="21"/>
      <c r="M25" s="21"/>
      <c r="N25" s="21"/>
      <c r="O25" s="106"/>
      <c r="P25" s="106" t="s">
        <v>113</v>
      </c>
      <c r="Q25" s="90" t="b">
        <v>1</v>
      </c>
      <c r="R25" s="106"/>
      <c r="S25" s="118" t="s">
        <v>102</v>
      </c>
    </row>
    <row r="26" spans="1:19" ht="12.75">
      <c r="A26" s="106"/>
      <c r="B26" s="106"/>
      <c r="L26" s="21"/>
      <c r="M26" s="123"/>
      <c r="N26" s="123"/>
      <c r="O26" s="106"/>
      <c r="P26" s="106" t="s">
        <v>114</v>
      </c>
      <c r="Q26" s="106"/>
      <c r="R26" s="106"/>
      <c r="S26" s="106"/>
    </row>
    <row r="27" spans="1:19" ht="12.75">
      <c r="A27" s="106"/>
      <c r="B27" s="106" t="s">
        <v>111</v>
      </c>
      <c r="D27" s="98"/>
      <c r="L27" s="21"/>
      <c r="M27" s="123"/>
      <c r="N27" s="123"/>
      <c r="O27" s="106"/>
      <c r="P27" s="106"/>
      <c r="Q27" s="106"/>
      <c r="R27" s="106"/>
      <c r="S27" s="106"/>
    </row>
    <row r="28" spans="1:19" ht="12.75">
      <c r="A28" s="106"/>
      <c r="B28" s="118" t="s">
        <v>112</v>
      </c>
      <c r="D28" s="98"/>
      <c r="L28" s="21"/>
      <c r="M28" s="123"/>
      <c r="N28" s="123"/>
      <c r="O28" s="106"/>
      <c r="P28" s="106"/>
      <c r="Q28" s="106"/>
      <c r="R28" s="106"/>
      <c r="S28" s="118"/>
    </row>
    <row r="29" spans="1:19" ht="12.75">
      <c r="A29" s="106"/>
      <c r="B29" s="106"/>
      <c r="C29" s="98"/>
      <c r="D29" s="98"/>
      <c r="L29" s="21"/>
      <c r="M29" s="123"/>
      <c r="N29" s="123"/>
      <c r="O29" s="106"/>
      <c r="P29" s="106"/>
      <c r="Q29" s="106"/>
      <c r="R29" s="106"/>
      <c r="S29" s="106"/>
    </row>
    <row r="30" spans="1:19" ht="12.75">
      <c r="A30" s="108" t="s">
        <v>37</v>
      </c>
      <c r="B30" s="106"/>
      <c r="C30" s="98"/>
      <c r="D30" s="98"/>
      <c r="L30" s="21"/>
      <c r="M30" s="123"/>
      <c r="N30" s="123"/>
      <c r="O30" s="106"/>
      <c r="P30" s="106"/>
      <c r="Q30" s="106"/>
      <c r="R30" s="106"/>
      <c r="S30" s="106"/>
    </row>
    <row r="31" spans="1:19" ht="15.75" customHeight="1">
      <c r="A31" s="106"/>
      <c r="B31" s="106"/>
      <c r="C31" s="93" t="s">
        <v>7</v>
      </c>
      <c r="E31" s="93" t="s">
        <v>8</v>
      </c>
      <c r="L31" s="21"/>
      <c r="M31" s="123"/>
      <c r="N31" s="123"/>
      <c r="O31" s="106"/>
      <c r="P31" s="106"/>
      <c r="Q31" s="106"/>
      <c r="R31" s="106"/>
      <c r="S31" s="106"/>
    </row>
    <row r="32" spans="1:19" ht="15.75" customHeight="1">
      <c r="A32" s="106"/>
      <c r="B32" s="118" t="s">
        <v>48</v>
      </c>
      <c r="C32" s="103" t="s">
        <v>87</v>
      </c>
      <c r="E32" s="103" t="s">
        <v>107</v>
      </c>
      <c r="L32" s="21"/>
      <c r="M32" s="123"/>
      <c r="N32" s="123"/>
      <c r="O32" s="106"/>
      <c r="P32" s="106"/>
      <c r="Q32" s="106"/>
      <c r="R32" s="106"/>
      <c r="S32" s="106"/>
    </row>
    <row r="33" spans="1:19" ht="15.75" customHeight="1">
      <c r="A33" s="106"/>
      <c r="B33" s="119" t="s">
        <v>62</v>
      </c>
      <c r="C33" s="94" t="s">
        <v>148</v>
      </c>
      <c r="D33" s="98"/>
      <c r="E33" s="94" t="s">
        <v>146</v>
      </c>
      <c r="L33" s="21"/>
      <c r="M33" s="123"/>
      <c r="N33" s="123"/>
      <c r="O33" s="106"/>
      <c r="P33" s="106"/>
      <c r="Q33" s="106"/>
      <c r="R33" s="106"/>
      <c r="S33" s="106"/>
    </row>
    <row r="34" spans="1:19" ht="12.75">
      <c r="A34" s="106"/>
      <c r="B34" s="119" t="s">
        <v>63</v>
      </c>
      <c r="C34" s="94" t="s">
        <v>149</v>
      </c>
      <c r="D34" s="98"/>
      <c r="E34" s="94" t="s">
        <v>150</v>
      </c>
      <c r="L34" s="21"/>
      <c r="M34" s="123"/>
      <c r="N34" s="123"/>
      <c r="O34" s="106"/>
      <c r="P34" s="106"/>
      <c r="Q34" s="106"/>
      <c r="R34" s="106"/>
      <c r="S34" s="106"/>
    </row>
    <row r="35" spans="1:19" ht="12.75">
      <c r="A35" s="106"/>
      <c r="B35" s="106" t="s">
        <v>20</v>
      </c>
      <c r="C35" s="96">
        <v>500</v>
      </c>
      <c r="D35" s="106" t="s">
        <v>185</v>
      </c>
      <c r="E35" s="96">
        <v>500</v>
      </c>
      <c r="F35" s="106" t="s">
        <v>185</v>
      </c>
      <c r="L35" s="21"/>
      <c r="M35" s="123"/>
      <c r="N35" s="123"/>
      <c r="O35" s="106"/>
      <c r="P35" s="106"/>
      <c r="Q35" s="106"/>
      <c r="R35" s="106"/>
      <c r="S35" s="106"/>
    </row>
    <row r="36" spans="1:19" ht="12.75">
      <c r="A36" s="106"/>
      <c r="B36" s="119" t="s">
        <v>159</v>
      </c>
      <c r="C36" s="94">
        <v>6</v>
      </c>
      <c r="D36" s="106" t="s">
        <v>17</v>
      </c>
      <c r="E36" s="94">
        <v>6</v>
      </c>
      <c r="F36" s="106" t="s">
        <v>17</v>
      </c>
      <c r="L36" s="21"/>
      <c r="M36" s="123"/>
      <c r="N36" s="123"/>
      <c r="O36" s="106"/>
      <c r="P36" s="106"/>
      <c r="Q36" s="106"/>
      <c r="R36" s="106"/>
      <c r="S36" s="106"/>
    </row>
    <row r="37" spans="2:19" ht="12.75">
      <c r="B37" s="106"/>
      <c r="N37" s="106"/>
      <c r="O37" s="106"/>
      <c r="P37" s="106"/>
      <c r="Q37" s="106"/>
      <c r="R37" s="106"/>
      <c r="S37" s="106"/>
    </row>
    <row r="38" spans="2:19" ht="12.75">
      <c r="B38" s="118" t="s">
        <v>89</v>
      </c>
      <c r="N38" s="106"/>
      <c r="O38" s="106"/>
      <c r="P38" s="118" t="s">
        <v>81</v>
      </c>
      <c r="Q38" s="106"/>
      <c r="R38" s="90" t="b">
        <v>1</v>
      </c>
      <c r="S38" s="106"/>
    </row>
    <row r="39" spans="14:19" ht="12.75">
      <c r="N39" s="106"/>
      <c r="O39" s="106"/>
      <c r="P39" s="106"/>
      <c r="Q39" s="106"/>
      <c r="R39" s="106"/>
      <c r="S39" s="106"/>
    </row>
    <row r="40" spans="14:19" ht="12.75">
      <c r="N40" s="106"/>
      <c r="O40" s="106"/>
      <c r="P40" s="106"/>
      <c r="Q40" s="106"/>
      <c r="R40" s="106"/>
      <c r="S40" s="106"/>
    </row>
    <row r="41" spans="3:19" ht="12.75">
      <c r="C41" s="106" t="s">
        <v>86</v>
      </c>
      <c r="D41" s="107">
        <f>IF(Q25,Calcs!B54,Calcs!D54)+IF(R38,IF(Q25,Calcs!B99,Calcs!C99),0)</f>
        <v>228782.38571428572</v>
      </c>
      <c r="E41" s="106" t="s">
        <v>29</v>
      </c>
      <c r="N41" s="106"/>
      <c r="O41" s="106"/>
      <c r="P41" s="106"/>
      <c r="Q41" s="106"/>
      <c r="R41" s="106"/>
      <c r="S41" s="106"/>
    </row>
    <row r="42" spans="3:19" ht="12.75">
      <c r="C42" s="108" t="s">
        <v>59</v>
      </c>
      <c r="D42" s="109">
        <f>IF(D4&gt;100,"ERROR - Over 100 hp",IF(Q25,Calcs!B57,Calcs!D57)+IF(R38,Calcs!B105,0))</f>
        <v>67473.08618598382</v>
      </c>
      <c r="E42" s="108" t="s">
        <v>29</v>
      </c>
      <c r="H42" s="91"/>
      <c r="N42" s="106"/>
      <c r="O42" s="106"/>
      <c r="P42" s="106"/>
      <c r="Q42" s="106"/>
      <c r="R42" s="106"/>
      <c r="S42" s="106"/>
    </row>
    <row r="43" spans="3:4" ht="12.75">
      <c r="C43" s="106" t="s">
        <v>28</v>
      </c>
      <c r="D43" s="110">
        <f>D42/D41</f>
        <v>0.2949225569762499</v>
      </c>
    </row>
    <row r="44" ht="12.75">
      <c r="C44" s="97">
        <f>IF(D4&gt;50,"Warning: These savings estimates should be verified with some monitoring of the compressor loading.","")</f>
      </c>
    </row>
    <row r="45" ht="12.75">
      <c r="H45" s="104"/>
    </row>
    <row r="62" spans="2:5" ht="12.75">
      <c r="B62" s="106"/>
      <c r="C62" s="106"/>
      <c r="D62" s="106"/>
      <c r="E62" s="106"/>
    </row>
    <row r="63" spans="2:5" ht="12.75">
      <c r="B63" s="106" t="s">
        <v>106</v>
      </c>
      <c r="C63" s="106"/>
      <c r="D63" s="106"/>
      <c r="E63" s="106"/>
    </row>
    <row r="64" spans="2:5" ht="12.75">
      <c r="B64" s="106"/>
      <c r="C64" s="106"/>
      <c r="D64" s="106"/>
      <c r="E64" s="106"/>
    </row>
    <row r="65" spans="2:5" ht="12.75">
      <c r="B65" s="106" t="s">
        <v>109</v>
      </c>
      <c r="C65" s="106" t="b">
        <f>IF(C36&gt;0,TRUE,FALSE)</f>
        <v>1</v>
      </c>
      <c r="D65" s="106"/>
      <c r="E65" s="106" t="b">
        <f>IF(E36&gt;0,TRUE,FALSE)</f>
        <v>1</v>
      </c>
    </row>
    <row r="66" spans="2:5" ht="12.75">
      <c r="B66" s="106" t="s">
        <v>108</v>
      </c>
      <c r="C66" s="106" t="b">
        <f>IF(LEFT(C32,1)="3",FALSE,IF(LEFT(C32,1)="5",FALSE,TRUE))</f>
        <v>1</v>
      </c>
      <c r="D66" s="106"/>
      <c r="E66" s="106" t="b">
        <f>IF(LEFT(E32,1)="3",FALSE,IF(LEFT(E32,1)="5",FALSE,TRUE))</f>
        <v>1</v>
      </c>
    </row>
    <row r="67" spans="2:5" ht="12.75">
      <c r="B67" s="106" t="s">
        <v>110</v>
      </c>
      <c r="C67" s="106" t="b">
        <f>IF(C65=C66,TRUE,FALSE)</f>
        <v>1</v>
      </c>
      <c r="D67" s="106"/>
      <c r="E67" s="106" t="b">
        <f>IF(E65=E66,TRUE,FALSE)</f>
        <v>1</v>
      </c>
    </row>
    <row r="68" spans="2:5" ht="12.75">
      <c r="B68" s="106"/>
      <c r="C68" s="106"/>
      <c r="D68" s="106"/>
      <c r="E68" s="106"/>
    </row>
  </sheetData>
  <sheetProtection password="ED06" sheet="1" objects="1" scenarios="1"/>
  <protectedRanges>
    <protectedRange sqref="C38" name="Range10"/>
    <protectedRange sqref="D17" name="Range4"/>
    <protectedRange sqref="C15:D15" name="Range3"/>
    <protectedRange sqref="C13:D13" name="Range2"/>
    <protectedRange sqref="C3:D10" name="Range1"/>
    <protectedRange sqref="C20:D22" name="Range5"/>
    <protectedRange sqref="C25" name="Range6"/>
    <protectedRange sqref="D27" name="Range7"/>
    <protectedRange sqref="C32:C36 D32:D34 D36" name="Range8"/>
    <protectedRange sqref="E32:E36 G32:H36 F32:F34 F36" name="Range9"/>
  </protectedRanges>
  <conditionalFormatting sqref="C23">
    <cfRule type="cellIs" priority="1" dxfId="0" operator="equal" stopIfTrue="1">
      <formula>1</formula>
    </cfRule>
    <cfRule type="cellIs" priority="2" dxfId="1" operator="notEqual" stopIfTrue="1">
      <formula>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F29" sqref="F29"/>
    </sheetView>
  </sheetViews>
  <sheetFormatPr defaultColWidth="9.140625" defaultRowHeight="12.75"/>
  <cols>
    <col min="1" max="16384" width="9.140625" style="9" customWidth="1"/>
  </cols>
  <sheetData>
    <row r="1" ht="12.75">
      <c r="A1" s="140" t="s">
        <v>193</v>
      </c>
    </row>
    <row r="4" ht="12.75">
      <c r="A4" s="141" t="s">
        <v>194</v>
      </c>
    </row>
    <row r="6" spans="1:3" ht="12.75">
      <c r="A6" s="9" t="s">
        <v>195</v>
      </c>
      <c r="B6" s="144">
        <v>36</v>
      </c>
      <c r="C6" s="9" t="s">
        <v>197</v>
      </c>
    </row>
    <row r="7" spans="1:4" ht="12.75">
      <c r="A7" s="9" t="s">
        <v>196</v>
      </c>
      <c r="B7" s="144">
        <v>60</v>
      </c>
      <c r="C7" s="9" t="s">
        <v>197</v>
      </c>
      <c r="D7" s="140" t="s">
        <v>200</v>
      </c>
    </row>
    <row r="9" spans="1:3" ht="12.75">
      <c r="A9" s="9" t="s">
        <v>198</v>
      </c>
      <c r="B9" s="142">
        <f>(B6/2)^2*3.14*B7/12/12/12</f>
        <v>35.325</v>
      </c>
      <c r="C9" s="9" t="s">
        <v>199</v>
      </c>
    </row>
    <row r="10" spans="2:3" ht="12.75">
      <c r="B10" s="142">
        <f>B9*144*12/231</f>
        <v>264.2493506493507</v>
      </c>
      <c r="C10" s="9" t="s">
        <v>187</v>
      </c>
    </row>
    <row r="13" ht="12.75">
      <c r="A13" s="143" t="s">
        <v>202</v>
      </c>
    </row>
    <row r="15" spans="1:4" ht="12.75">
      <c r="A15" s="9" t="s">
        <v>201</v>
      </c>
      <c r="B15" s="144">
        <v>50</v>
      </c>
      <c r="C15" s="9" t="s">
        <v>184</v>
      </c>
      <c r="D15" s="140" t="s">
        <v>207</v>
      </c>
    </row>
    <row r="17" spans="1:3" ht="12.75">
      <c r="A17" s="9" t="s">
        <v>15</v>
      </c>
      <c r="B17" s="9">
        <f>B15*5</f>
        <v>250</v>
      </c>
      <c r="C17" s="140" t="s">
        <v>185</v>
      </c>
    </row>
    <row r="21" ht="12.75">
      <c r="A21" s="143" t="s">
        <v>203</v>
      </c>
    </row>
    <row r="22" spans="1:4" ht="12.75">
      <c r="A22" s="9" t="s">
        <v>204</v>
      </c>
      <c r="C22" s="144">
        <v>4.334</v>
      </c>
      <c r="D22" s="9" t="s">
        <v>197</v>
      </c>
    </row>
    <row r="23" spans="1:4" ht="12.75">
      <c r="A23" s="9" t="s">
        <v>205</v>
      </c>
      <c r="C23" s="144">
        <v>600</v>
      </c>
      <c r="D23" s="9" t="s">
        <v>206</v>
      </c>
    </row>
    <row r="25" spans="1:4" ht="12.75">
      <c r="A25" s="9" t="s">
        <v>198</v>
      </c>
      <c r="C25" s="142">
        <f>(C22/2)^2*3.14*C23/12/12</f>
        <v>61.437881083333316</v>
      </c>
      <c r="D25" s="9" t="s">
        <v>199</v>
      </c>
    </row>
    <row r="26" spans="3:4" ht="12.75">
      <c r="C26" s="142">
        <f>C25*144*12/231</f>
        <v>459.5872662857142</v>
      </c>
      <c r="D26" s="9" t="s">
        <v>187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54"/>
  <sheetViews>
    <sheetView showGridLines="0" workbookViewId="0" topLeftCell="A1">
      <selection activeCell="A31" sqref="A31"/>
    </sheetView>
  </sheetViews>
  <sheetFormatPr defaultColWidth="9.140625" defaultRowHeight="12.75"/>
  <cols>
    <col min="1" max="2" width="9.7109375" style="0" customWidth="1"/>
    <col min="9" max="9" width="11.8515625" style="0" customWidth="1"/>
  </cols>
  <sheetData>
    <row r="1" spans="1:9" ht="18">
      <c r="A1" s="145" t="s">
        <v>61</v>
      </c>
      <c r="B1" s="145"/>
      <c r="C1" s="145"/>
      <c r="D1" s="145"/>
      <c r="E1" s="145"/>
      <c r="F1" s="145"/>
      <c r="G1" s="145"/>
      <c r="H1" s="145"/>
      <c r="I1" s="145"/>
    </row>
    <row r="3" spans="1:9" ht="12.75">
      <c r="A3" s="12" t="str">
        <f>IF('Contact Information'!C5="","","Analysis Performed For:")</f>
        <v>Analysis Performed For:</v>
      </c>
      <c r="B3" s="12"/>
      <c r="C3" s="12"/>
      <c r="D3" s="12" t="str">
        <f>IF('Contact Information'!C21="","","Analysis Performed By:")</f>
        <v>Analysis Performed By:</v>
      </c>
      <c r="E3" s="12"/>
      <c r="F3" s="12"/>
      <c r="G3" s="12" t="str">
        <f>IF('Contact Information'!C13="","","Equipment Information Provided By:")</f>
        <v>Equipment Information Provided By:</v>
      </c>
      <c r="H3" s="12"/>
      <c r="I3" s="12"/>
    </row>
    <row r="4" spans="1:7" ht="12.75">
      <c r="A4" s="13" t="str">
        <f>IF('Contact Information'!C5="","",'Contact Information'!C5)</f>
        <v>Fine Cabinets</v>
      </c>
      <c r="D4" s="13" t="str">
        <f>IF('Contact Information'!C21="","",'Contact Information'!C21)</f>
        <v>XYZ Consultants</v>
      </c>
      <c r="G4" s="13" t="str">
        <f>IF('Contact Information'!C13="","",'Contact Information'!C13)</f>
        <v>Portland Compressor</v>
      </c>
    </row>
    <row r="5" spans="1:7" ht="12.75">
      <c r="A5" s="13" t="str">
        <f>IF('Contact Information'!C6="","",'Contact Information'!C6)</f>
        <v>Steve Smith</v>
      </c>
      <c r="D5" s="13" t="str">
        <f>IF('Contact Information'!C22="","",'Contact Information'!C22)</f>
        <v>John Doe</v>
      </c>
      <c r="G5" s="13" t="str">
        <f>IF('Contact Information'!C14="","",'Contact Information'!C14)</f>
        <v>Sales Guy</v>
      </c>
    </row>
    <row r="6" spans="1:7" ht="12.75">
      <c r="A6" s="13" t="str">
        <f>IF('Contact Information'!C7="","",'Contact Information'!C7)</f>
        <v>1457 E. Wilber</v>
      </c>
      <c r="D6" s="13">
        <f>IF('Contact Information'!C23="","",'Contact Information'!C23)</f>
      </c>
      <c r="G6" s="13">
        <f>IF('Contact Information'!C15="","",'Contact Information'!C15)</f>
      </c>
    </row>
    <row r="7" spans="1:7" ht="12.75">
      <c r="A7" s="13" t="str">
        <f>IF('Contact Information'!C8="","",'Contact Information'!C8)</f>
        <v>Walla Walla, WA 99362</v>
      </c>
      <c r="D7" s="13">
        <f>IF('Contact Information'!C24="","",'Contact Information'!C24)</f>
      </c>
      <c r="G7" s="13">
        <f>IF('Contact Information'!C16="","",'Contact Information'!C16)</f>
      </c>
    </row>
    <row r="8" spans="1:7" ht="12.75">
      <c r="A8" s="13" t="str">
        <f>IF('Contact Information'!C9="","",'Contact Information'!C9)</f>
        <v>509-522-9876</v>
      </c>
      <c r="D8" s="13" t="str">
        <f>IF('Contact Information'!C25="","",'Contact Information'!C25)</f>
        <v>123-456-7890</v>
      </c>
      <c r="G8" s="13">
        <f>IF('Contact Information'!C17="","",'Contact Information'!C17)</f>
      </c>
    </row>
    <row r="9" spans="1:7" ht="12.75">
      <c r="A9" s="13" t="str">
        <f>IF('Contact Information'!C10="","",'Contact Information'!C10)</f>
        <v>steves@finecabinet.com</v>
      </c>
      <c r="D9" s="13" t="str">
        <f>IF('Contact Information'!C26="","",'Contact Information'!C26)</f>
        <v>xxx@xyz.com</v>
      </c>
      <c r="G9" s="13">
        <f>IF('Contact Information'!C18="","",'Contact Information'!C18)</f>
      </c>
    </row>
    <row r="10" ht="12.75">
      <c r="G10" s="13">
        <f>IF('Contact Information'!C19="","",'Contact Information'!C19)</f>
      </c>
    </row>
    <row r="11" spans="1:6" ht="12.75">
      <c r="A11" s="89" t="s">
        <v>179</v>
      </c>
      <c r="F11" s="12" t="str">
        <f>IF('Input Sheet'!$C$7='Input Sheet'!$D$7,"","Proposed Compressor:")</f>
        <v>Proposed Compressor:</v>
      </c>
    </row>
    <row r="12" spans="1:8" ht="12.75">
      <c r="A12" t="s">
        <v>64</v>
      </c>
      <c r="C12" s="14" t="str">
        <f>'Input Sheet'!C6</f>
        <v>orig</v>
      </c>
      <c r="F12" s="13" t="str">
        <f>IF('Input Sheet'!$C$7='Input Sheet'!$D$7,"",A12)</f>
        <v>Make:</v>
      </c>
      <c r="H12" s="13" t="str">
        <f>IF('Input Sheet'!$C$7='Input Sheet'!$D$7,"",'Input Sheet'!D6)</f>
        <v>new</v>
      </c>
    </row>
    <row r="13" spans="1:8" ht="12.75">
      <c r="A13" t="s">
        <v>65</v>
      </c>
      <c r="C13" s="14" t="str">
        <f>'Input Sheet'!C7</f>
        <v>xxx</v>
      </c>
      <c r="F13" s="13" t="str">
        <f>IF('Input Sheet'!$C$7='Input Sheet'!$D$7,"",A13)</f>
        <v>Model:</v>
      </c>
      <c r="H13" s="13" t="str">
        <f>IF('Input Sheet'!$C$7='Input Sheet'!$D$7,"",'Input Sheet'!D7)</f>
        <v>yyy</v>
      </c>
    </row>
    <row r="14" spans="1:8" ht="12.75">
      <c r="A14" t="s">
        <v>66</v>
      </c>
      <c r="C14" s="14" t="str">
        <f>CONCATENATE('Input Sheet'!C8," cfm")</f>
        <v>250 cfm</v>
      </c>
      <c r="F14" s="13" t="str">
        <f>IF('Input Sheet'!$C$7='Input Sheet'!$D$7,"",A14)</f>
        <v>Rated Capacity:</v>
      </c>
      <c r="H14" s="13" t="str">
        <f>IF('Input Sheet'!$C$7='Input Sheet'!$D$7,"",CONCATENATE('Input Sheet'!D8," cfm"))</f>
        <v>250 cfm</v>
      </c>
    </row>
    <row r="15" spans="1:8" ht="12.75">
      <c r="A15" t="s">
        <v>67</v>
      </c>
      <c r="C15" s="14" t="str">
        <f>CONCATENATE('Input Sheet'!C9," psig")</f>
        <v>125 psig</v>
      </c>
      <c r="F15" s="13" t="str">
        <f>IF('Input Sheet'!$C$7='Input Sheet'!$D$7,"",A15)</f>
        <v>Rated Pressure:</v>
      </c>
      <c r="H15" s="13" t="str">
        <f>IF('Input Sheet'!$C$7='Input Sheet'!$D$7,"",CONCATENATE('Input Sheet'!D9," psig"))</f>
        <v>125 psig</v>
      </c>
    </row>
    <row r="16" spans="1:8" ht="12.75">
      <c r="A16" t="s">
        <v>68</v>
      </c>
      <c r="C16" t="str">
        <f>RIGHT('Input Sheet'!C10,LEN('Input Sheet'!C10)-4)</f>
        <v>Inlet Modulation</v>
      </c>
      <c r="F16" s="13" t="str">
        <f>IF('Input Sheet'!$C$7='Input Sheet'!$D$7,"",A16)</f>
        <v>Control:</v>
      </c>
      <c r="H16" s="13" t="str">
        <f>IF('Input Sheet'!$C$7='Input Sheet'!$D$7,"",RIGHT('Input Sheet'!D10,LEN('Input Sheet'!D10)-4))</f>
        <v>Load/Unload</v>
      </c>
    </row>
    <row r="18" spans="1:6" ht="12.75">
      <c r="A18" s="12" t="str">
        <f>IF('Input Sheet'!$R$38,"Baseline Dryer: ","")</f>
        <v>Baseline Dryer: </v>
      </c>
      <c r="F18" s="12" t="str">
        <f>IF('Input Sheet'!$R$38,"Proposed Dryer: ","")</f>
        <v>Proposed Dryer: </v>
      </c>
    </row>
    <row r="19" spans="1:8" ht="12.75">
      <c r="A19" s="13" t="str">
        <f>IF('Input Sheet'!$R$38,"Make: ","")</f>
        <v>Make: </v>
      </c>
      <c r="C19" s="15" t="str">
        <f>IF('Input Sheet'!$R$38,'Input Sheet'!C33,"")</f>
        <v>Cam-Air</v>
      </c>
      <c r="F19" t="str">
        <f>A19</f>
        <v>Make: </v>
      </c>
      <c r="H19" s="13" t="str">
        <f>IF('Input Sheet'!$R$38,'Input Sheet'!E33,"")</f>
        <v>IR</v>
      </c>
    </row>
    <row r="20" spans="1:8" ht="12.75">
      <c r="A20" s="13" t="str">
        <f>IF('Input Sheet'!$R$38,"Model: ","")</f>
        <v>Model: </v>
      </c>
      <c r="C20" s="15" t="str">
        <f>IF('Input Sheet'!$R$38,'Input Sheet'!C34,"")</f>
        <v>TS-10</v>
      </c>
      <c r="F20" t="str">
        <f>A20</f>
        <v>Model: </v>
      </c>
      <c r="H20" s="13" t="str">
        <f>IF('Input Sheet'!$R$38,'Input Sheet'!E34,"")</f>
        <v>DS50</v>
      </c>
    </row>
    <row r="21" spans="1:8" ht="12.75">
      <c r="A21" s="13" t="str">
        <f>IF('Input Sheet'!$R$38,"Capacity: ","")</f>
        <v>Capacity: </v>
      </c>
      <c r="C21" s="15" t="str">
        <f>IF('Input Sheet'!$R$38,CONCATENATE('Input Sheet'!C35," cfm",""),"")</f>
        <v>500 cfm</v>
      </c>
      <c r="F21" t="str">
        <f>A21</f>
        <v>Capacity: </v>
      </c>
      <c r="H21" s="13" t="str">
        <f>IF('Input Sheet'!$R$38,CONCATENATE('Input Sheet'!E35," cfm",""),"")</f>
        <v>500 cfm</v>
      </c>
    </row>
    <row r="22" ht="12.75">
      <c r="C22" s="13"/>
    </row>
    <row r="23" spans="1:6" ht="12.75">
      <c r="A23" s="12" t="str">
        <f>IF('Input Sheet'!$D$13&gt;'Input Sheet'!$C$13,"Increased Reciever Capacity:","")</f>
        <v>Increased Reciever Capacity:</v>
      </c>
      <c r="E23" s="13">
        <f>IF('Input Sheet'!$D$13&gt;'Input Sheet'!$C$13,'Input Sheet'!D13-'Input Sheet'!C13,"")</f>
        <v>500</v>
      </c>
      <c r="F23" s="13" t="str">
        <f>IF('Input Sheet'!$D$13&gt;'Input Sheet'!$C$13,"gallons","")</f>
        <v>gallons</v>
      </c>
    </row>
    <row r="24" spans="1:6" ht="12.75">
      <c r="A24" s="12">
        <f>IF('Input Sheet'!$C$15&gt;'Input Sheet'!$D$15,"Average Discharge Pressure Reduction:","")</f>
      </c>
      <c r="E24" s="13">
        <f>IF('Input Sheet'!$C$15&gt;'Input Sheet'!$D$15,'Input Sheet'!C15-'Input Sheet'!D15,"")</f>
      </c>
      <c r="F24" s="13">
        <f>IF('Input Sheet'!$C$15&gt;'Input Sheet'!$D$15,"psig","")</f>
      </c>
    </row>
    <row r="26" spans="5:7" ht="12.75">
      <c r="E26" s="132" t="s">
        <v>191</v>
      </c>
      <c r="F26" s="132" t="s">
        <v>190</v>
      </c>
      <c r="G26" s="132" t="s">
        <v>19</v>
      </c>
    </row>
    <row r="27" spans="2:8" ht="12.75">
      <c r="B27" s="12" t="s">
        <v>135</v>
      </c>
      <c r="C27" s="12"/>
      <c r="D27" s="12"/>
      <c r="E27" s="138">
        <f>Calcs!D115</f>
        <v>192782.38571428572</v>
      </c>
      <c r="F27" s="138">
        <f>Calcs!E115</f>
        <v>36000</v>
      </c>
      <c r="G27" s="133">
        <f>Calcs!F115</f>
        <v>228782.38571428572</v>
      </c>
      <c r="H27" s="12" t="s">
        <v>29</v>
      </c>
    </row>
    <row r="28" spans="2:8" ht="12.75">
      <c r="B28" s="12" t="s">
        <v>192</v>
      </c>
      <c r="C28" s="12"/>
      <c r="D28" s="12"/>
      <c r="E28" s="138">
        <f>Calcs!D116</f>
        <v>146808.0495283019</v>
      </c>
      <c r="F28" s="138">
        <f>Calcs!E116</f>
        <v>14501.25</v>
      </c>
      <c r="G28" s="133">
        <f>Calcs!F116</f>
        <v>161309.2995283019</v>
      </c>
      <c r="H28" s="12" t="s">
        <v>29</v>
      </c>
    </row>
    <row r="29" spans="2:8" ht="12.75">
      <c r="B29" s="76" t="s">
        <v>69</v>
      </c>
      <c r="C29" s="6"/>
      <c r="D29" s="6"/>
      <c r="E29" s="138">
        <f>Calcs!D117</f>
        <v>45974.33618598382</v>
      </c>
      <c r="F29" s="138">
        <f>Calcs!E117</f>
        <v>21498.75</v>
      </c>
      <c r="G29" s="133">
        <f>Calcs!F117</f>
        <v>67473.08618598382</v>
      </c>
      <c r="H29" s="76" t="s">
        <v>29</v>
      </c>
    </row>
    <row r="30" spans="2:7" ht="12.75">
      <c r="B30" s="12" t="s">
        <v>136</v>
      </c>
      <c r="E30" s="139">
        <f>Calcs!D118</f>
        <v>0.2384778879856812</v>
      </c>
      <c r="F30" s="139">
        <f>Calcs!E118</f>
        <v>0.5971875</v>
      </c>
      <c r="G30" s="134">
        <f>Calcs!F118</f>
        <v>0.2949225569762499</v>
      </c>
    </row>
    <row r="31" ht="12.75">
      <c r="A31" s="12"/>
    </row>
    <row r="32" ht="13.5" thickBot="1">
      <c r="B32" s="2"/>
    </row>
    <row r="33" spans="1:9" ht="12.75">
      <c r="A33" s="124" t="s">
        <v>180</v>
      </c>
      <c r="B33" s="125"/>
      <c r="C33" s="24"/>
      <c r="D33" s="24"/>
      <c r="E33" s="24"/>
      <c r="F33" s="24"/>
      <c r="G33" s="24"/>
      <c r="H33" s="24"/>
      <c r="I33" s="25"/>
    </row>
    <row r="34" spans="1:10" ht="12.75">
      <c r="A34" s="126"/>
      <c r="B34" s="127"/>
      <c r="C34" s="127"/>
      <c r="D34" s="127"/>
      <c r="E34" s="127"/>
      <c r="F34" s="127"/>
      <c r="G34" s="127"/>
      <c r="H34" s="127"/>
      <c r="I34" s="128"/>
      <c r="J34" s="120"/>
    </row>
    <row r="35" spans="1:13" ht="12.75">
      <c r="A35" s="126"/>
      <c r="B35" s="127"/>
      <c r="C35" s="127"/>
      <c r="D35" s="127"/>
      <c r="E35" s="127"/>
      <c r="F35" s="127"/>
      <c r="G35" s="127"/>
      <c r="H35" s="127"/>
      <c r="I35" s="128"/>
      <c r="J35" s="120"/>
      <c r="M35" s="2"/>
    </row>
    <row r="36" spans="1:10" ht="12.75">
      <c r="A36" s="126"/>
      <c r="B36" s="127"/>
      <c r="C36" s="127"/>
      <c r="D36" s="127"/>
      <c r="E36" s="127"/>
      <c r="F36" s="127"/>
      <c r="G36" s="127"/>
      <c r="H36" s="127"/>
      <c r="I36" s="128"/>
      <c r="J36" s="120"/>
    </row>
    <row r="37" spans="1:10" ht="12.75">
      <c r="A37" s="126"/>
      <c r="B37" s="127"/>
      <c r="C37" s="127"/>
      <c r="D37" s="127"/>
      <c r="E37" s="127"/>
      <c r="F37" s="127"/>
      <c r="G37" s="127"/>
      <c r="H37" s="127"/>
      <c r="I37" s="128"/>
      <c r="J37" s="120"/>
    </row>
    <row r="38" spans="1:10" ht="12.75">
      <c r="A38" s="126"/>
      <c r="B38" s="127"/>
      <c r="C38" s="127"/>
      <c r="D38" s="127"/>
      <c r="E38" s="127"/>
      <c r="F38" s="127"/>
      <c r="G38" s="127"/>
      <c r="H38" s="127"/>
      <c r="I38" s="128"/>
      <c r="J38" s="120"/>
    </row>
    <row r="39" spans="1:10" ht="12.75">
      <c r="A39" s="126"/>
      <c r="B39" s="127"/>
      <c r="C39" s="127"/>
      <c r="D39" s="127"/>
      <c r="E39" s="127"/>
      <c r="F39" s="127"/>
      <c r="G39" s="127"/>
      <c r="H39" s="127"/>
      <c r="I39" s="128"/>
      <c r="J39" s="120"/>
    </row>
    <row r="40" spans="1:10" ht="12.75">
      <c r="A40" s="126"/>
      <c r="B40" s="127"/>
      <c r="C40" s="127"/>
      <c r="D40" s="127"/>
      <c r="E40" s="127"/>
      <c r="F40" s="127"/>
      <c r="G40" s="127"/>
      <c r="H40" s="127"/>
      <c r="I40" s="128"/>
      <c r="J40" s="120"/>
    </row>
    <row r="41" spans="1:10" ht="12.75">
      <c r="A41" s="126"/>
      <c r="B41" s="127"/>
      <c r="C41" s="127"/>
      <c r="D41" s="127"/>
      <c r="E41" s="127"/>
      <c r="F41" s="127"/>
      <c r="G41" s="127"/>
      <c r="H41" s="127"/>
      <c r="I41" s="128"/>
      <c r="J41" s="120"/>
    </row>
    <row r="42" spans="1:10" ht="12.75">
      <c r="A42" s="126"/>
      <c r="B42" s="127"/>
      <c r="C42" s="127"/>
      <c r="D42" s="127"/>
      <c r="E42" s="127"/>
      <c r="F42" s="127"/>
      <c r="G42" s="127"/>
      <c r="H42" s="127"/>
      <c r="I42" s="128"/>
      <c r="J42" s="120"/>
    </row>
    <row r="43" spans="1:10" ht="12.75">
      <c r="A43" s="126"/>
      <c r="B43" s="127"/>
      <c r="C43" s="127"/>
      <c r="D43" s="127"/>
      <c r="E43" s="127"/>
      <c r="F43" s="127"/>
      <c r="G43" s="127"/>
      <c r="H43" s="127"/>
      <c r="I43" s="128"/>
      <c r="J43" s="120"/>
    </row>
    <row r="44" spans="1:10" ht="12.75">
      <c r="A44" s="126"/>
      <c r="B44" s="127"/>
      <c r="C44" s="127"/>
      <c r="D44" s="127"/>
      <c r="E44" s="127"/>
      <c r="F44" s="127"/>
      <c r="G44" s="127"/>
      <c r="H44" s="127"/>
      <c r="I44" s="128"/>
      <c r="J44" s="120"/>
    </row>
    <row r="45" spans="1:10" ht="12.75">
      <c r="A45" s="126"/>
      <c r="B45" s="127"/>
      <c r="C45" s="127"/>
      <c r="D45" s="127"/>
      <c r="E45" s="127"/>
      <c r="F45" s="127"/>
      <c r="G45" s="127"/>
      <c r="H45" s="127"/>
      <c r="I45" s="128"/>
      <c r="J45" s="120"/>
    </row>
    <row r="46" spans="1:10" ht="12.75">
      <c r="A46" s="126"/>
      <c r="B46" s="127"/>
      <c r="C46" s="127"/>
      <c r="D46" s="127"/>
      <c r="E46" s="127"/>
      <c r="F46" s="127"/>
      <c r="G46" s="127"/>
      <c r="H46" s="127"/>
      <c r="I46" s="128"/>
      <c r="J46" s="120"/>
    </row>
    <row r="47" spans="1:10" ht="12.75">
      <c r="A47" s="126"/>
      <c r="B47" s="127"/>
      <c r="C47" s="127"/>
      <c r="D47" s="127"/>
      <c r="E47" s="127"/>
      <c r="F47" s="127"/>
      <c r="G47" s="127"/>
      <c r="H47" s="127"/>
      <c r="I47" s="128"/>
      <c r="J47" s="120"/>
    </row>
    <row r="48" spans="1:10" ht="13.5" thickBot="1">
      <c r="A48" s="129"/>
      <c r="B48" s="130"/>
      <c r="C48" s="130"/>
      <c r="D48" s="130"/>
      <c r="E48" s="130"/>
      <c r="F48" s="130"/>
      <c r="G48" s="130"/>
      <c r="H48" s="130"/>
      <c r="I48" s="131"/>
      <c r="J48" s="120"/>
    </row>
    <row r="51" ht="12.75">
      <c r="A51" t="s">
        <v>70</v>
      </c>
    </row>
    <row r="52" ht="12.75">
      <c r="A52" t="s">
        <v>71</v>
      </c>
    </row>
    <row r="53" ht="12.75">
      <c r="A53" s="1" t="s">
        <v>78</v>
      </c>
    </row>
    <row r="54" ht="12.75">
      <c r="A54" t="s">
        <v>79</v>
      </c>
    </row>
  </sheetData>
  <sheetProtection password="ED06" sheet="1" objects="1" scenarios="1"/>
  <mergeCells count="1">
    <mergeCell ref="A1:I1"/>
  </mergeCells>
  <printOptions/>
  <pageMargins left="0.75" right="0.25" top="1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P118"/>
  <sheetViews>
    <sheetView workbookViewId="0" topLeftCell="A76">
      <selection activeCell="H112" sqref="H112"/>
    </sheetView>
  </sheetViews>
  <sheetFormatPr defaultColWidth="9.140625" defaultRowHeight="12.75"/>
  <cols>
    <col min="1" max="1" width="12.421875" style="0" customWidth="1"/>
    <col min="2" max="2" width="9.421875" style="0" customWidth="1"/>
    <col min="3" max="3" width="10.8515625" style="0" customWidth="1"/>
    <col min="4" max="4" width="12.00390625" style="0" customWidth="1"/>
    <col min="6" max="6" width="11.140625" style="0" bestFit="1" customWidth="1"/>
  </cols>
  <sheetData>
    <row r="1" ht="13.5" thickBot="1">
      <c r="A1" t="s">
        <v>11</v>
      </c>
    </row>
    <row r="2" spans="1:6" ht="12.75">
      <c r="A2" s="23"/>
      <c r="B2" s="24">
        <v>1</v>
      </c>
      <c r="C2" s="24">
        <v>2</v>
      </c>
      <c r="D2" s="24">
        <v>3</v>
      </c>
      <c r="E2" s="24">
        <v>4</v>
      </c>
      <c r="F2" s="25">
        <v>5</v>
      </c>
    </row>
    <row r="3" spans="1:8" ht="12.75">
      <c r="A3" s="26" t="s">
        <v>15</v>
      </c>
      <c r="B3" s="6" t="s">
        <v>12</v>
      </c>
      <c r="C3" s="6" t="s">
        <v>13</v>
      </c>
      <c r="D3" s="6" t="s">
        <v>3</v>
      </c>
      <c r="E3" s="6" t="s">
        <v>14</v>
      </c>
      <c r="F3" s="27" t="s">
        <v>16</v>
      </c>
      <c r="H3" s="63" t="s">
        <v>97</v>
      </c>
    </row>
    <row r="4" spans="1:6" ht="12.75">
      <c r="A4" s="28">
        <f>'Input Sheet'!D20</f>
        <v>0.9</v>
      </c>
      <c r="B4" s="29">
        <f>A4*0.3+0.7</f>
        <v>0.97</v>
      </c>
      <c r="C4" s="30">
        <f>A4</f>
        <v>0.9</v>
      </c>
      <c r="D4" s="29">
        <f>0.65*A4+0.35</f>
        <v>0.935</v>
      </c>
      <c r="E4" s="29">
        <f>A4*0.93+0.12</f>
        <v>0.9570000000000001</v>
      </c>
      <c r="F4" s="31">
        <f>0.35*A4+0.65</f>
        <v>0.9650000000000001</v>
      </c>
    </row>
    <row r="5" spans="1:6" ht="12.75">
      <c r="A5" s="28">
        <f>'Input Sheet'!D21</f>
        <v>0.5</v>
      </c>
      <c r="B5" s="29">
        <f>A5*0.3+0.7</f>
        <v>0.85</v>
      </c>
      <c r="C5" s="30">
        <f>A5</f>
        <v>0.5</v>
      </c>
      <c r="D5" s="29">
        <f>0.65*A5+0.35+VLOOKUP('Input Sheet'!$I$5,Calcs!$B$35:$K$45,HLOOKUP(Calcs!A5,Calcs!$B$32:$K$33,2))</f>
        <v>0.7050000000000001</v>
      </c>
      <c r="E5" s="29">
        <f>A5*0.93+0.12</f>
        <v>0.585</v>
      </c>
      <c r="F5" s="31">
        <f>IF(A5&gt;0.4,0.35*A5+0.65,0.35+0.44*A5/0.4+VLOOKUP('Input Sheet'!$I$5,Calcs!$B$35:$K$45,HLOOKUP(Calcs!A5,Calcs!$B$32:$K$33,2)))</f>
        <v>0.825</v>
      </c>
    </row>
    <row r="6" spans="1:6" ht="13.5" thickBot="1">
      <c r="A6" s="32">
        <f>'Input Sheet'!D22</f>
        <v>0.25</v>
      </c>
      <c r="B6" s="33">
        <f>A6*0.3+0.7</f>
        <v>0.7749999999999999</v>
      </c>
      <c r="C6" s="34">
        <f>A6</f>
        <v>0.25</v>
      </c>
      <c r="D6" s="33">
        <f>0.65*A6+0.35+VLOOKUP('Input Sheet'!$I$5,Calcs!$B$35:$K$45,HLOOKUP(Calcs!A6,Calcs!$B$32:$K$33,2))</f>
        <v>0.5349999999999999</v>
      </c>
      <c r="E6" s="33">
        <f>A6*0.93+0.12</f>
        <v>0.35250000000000004</v>
      </c>
      <c r="F6" s="35">
        <f>IF(A6&gt;0.4,0.35*A6+0.65,0.35+0.44*A6/0.4+VLOOKUP('Input Sheet'!$I$5,Calcs!$B$35:$K$45,HLOOKUP(Calcs!A6,Calcs!$B$32:$K$33,2)))</f>
        <v>0.6475</v>
      </c>
    </row>
    <row r="8" ht="13.5" thickBot="1"/>
    <row r="9" spans="1:6" ht="12.75">
      <c r="A9" s="23" t="s">
        <v>96</v>
      </c>
      <c r="B9" s="24"/>
      <c r="C9" s="24"/>
      <c r="D9" s="24"/>
      <c r="E9" s="24"/>
      <c r="F9" s="25"/>
    </row>
    <row r="10" spans="1:8" ht="12.75">
      <c r="A10" s="28">
        <f>'Input Sheet'!C20</f>
        <v>0.05</v>
      </c>
      <c r="B10" s="36">
        <f aca="true" t="shared" si="0" ref="B10:F12">$A10*B4</f>
        <v>0.0485</v>
      </c>
      <c r="C10" s="36">
        <f t="shared" si="0"/>
        <v>0.045000000000000005</v>
      </c>
      <c r="D10" s="36">
        <f t="shared" si="0"/>
        <v>0.04675000000000001</v>
      </c>
      <c r="E10" s="36">
        <f t="shared" si="0"/>
        <v>0.047850000000000004</v>
      </c>
      <c r="F10" s="37">
        <f t="shared" si="0"/>
        <v>0.04825000000000001</v>
      </c>
      <c r="H10" s="63" t="s">
        <v>98</v>
      </c>
    </row>
    <row r="11" spans="1:6" ht="12.75">
      <c r="A11" s="28">
        <f>'Input Sheet'!C21</f>
        <v>0.5</v>
      </c>
      <c r="B11" s="36">
        <f t="shared" si="0"/>
        <v>0.425</v>
      </c>
      <c r="C11" s="36">
        <f t="shared" si="0"/>
        <v>0.25</v>
      </c>
      <c r="D11" s="36">
        <f t="shared" si="0"/>
        <v>0.35250000000000004</v>
      </c>
      <c r="E11" s="36">
        <f t="shared" si="0"/>
        <v>0.2925</v>
      </c>
      <c r="F11" s="37">
        <f t="shared" si="0"/>
        <v>0.4125</v>
      </c>
    </row>
    <row r="12" spans="1:6" ht="12.75">
      <c r="A12" s="28">
        <f>'Input Sheet'!C22</f>
        <v>0.45</v>
      </c>
      <c r="B12" s="36">
        <f t="shared" si="0"/>
        <v>0.34874999999999995</v>
      </c>
      <c r="C12" s="36">
        <f t="shared" si="0"/>
        <v>0.1125</v>
      </c>
      <c r="D12" s="36">
        <f t="shared" si="0"/>
        <v>0.24074999999999996</v>
      </c>
      <c r="E12" s="36">
        <f t="shared" si="0"/>
        <v>0.15862500000000002</v>
      </c>
      <c r="F12" s="37">
        <f t="shared" si="0"/>
        <v>0.291375</v>
      </c>
    </row>
    <row r="13" spans="1:6" ht="13.5" thickBot="1">
      <c r="A13" s="38" t="s">
        <v>19</v>
      </c>
      <c r="B13" s="39">
        <f>SUM(B10:B12)</f>
        <v>0.8222499999999999</v>
      </c>
      <c r="C13" s="39">
        <f>SUM(C10:C12)</f>
        <v>0.4075</v>
      </c>
      <c r="D13" s="39">
        <f>SUM(D10:D12)</f>
        <v>0.64</v>
      </c>
      <c r="E13" s="39">
        <f>SUM(E10:E12)</f>
        <v>0.498975</v>
      </c>
      <c r="F13" s="40">
        <f>SUM(F10:F12)</f>
        <v>0.7521249999999999</v>
      </c>
    </row>
    <row r="16" ht="13.5" thickBot="1">
      <c r="A16" s="1" t="s">
        <v>117</v>
      </c>
    </row>
    <row r="17" spans="1:6" ht="12.75">
      <c r="A17" s="23"/>
      <c r="B17" s="24">
        <v>1</v>
      </c>
      <c r="C17" s="24">
        <v>2</v>
      </c>
      <c r="D17" s="24">
        <v>3</v>
      </c>
      <c r="E17" s="24">
        <v>4</v>
      </c>
      <c r="F17" s="25">
        <v>5</v>
      </c>
    </row>
    <row r="18" spans="1:8" ht="12.75">
      <c r="A18" s="26" t="s">
        <v>15</v>
      </c>
      <c r="B18" s="6" t="s">
        <v>12</v>
      </c>
      <c r="C18" s="6" t="s">
        <v>13</v>
      </c>
      <c r="D18" s="6" t="s">
        <v>3</v>
      </c>
      <c r="E18" s="6" t="s">
        <v>14</v>
      </c>
      <c r="F18" s="27" t="s">
        <v>16</v>
      </c>
      <c r="H18" s="63" t="s">
        <v>156</v>
      </c>
    </row>
    <row r="19" spans="1:6" ht="12.75">
      <c r="A19" s="41">
        <f>MIN(1,A4*'Input Sheet'!$J$4)</f>
        <v>0.9</v>
      </c>
      <c r="B19" s="29">
        <f>A19*0.3+0.7</f>
        <v>0.97</v>
      </c>
      <c r="C19" s="30">
        <f>A19</f>
        <v>0.9</v>
      </c>
      <c r="D19" s="29">
        <f>0.65*A19+0.35+VLOOKUP('Input Sheet'!$J$5,Calcs!$B$35:$K$45,HLOOKUP(Calcs!A19,Calcs!$B$32:$K$33,2))</f>
        <v>0.9450000000000001</v>
      </c>
      <c r="E19" s="29">
        <f>A19*0.93+0.12</f>
        <v>0.9570000000000001</v>
      </c>
      <c r="F19" s="31">
        <f>0.35*A19+0.65</f>
        <v>0.9650000000000001</v>
      </c>
    </row>
    <row r="20" spans="1:6" ht="12.75">
      <c r="A20" s="41">
        <f>MAX(0.25,MIN(1,A5*'Input Sheet'!$J$4))</f>
        <v>0.5</v>
      </c>
      <c r="B20" s="29">
        <f>A20*0.3+0.7</f>
        <v>0.85</v>
      </c>
      <c r="C20" s="30">
        <f>A20</f>
        <v>0.5</v>
      </c>
      <c r="D20" s="29">
        <f>0.65*A20+0.35+VLOOKUP('Input Sheet'!$J$5,Calcs!$B$35:$K$45,HLOOKUP(Calcs!A20,Calcs!$B$32:$K$33,2))</f>
        <v>0.6950000000000001</v>
      </c>
      <c r="E20" s="29">
        <f>A20*0.93+0.12</f>
        <v>0.585</v>
      </c>
      <c r="F20" s="31">
        <f>IF(A20&gt;0.4,0.35*A20+0.65,0.35+0.44*A20/0.4+VLOOKUP('Input Sheet'!$J$5,Calcs!$B$35:$K$45,HLOOKUP(Calcs!A20,Calcs!$B$32:$K$33,2)))</f>
        <v>0.825</v>
      </c>
    </row>
    <row r="21" spans="1:6" ht="13.5" thickBot="1">
      <c r="A21" s="42">
        <f>MAX(0.2,A6*'Input Sheet'!$J$4)</f>
        <v>0.25</v>
      </c>
      <c r="B21" s="33">
        <f>A21*0.3+0.7</f>
        <v>0.7749999999999999</v>
      </c>
      <c r="C21" s="34">
        <f>A21</f>
        <v>0.25</v>
      </c>
      <c r="D21" s="33">
        <f>0.65*A21+0.35+VLOOKUP('Input Sheet'!$J$5,Calcs!$B$35:$K$45,HLOOKUP(Calcs!A21,Calcs!$B$32:$K$33,2))</f>
        <v>0.5275</v>
      </c>
      <c r="E21" s="33">
        <f>A21*0.93+0.12</f>
        <v>0.35250000000000004</v>
      </c>
      <c r="F21" s="35">
        <f>IF(A21&gt;0.4,0.35*A21+0.65,0.35+0.44*A21/0.4+VLOOKUP('Input Sheet'!$J$5,Calcs!$B$35:$K$45,HLOOKUP(Calcs!A21,Calcs!$B$32:$K$33,2)))</f>
        <v>0.64</v>
      </c>
    </row>
    <row r="23" ht="13.5" thickBot="1"/>
    <row r="24" spans="1:6" ht="12.75">
      <c r="A24" s="23" t="s">
        <v>18</v>
      </c>
      <c r="B24" s="24"/>
      <c r="C24" s="24"/>
      <c r="D24" s="24"/>
      <c r="E24" s="24"/>
      <c r="F24" s="25"/>
    </row>
    <row r="25" spans="1:8" ht="12.75">
      <c r="A25" s="28">
        <f>A10</f>
        <v>0.05</v>
      </c>
      <c r="B25" s="36">
        <f aca="true" t="shared" si="1" ref="B25:F27">$A10*B19</f>
        <v>0.0485</v>
      </c>
      <c r="C25" s="36">
        <f t="shared" si="1"/>
        <v>0.045000000000000005</v>
      </c>
      <c r="D25" s="36">
        <f t="shared" si="1"/>
        <v>0.04725000000000001</v>
      </c>
      <c r="E25" s="36">
        <f t="shared" si="1"/>
        <v>0.047850000000000004</v>
      </c>
      <c r="F25" s="37">
        <f t="shared" si="1"/>
        <v>0.04825000000000001</v>
      </c>
      <c r="H25" s="64" t="s">
        <v>105</v>
      </c>
    </row>
    <row r="26" spans="1:6" ht="12.75">
      <c r="A26" s="28">
        <f>A11</f>
        <v>0.5</v>
      </c>
      <c r="B26" s="36">
        <f t="shared" si="1"/>
        <v>0.425</v>
      </c>
      <c r="C26" s="36">
        <f t="shared" si="1"/>
        <v>0.25</v>
      </c>
      <c r="D26" s="36">
        <f t="shared" si="1"/>
        <v>0.34750000000000003</v>
      </c>
      <c r="E26" s="36">
        <f t="shared" si="1"/>
        <v>0.2925</v>
      </c>
      <c r="F26" s="37">
        <f t="shared" si="1"/>
        <v>0.4125</v>
      </c>
    </row>
    <row r="27" spans="1:6" ht="12.75">
      <c r="A27" s="28">
        <f>A12</f>
        <v>0.45</v>
      </c>
      <c r="B27" s="36">
        <f t="shared" si="1"/>
        <v>0.34874999999999995</v>
      </c>
      <c r="C27" s="36">
        <f t="shared" si="1"/>
        <v>0.1125</v>
      </c>
      <c r="D27" s="36">
        <f t="shared" si="1"/>
        <v>0.237375</v>
      </c>
      <c r="E27" s="36">
        <f t="shared" si="1"/>
        <v>0.15862500000000002</v>
      </c>
      <c r="F27" s="37">
        <f t="shared" si="1"/>
        <v>0.28800000000000003</v>
      </c>
    </row>
    <row r="28" spans="1:6" ht="13.5" thickBot="1">
      <c r="A28" s="38" t="s">
        <v>19</v>
      </c>
      <c r="B28" s="39">
        <f>SUM(B25:B27)</f>
        <v>0.8222499999999999</v>
      </c>
      <c r="C28" s="39">
        <f>SUM(C25:C27)</f>
        <v>0.4075</v>
      </c>
      <c r="D28" s="39">
        <f>SUM(D25:D27)</f>
        <v>0.632125</v>
      </c>
      <c r="E28" s="39">
        <f>SUM(E25:E27)</f>
        <v>0.498975</v>
      </c>
      <c r="F28" s="40">
        <f>SUM(F25:F27)</f>
        <v>0.74875</v>
      </c>
    </row>
    <row r="29" ht="12.75">
      <c r="P29" s="19"/>
    </row>
    <row r="30" spans="1:8" ht="13.5" thickBot="1">
      <c r="A30" s="6"/>
      <c r="D30" s="20"/>
      <c r="E30" s="20"/>
      <c r="F30" s="20"/>
      <c r="H30" s="19"/>
    </row>
    <row r="31" spans="1:11" ht="12.75">
      <c r="A31" s="23"/>
      <c r="B31" s="24"/>
      <c r="C31" s="24" t="s">
        <v>115</v>
      </c>
      <c r="D31" s="45"/>
      <c r="E31" s="45"/>
      <c r="F31" s="45"/>
      <c r="G31" s="24"/>
      <c r="H31" s="46"/>
      <c r="I31" s="24"/>
      <c r="J31" s="24"/>
      <c r="K31" s="25"/>
    </row>
    <row r="32" spans="1:13" ht="12.75">
      <c r="A32" s="26"/>
      <c r="B32" s="6"/>
      <c r="C32" s="44">
        <v>0</v>
      </c>
      <c r="D32" s="44">
        <v>0.3</v>
      </c>
      <c r="E32" s="44">
        <v>0.4</v>
      </c>
      <c r="F32" s="44">
        <v>0.5</v>
      </c>
      <c r="G32" s="44">
        <v>0.6</v>
      </c>
      <c r="H32" s="44">
        <v>0.7</v>
      </c>
      <c r="I32" s="44">
        <v>0.8</v>
      </c>
      <c r="J32" s="44">
        <v>0.9</v>
      </c>
      <c r="K32" s="47">
        <v>1</v>
      </c>
      <c r="M32" s="63" t="s">
        <v>118</v>
      </c>
    </row>
    <row r="33" spans="1:11" ht="12.75">
      <c r="A33" s="26"/>
      <c r="B33" s="20">
        <v>1</v>
      </c>
      <c r="C33" s="20">
        <v>2</v>
      </c>
      <c r="D33" s="20">
        <v>3</v>
      </c>
      <c r="E33" s="20">
        <v>4</v>
      </c>
      <c r="F33" s="20">
        <v>5</v>
      </c>
      <c r="G33" s="11">
        <v>6</v>
      </c>
      <c r="H33" s="11">
        <v>7</v>
      </c>
      <c r="I33" s="11">
        <v>8</v>
      </c>
      <c r="J33" s="11">
        <v>9</v>
      </c>
      <c r="K33" s="48">
        <v>10</v>
      </c>
    </row>
    <row r="34" spans="1:13" ht="12.75">
      <c r="A34" s="26" t="s">
        <v>157</v>
      </c>
      <c r="B34" s="6"/>
      <c r="C34" s="6" t="s">
        <v>116</v>
      </c>
      <c r="D34" s="6"/>
      <c r="E34" s="6"/>
      <c r="F34" s="6"/>
      <c r="G34" s="6"/>
      <c r="H34" s="6"/>
      <c r="I34" s="6"/>
      <c r="J34" s="6"/>
      <c r="K34" s="27"/>
      <c r="M34" s="63" t="s">
        <v>119</v>
      </c>
    </row>
    <row r="35" spans="1:13" ht="12.75">
      <c r="A35" s="26"/>
      <c r="B35" s="43">
        <v>0</v>
      </c>
      <c r="C35" s="10">
        <v>0.1</v>
      </c>
      <c r="D35" s="10">
        <v>0.11</v>
      </c>
      <c r="E35" s="10">
        <v>0.11</v>
      </c>
      <c r="F35" s="10">
        <v>0.095</v>
      </c>
      <c r="G35" s="10">
        <v>0.08</v>
      </c>
      <c r="H35" s="10">
        <v>0.065</v>
      </c>
      <c r="I35" s="10">
        <v>0.045</v>
      </c>
      <c r="J35" s="10">
        <v>0.02</v>
      </c>
      <c r="K35" s="49">
        <v>0</v>
      </c>
      <c r="M35" s="63" t="s">
        <v>158</v>
      </c>
    </row>
    <row r="36" spans="1:11" ht="12.75">
      <c r="A36" s="26"/>
      <c r="B36" s="43">
        <v>1</v>
      </c>
      <c r="C36" s="10">
        <v>0.1</v>
      </c>
      <c r="D36" s="10">
        <v>0.11</v>
      </c>
      <c r="E36" s="10">
        <v>0.11</v>
      </c>
      <c r="F36" s="10">
        <v>0.095</v>
      </c>
      <c r="G36" s="10">
        <v>0.08</v>
      </c>
      <c r="H36" s="10">
        <v>0.065</v>
      </c>
      <c r="I36" s="10">
        <v>0.045</v>
      </c>
      <c r="J36" s="10">
        <v>0.02</v>
      </c>
      <c r="K36" s="49">
        <v>0</v>
      </c>
    </row>
    <row r="37" spans="1:11" ht="12.75">
      <c r="A37" s="26"/>
      <c r="B37" s="43">
        <v>2</v>
      </c>
      <c r="C37" s="10">
        <f>(C35+C38)/2</f>
        <v>0.065</v>
      </c>
      <c r="D37" s="10">
        <f aca="true" t="shared" si="2" ref="D37:J37">(D35+D38)/2</f>
        <v>0.07250000000000001</v>
      </c>
      <c r="E37" s="10">
        <f t="shared" si="2"/>
        <v>0.075</v>
      </c>
      <c r="F37" s="10">
        <f t="shared" si="2"/>
        <v>0.0675</v>
      </c>
      <c r="G37" s="10">
        <f t="shared" si="2"/>
        <v>0.0575</v>
      </c>
      <c r="H37" s="10">
        <f t="shared" si="2"/>
        <v>0.0475</v>
      </c>
      <c r="I37" s="10">
        <f t="shared" si="2"/>
        <v>0.035</v>
      </c>
      <c r="J37" s="10">
        <f t="shared" si="2"/>
        <v>0.015</v>
      </c>
      <c r="K37" s="49">
        <v>0</v>
      </c>
    </row>
    <row r="38" spans="1:11" ht="12.75">
      <c r="A38" s="26"/>
      <c r="B38" s="43">
        <v>3</v>
      </c>
      <c r="C38" s="10">
        <v>0.03</v>
      </c>
      <c r="D38" s="10">
        <v>0.035</v>
      </c>
      <c r="E38" s="10">
        <v>0.04</v>
      </c>
      <c r="F38" s="10">
        <v>0.04</v>
      </c>
      <c r="G38" s="10">
        <v>0.035</v>
      </c>
      <c r="H38" s="10">
        <v>0.03</v>
      </c>
      <c r="I38" s="10">
        <v>0.025</v>
      </c>
      <c r="J38" s="10">
        <v>0.01</v>
      </c>
      <c r="K38" s="49">
        <v>0</v>
      </c>
    </row>
    <row r="39" spans="1:11" ht="12.75">
      <c r="A39" s="26"/>
      <c r="B39" s="43">
        <v>4</v>
      </c>
      <c r="C39" s="10">
        <f>(C38+C40)/2</f>
        <v>0.0225</v>
      </c>
      <c r="D39" s="10">
        <f aca="true" t="shared" si="3" ref="D39:J39">(D38+D40)/2</f>
        <v>0.027500000000000004</v>
      </c>
      <c r="E39" s="10">
        <f t="shared" si="3"/>
        <v>0.03</v>
      </c>
      <c r="F39" s="10">
        <f t="shared" si="3"/>
        <v>0.03</v>
      </c>
      <c r="G39" s="10">
        <f t="shared" si="3"/>
        <v>0.027500000000000004</v>
      </c>
      <c r="H39" s="10">
        <f t="shared" si="3"/>
        <v>0.0225</v>
      </c>
      <c r="I39" s="10">
        <f t="shared" si="3"/>
        <v>0.02</v>
      </c>
      <c r="J39" s="10">
        <f t="shared" si="3"/>
        <v>0.01</v>
      </c>
      <c r="K39" s="49">
        <v>0</v>
      </c>
    </row>
    <row r="40" spans="1:11" ht="12.75">
      <c r="A40" s="26"/>
      <c r="B40" s="43">
        <v>5</v>
      </c>
      <c r="C40" s="10">
        <v>0.015</v>
      </c>
      <c r="D40" s="10">
        <v>0.02</v>
      </c>
      <c r="E40" s="10">
        <v>0.02</v>
      </c>
      <c r="F40" s="10">
        <v>0.02</v>
      </c>
      <c r="G40" s="10">
        <v>0.02</v>
      </c>
      <c r="H40" s="10">
        <v>0.015</v>
      </c>
      <c r="I40" s="10">
        <v>0.015</v>
      </c>
      <c r="J40" s="10">
        <v>0.01</v>
      </c>
      <c r="K40" s="49">
        <v>0</v>
      </c>
    </row>
    <row r="41" spans="1:11" ht="12.75">
      <c r="A41" s="26"/>
      <c r="B41" s="43">
        <v>6</v>
      </c>
      <c r="C41" s="10">
        <v>0.015</v>
      </c>
      <c r="D41" s="10">
        <v>0.02</v>
      </c>
      <c r="E41" s="10">
        <v>0.02</v>
      </c>
      <c r="F41" s="10">
        <v>0.02</v>
      </c>
      <c r="G41" s="10">
        <v>0.02</v>
      </c>
      <c r="H41" s="10">
        <v>0.015</v>
      </c>
      <c r="I41" s="10">
        <v>0.015</v>
      </c>
      <c r="J41" s="10">
        <v>0.01</v>
      </c>
      <c r="K41" s="49">
        <v>0</v>
      </c>
    </row>
    <row r="42" spans="1:11" ht="12.75">
      <c r="A42" s="26"/>
      <c r="B42" s="43">
        <v>7</v>
      </c>
      <c r="C42" s="10">
        <v>0.01</v>
      </c>
      <c r="D42" s="10">
        <v>0.015</v>
      </c>
      <c r="E42" s="10">
        <v>0.015</v>
      </c>
      <c r="F42" s="10">
        <v>0.015</v>
      </c>
      <c r="G42" s="10">
        <v>0.015</v>
      </c>
      <c r="H42" s="10">
        <v>0.01</v>
      </c>
      <c r="I42" s="10">
        <v>0.01</v>
      </c>
      <c r="J42" s="10">
        <v>0.005</v>
      </c>
      <c r="K42" s="49">
        <v>0</v>
      </c>
    </row>
    <row r="43" spans="1:11" ht="12.75">
      <c r="A43" s="26"/>
      <c r="B43" s="43">
        <v>8</v>
      </c>
      <c r="C43" s="10">
        <v>0.01</v>
      </c>
      <c r="D43" s="10">
        <v>0.01</v>
      </c>
      <c r="E43" s="10">
        <v>0.01</v>
      </c>
      <c r="F43" s="10">
        <v>0.01</v>
      </c>
      <c r="G43" s="10">
        <v>0.01</v>
      </c>
      <c r="H43" s="10">
        <v>0.01</v>
      </c>
      <c r="I43" s="10">
        <v>0.01</v>
      </c>
      <c r="J43" s="10">
        <v>0.005</v>
      </c>
      <c r="K43" s="49">
        <v>0</v>
      </c>
    </row>
    <row r="44" spans="1:11" ht="12.75">
      <c r="A44" s="26"/>
      <c r="B44" s="43">
        <v>9</v>
      </c>
      <c r="C44" s="10">
        <v>0.005</v>
      </c>
      <c r="D44" s="10">
        <v>0.005</v>
      </c>
      <c r="E44" s="10">
        <v>0.005</v>
      </c>
      <c r="F44" s="10">
        <v>0.005</v>
      </c>
      <c r="G44" s="10">
        <v>0.005</v>
      </c>
      <c r="H44" s="10">
        <v>0.005</v>
      </c>
      <c r="I44" s="10">
        <v>0.005</v>
      </c>
      <c r="J44" s="10">
        <v>0</v>
      </c>
      <c r="K44" s="49">
        <v>0</v>
      </c>
    </row>
    <row r="45" spans="1:11" ht="13.5" thickBot="1">
      <c r="A45" s="38"/>
      <c r="B45" s="50">
        <v>10</v>
      </c>
      <c r="C45" s="51">
        <v>0</v>
      </c>
      <c r="D45" s="51">
        <v>0</v>
      </c>
      <c r="E45" s="51">
        <v>0</v>
      </c>
      <c r="F45" s="51">
        <v>0</v>
      </c>
      <c r="G45" s="52">
        <v>0</v>
      </c>
      <c r="H45" s="52">
        <v>0</v>
      </c>
      <c r="I45" s="52">
        <v>0</v>
      </c>
      <c r="J45" s="52">
        <v>0</v>
      </c>
      <c r="K45" s="53">
        <v>0</v>
      </c>
    </row>
    <row r="46" ht="12.75">
      <c r="B46" s="5"/>
    </row>
    <row r="47" ht="13.5" thickBot="1">
      <c r="B47" s="5"/>
    </row>
    <row r="48" spans="1:8" ht="13.5" thickBot="1">
      <c r="A48" s="54" t="s">
        <v>22</v>
      </c>
      <c r="B48" s="55"/>
      <c r="C48" s="56">
        <f>'Input Sheet'!C25</f>
        <v>6000</v>
      </c>
      <c r="G48" s="63" t="s">
        <v>120</v>
      </c>
      <c r="H48" s="63"/>
    </row>
    <row r="49" ht="13.5" thickBot="1"/>
    <row r="50" spans="1:4" ht="12.75">
      <c r="A50" s="23"/>
      <c r="B50" s="24" t="s">
        <v>23</v>
      </c>
      <c r="C50" s="24" t="s">
        <v>24</v>
      </c>
      <c r="D50" s="25" t="s">
        <v>121</v>
      </c>
    </row>
    <row r="51" spans="1:7" ht="12.75">
      <c r="A51" s="26" t="s">
        <v>47</v>
      </c>
      <c r="B51" s="7">
        <f>VALUE(LEFT('Input Sheet'!C10,1))</f>
        <v>1</v>
      </c>
      <c r="C51" s="7">
        <f>VALUE(LEFT('Input Sheet'!D10,1))</f>
        <v>3</v>
      </c>
      <c r="D51" s="59">
        <v>1</v>
      </c>
      <c r="G51" s="63" t="s">
        <v>120</v>
      </c>
    </row>
    <row r="52" spans="1:7" ht="12.75">
      <c r="A52" s="26" t="s">
        <v>25</v>
      </c>
      <c r="B52" s="57">
        <f>'Input Sheet'!I2</f>
        <v>43.41798941798942</v>
      </c>
      <c r="C52" s="57">
        <f>'Input Sheet'!J2</f>
        <v>43.0083857442348</v>
      </c>
      <c r="D52" s="60">
        <f>C52</f>
        <v>43.0083857442348</v>
      </c>
      <c r="G52" s="63" t="s">
        <v>120</v>
      </c>
    </row>
    <row r="53" spans="1:7" ht="12.75">
      <c r="A53" s="26" t="s">
        <v>26</v>
      </c>
      <c r="B53" s="57">
        <f>HLOOKUP(B51,Calcs!$B$2:$F$13,12)*B52*'Input Sheet'!I3</f>
        <v>32.13039761904762</v>
      </c>
      <c r="C53" s="57">
        <f>HLOOKUP(C51,Calcs!$B$17:$F$28,12)*C52*'Input Sheet'!J3</f>
        <v>24.468008254716985</v>
      </c>
      <c r="D53" s="60">
        <f>D52*B28*'Input Sheet'!I3</f>
        <v>31.827280660377355</v>
      </c>
      <c r="G53" s="63" t="s">
        <v>122</v>
      </c>
    </row>
    <row r="54" spans="1:7" ht="13.5" thickBot="1">
      <c r="A54" s="38" t="s">
        <v>27</v>
      </c>
      <c r="B54" s="61">
        <f>$C$48*B53</f>
        <v>192782.38571428572</v>
      </c>
      <c r="C54" s="61">
        <f>$C$48*C53</f>
        <v>146808.0495283019</v>
      </c>
      <c r="D54" s="62">
        <f>D53*C48</f>
        <v>190963.68396226413</v>
      </c>
      <c r="G54" s="63" t="s">
        <v>123</v>
      </c>
    </row>
    <row r="56" spans="2:4" ht="12.75">
      <c r="B56" t="s">
        <v>124</v>
      </c>
      <c r="D56" t="s">
        <v>125</v>
      </c>
    </row>
    <row r="57" spans="1:4" ht="12.75">
      <c r="A57" s="12" t="s">
        <v>28</v>
      </c>
      <c r="B57" s="58">
        <f>B54-C54</f>
        <v>45974.33618598382</v>
      </c>
      <c r="C57" s="58"/>
      <c r="D57" s="58">
        <f>D54-C54</f>
        <v>44155.63443396223</v>
      </c>
    </row>
    <row r="58" ht="12.75">
      <c r="B58" s="5"/>
    </row>
    <row r="59" ht="13.5" thickBot="1">
      <c r="B59" s="5"/>
    </row>
    <row r="60" spans="1:9" ht="12.75">
      <c r="A60" s="65" t="s">
        <v>126</v>
      </c>
      <c r="B60" s="24"/>
      <c r="C60" s="24"/>
      <c r="D60" s="24"/>
      <c r="E60" s="24"/>
      <c r="F60" s="24"/>
      <c r="G60" s="25"/>
      <c r="I60" s="63"/>
    </row>
    <row r="61" spans="1:9" ht="12.75">
      <c r="A61" s="26"/>
      <c r="B61" s="6" t="s">
        <v>48</v>
      </c>
      <c r="C61" s="6"/>
      <c r="D61" s="6"/>
      <c r="E61" s="6"/>
      <c r="F61" s="6"/>
      <c r="G61" s="27"/>
      <c r="I61" s="63"/>
    </row>
    <row r="62" spans="1:9" ht="12.75">
      <c r="A62" s="26" t="s">
        <v>127</v>
      </c>
      <c r="B62" s="6">
        <v>1</v>
      </c>
      <c r="C62" s="6">
        <v>2</v>
      </c>
      <c r="D62" s="6">
        <v>3</v>
      </c>
      <c r="E62" s="6">
        <v>4</v>
      </c>
      <c r="F62" s="6">
        <v>5</v>
      </c>
      <c r="G62" s="27">
        <v>6</v>
      </c>
      <c r="I62" s="63" t="s">
        <v>137</v>
      </c>
    </row>
    <row r="63" spans="1:9" ht="12.75">
      <c r="A63" s="28">
        <f>MIN(1,A4*'Input Sheet'!$C$8/'Input Sheet'!$C$35)</f>
        <v>0.45</v>
      </c>
      <c r="B63" s="29">
        <v>1</v>
      </c>
      <c r="C63" s="29">
        <f>0.25+0.75*$A63</f>
        <v>0.5875</v>
      </c>
      <c r="D63" s="29">
        <v>0</v>
      </c>
      <c r="E63" s="29">
        <f>0.25+0.75*$A63</f>
        <v>0.5875</v>
      </c>
      <c r="F63" s="29">
        <v>0</v>
      </c>
      <c r="G63" s="31">
        <f>0.25+0.75*$A63</f>
        <v>0.5875</v>
      </c>
      <c r="H63" s="3"/>
      <c r="I63" s="63" t="s">
        <v>138</v>
      </c>
    </row>
    <row r="64" spans="1:9" ht="12.75">
      <c r="A64" s="28">
        <f>MIN(1,A5*'Input Sheet'!$C$8/'Input Sheet'!$C$35)</f>
        <v>0.25</v>
      </c>
      <c r="B64" s="29">
        <v>1</v>
      </c>
      <c r="C64" s="29">
        <f>0.25+0.75*$A64</f>
        <v>0.4375</v>
      </c>
      <c r="D64" s="29">
        <v>0</v>
      </c>
      <c r="E64" s="29">
        <f aca="true" t="shared" si="4" ref="E64:G65">0.25+0.75*$A64</f>
        <v>0.4375</v>
      </c>
      <c r="F64" s="29">
        <v>0</v>
      </c>
      <c r="G64" s="31">
        <f t="shared" si="4"/>
        <v>0.4375</v>
      </c>
      <c r="H64" s="3"/>
      <c r="I64" s="63"/>
    </row>
    <row r="65" spans="1:9" ht="13.5" thickBot="1">
      <c r="A65" s="32">
        <f>MIN(1,A6*'Input Sheet'!$C$8/'Input Sheet'!$C$35)</f>
        <v>0.125</v>
      </c>
      <c r="B65" s="33">
        <v>1</v>
      </c>
      <c r="C65" s="33">
        <f>0.25+0.75*$A65</f>
        <v>0.34375</v>
      </c>
      <c r="D65" s="33">
        <v>0</v>
      </c>
      <c r="E65" s="33">
        <f t="shared" si="4"/>
        <v>0.34375</v>
      </c>
      <c r="F65" s="33">
        <v>0</v>
      </c>
      <c r="G65" s="35">
        <f t="shared" si="4"/>
        <v>0.34375</v>
      </c>
      <c r="H65" s="3"/>
      <c r="I65" s="63"/>
    </row>
    <row r="66" spans="1:9" ht="13.5" thickBot="1">
      <c r="A66" s="4"/>
      <c r="B66" s="3"/>
      <c r="C66" s="3"/>
      <c r="D66" s="3"/>
      <c r="E66" s="3"/>
      <c r="F66" s="3"/>
      <c r="G66" s="3"/>
      <c r="H66" s="3"/>
      <c r="I66" s="63"/>
    </row>
    <row r="67" spans="1:9" ht="12.75">
      <c r="A67" s="23" t="str">
        <f>A9</f>
        <v>Weighted Average Power</v>
      </c>
      <c r="B67" s="66"/>
      <c r="C67" s="66"/>
      <c r="D67" s="66"/>
      <c r="E67" s="66"/>
      <c r="F67" s="66"/>
      <c r="G67" s="67"/>
      <c r="H67" s="3"/>
      <c r="I67" s="63"/>
    </row>
    <row r="68" spans="1:9" ht="12.75">
      <c r="A68" s="26"/>
      <c r="B68" s="6" t="s">
        <v>48</v>
      </c>
      <c r="C68" s="6"/>
      <c r="D68" s="6"/>
      <c r="E68" s="6"/>
      <c r="F68" s="6"/>
      <c r="G68" s="27"/>
      <c r="I68" s="63"/>
    </row>
    <row r="69" spans="1:9" ht="12.75">
      <c r="A69" s="26" t="s">
        <v>128</v>
      </c>
      <c r="B69" s="6">
        <v>1</v>
      </c>
      <c r="C69" s="6">
        <v>2</v>
      </c>
      <c r="D69" s="6">
        <v>3</v>
      </c>
      <c r="E69" s="6">
        <v>4</v>
      </c>
      <c r="F69" s="6">
        <v>5</v>
      </c>
      <c r="G69" s="27">
        <v>6</v>
      </c>
      <c r="I69" s="63" t="s">
        <v>139</v>
      </c>
    </row>
    <row r="70" spans="1:10" ht="12.75">
      <c r="A70" s="68">
        <f>A10</f>
        <v>0.05</v>
      </c>
      <c r="B70" s="30">
        <f aca="true" t="shared" si="5" ref="B70:G72">B63*$A70</f>
        <v>0.05</v>
      </c>
      <c r="C70" s="30">
        <f t="shared" si="5"/>
        <v>0.029375000000000002</v>
      </c>
      <c r="D70" s="30">
        <f t="shared" si="5"/>
        <v>0</v>
      </c>
      <c r="E70" s="30">
        <f t="shared" si="5"/>
        <v>0.029375000000000002</v>
      </c>
      <c r="F70" s="30">
        <f t="shared" si="5"/>
        <v>0</v>
      </c>
      <c r="G70" s="69">
        <f t="shared" si="5"/>
        <v>0.029375000000000002</v>
      </c>
      <c r="H70" s="4"/>
      <c r="I70" s="63" t="s">
        <v>140</v>
      </c>
      <c r="J70" s="4"/>
    </row>
    <row r="71" spans="1:10" ht="12.75">
      <c r="A71" s="68">
        <f>A11</f>
        <v>0.5</v>
      </c>
      <c r="B71" s="30">
        <f t="shared" si="5"/>
        <v>0.5</v>
      </c>
      <c r="C71" s="30">
        <f t="shared" si="5"/>
        <v>0.21875</v>
      </c>
      <c r="D71" s="30">
        <f t="shared" si="5"/>
        <v>0</v>
      </c>
      <c r="E71" s="30">
        <f t="shared" si="5"/>
        <v>0.21875</v>
      </c>
      <c r="F71" s="30">
        <f t="shared" si="5"/>
        <v>0</v>
      </c>
      <c r="G71" s="69">
        <f t="shared" si="5"/>
        <v>0.21875</v>
      </c>
      <c r="H71" s="4"/>
      <c r="I71" s="63"/>
      <c r="J71" s="4"/>
    </row>
    <row r="72" spans="1:9" ht="12.75">
      <c r="A72" s="68">
        <f>A12</f>
        <v>0.45</v>
      </c>
      <c r="B72" s="30">
        <f t="shared" si="5"/>
        <v>0.45</v>
      </c>
      <c r="C72" s="30">
        <f t="shared" si="5"/>
        <v>0.1546875</v>
      </c>
      <c r="D72" s="30">
        <f t="shared" si="5"/>
        <v>0</v>
      </c>
      <c r="E72" s="30">
        <f t="shared" si="5"/>
        <v>0.1546875</v>
      </c>
      <c r="F72" s="30">
        <f t="shared" si="5"/>
        <v>0</v>
      </c>
      <c r="G72" s="69">
        <f t="shared" si="5"/>
        <v>0.1546875</v>
      </c>
      <c r="H72" s="4"/>
      <c r="I72" s="79"/>
    </row>
    <row r="73" spans="1:9" ht="13.5" thickBot="1">
      <c r="A73" s="38" t="s">
        <v>19</v>
      </c>
      <c r="B73" s="34">
        <f aca="true" t="shared" si="6" ref="B73:G73">SUM(B70:B72)</f>
        <v>1</v>
      </c>
      <c r="C73" s="34">
        <f t="shared" si="6"/>
        <v>0.4028125</v>
      </c>
      <c r="D73" s="34">
        <f t="shared" si="6"/>
        <v>0</v>
      </c>
      <c r="E73" s="34">
        <f t="shared" si="6"/>
        <v>0.4028125</v>
      </c>
      <c r="F73" s="34">
        <f t="shared" si="6"/>
        <v>0</v>
      </c>
      <c r="G73" s="70">
        <f t="shared" si="6"/>
        <v>0.4028125</v>
      </c>
      <c r="H73" s="4"/>
      <c r="I73" s="79"/>
    </row>
    <row r="74" ht="13.5" thickBot="1"/>
    <row r="75" spans="1:2" ht="12.75">
      <c r="A75" s="65" t="s">
        <v>141</v>
      </c>
      <c r="B75" s="67">
        <f>A63*A70</f>
        <v>0.022500000000000003</v>
      </c>
    </row>
    <row r="76" spans="1:4" ht="12.75">
      <c r="A76" s="26" t="s">
        <v>57</v>
      </c>
      <c r="B76" s="31">
        <f>A64*A71</f>
        <v>0.125</v>
      </c>
      <c r="D76" s="64" t="s">
        <v>142</v>
      </c>
    </row>
    <row r="77" spans="1:2" ht="13.5" thickBot="1">
      <c r="A77" s="26" t="s">
        <v>58</v>
      </c>
      <c r="B77" s="31">
        <f>A65*A72</f>
        <v>0.05625</v>
      </c>
    </row>
    <row r="78" spans="1:13" ht="13.5" thickBot="1">
      <c r="A78" s="38" t="s">
        <v>56</v>
      </c>
      <c r="B78" s="70">
        <f>SUM(B75:B77)</f>
        <v>0.20375</v>
      </c>
      <c r="J78" s="23" t="s">
        <v>130</v>
      </c>
      <c r="K78" s="24"/>
      <c r="L78" s="24"/>
      <c r="M78" s="25"/>
    </row>
    <row r="79" spans="2:13" ht="12.75">
      <c r="B79" s="4"/>
      <c r="J79" s="26"/>
      <c r="K79" s="6"/>
      <c r="L79" s="6"/>
      <c r="M79" s="27"/>
    </row>
    <row r="80" spans="2:13" ht="13.5" thickBot="1">
      <c r="B80" s="4"/>
      <c r="J80" s="80" t="s">
        <v>87</v>
      </c>
      <c r="K80" s="6"/>
      <c r="L80" s="6"/>
      <c r="M80" s="27"/>
    </row>
    <row r="81" spans="1:13" ht="12.75">
      <c r="A81" s="23" t="s">
        <v>48</v>
      </c>
      <c r="B81" s="71" t="s">
        <v>129</v>
      </c>
      <c r="C81" s="25"/>
      <c r="J81" s="80" t="s">
        <v>107</v>
      </c>
      <c r="K81" s="6"/>
      <c r="L81" s="6"/>
      <c r="M81" s="27"/>
    </row>
    <row r="82" spans="1:13" ht="12.75">
      <c r="A82" s="26">
        <v>1</v>
      </c>
      <c r="B82" s="72">
        <v>0</v>
      </c>
      <c r="C82" s="27"/>
      <c r="J82" s="80" t="s">
        <v>99</v>
      </c>
      <c r="K82" s="6"/>
      <c r="L82" s="6"/>
      <c r="M82" s="27"/>
    </row>
    <row r="83" spans="1:13" ht="12.75">
      <c r="A83" s="26">
        <v>2</v>
      </c>
      <c r="B83" s="72">
        <v>0</v>
      </c>
      <c r="C83" s="27"/>
      <c r="E83" s="63" t="s">
        <v>143</v>
      </c>
      <c r="J83" s="80" t="s">
        <v>100</v>
      </c>
      <c r="K83" s="6"/>
      <c r="L83" s="6"/>
      <c r="M83" s="27"/>
    </row>
    <row r="84" spans="1:13" ht="12.75">
      <c r="A84" s="26">
        <v>3</v>
      </c>
      <c r="B84" s="72">
        <v>0.15</v>
      </c>
      <c r="C84" s="27"/>
      <c r="J84" s="80" t="s">
        <v>101</v>
      </c>
      <c r="K84" s="6"/>
      <c r="L84" s="6"/>
      <c r="M84" s="27"/>
    </row>
    <row r="85" spans="1:13" ht="13.5" thickBot="1">
      <c r="A85" s="26">
        <v>4</v>
      </c>
      <c r="B85" s="72">
        <f>0.075</f>
        <v>0.075</v>
      </c>
      <c r="C85" s="27"/>
      <c r="J85" s="81" t="s">
        <v>102</v>
      </c>
      <c r="K85" s="82"/>
      <c r="L85" s="82"/>
      <c r="M85" s="74"/>
    </row>
    <row r="86" spans="1:3" ht="12.75">
      <c r="A86" s="26">
        <v>5</v>
      </c>
      <c r="B86" s="72">
        <f>B78*0.15</f>
        <v>0.030562499999999996</v>
      </c>
      <c r="C86" s="27"/>
    </row>
    <row r="87" spans="1:3" ht="13.5" thickBot="1">
      <c r="A87" s="38">
        <v>6</v>
      </c>
      <c r="B87" s="73">
        <f>B78*0.075</f>
        <v>0.015281249999999998</v>
      </c>
      <c r="C87" s="74"/>
    </row>
    <row r="89" ht="13.5" thickBot="1"/>
    <row r="90" spans="1:5" ht="12.75">
      <c r="A90" s="23"/>
      <c r="B90" s="24" t="s">
        <v>23</v>
      </c>
      <c r="C90" s="24" t="s">
        <v>131</v>
      </c>
      <c r="D90" s="24" t="s">
        <v>24</v>
      </c>
      <c r="E90" s="25"/>
    </row>
    <row r="91" spans="1:7" ht="12.75">
      <c r="A91" s="26" t="s">
        <v>48</v>
      </c>
      <c r="B91" s="6">
        <f>VALUE(LEFT('Input Sheet'!C32,1))</f>
        <v>1</v>
      </c>
      <c r="C91" s="6">
        <f>IF(D91&lt;3,1,3)</f>
        <v>1</v>
      </c>
      <c r="D91" s="6">
        <f>VALUE(LEFT('Input Sheet'!E32,1))</f>
        <v>2</v>
      </c>
      <c r="E91" s="27"/>
      <c r="G91" s="63" t="s">
        <v>144</v>
      </c>
    </row>
    <row r="92" spans="1:5" ht="12.75">
      <c r="A92" s="26" t="s">
        <v>51</v>
      </c>
      <c r="B92" s="6">
        <f>'Input Sheet'!C36</f>
        <v>6</v>
      </c>
      <c r="C92" s="6">
        <f>'Input Sheet'!E36</f>
        <v>6</v>
      </c>
      <c r="D92" s="6">
        <f>'Input Sheet'!E36</f>
        <v>6</v>
      </c>
      <c r="E92" s="27" t="s">
        <v>17</v>
      </c>
    </row>
    <row r="93" spans="1:5" ht="12.75">
      <c r="A93" s="26" t="s">
        <v>26</v>
      </c>
      <c r="B93" s="6">
        <f>HLOOKUP(B91,$B$69:$J$73,5)*B92*IF(B91&lt;4,1,0.6)</f>
        <v>6</v>
      </c>
      <c r="C93" s="6">
        <f>HLOOKUP(C91,$B$69:$J$73,5)*C92*IF(C91&lt;4,1,0.6)</f>
        <v>6</v>
      </c>
      <c r="D93" s="6">
        <f>HLOOKUP(D91,$B$69:$G$73,5)*D92*IF(D91&lt;3,1,0.6)</f>
        <v>2.416875</v>
      </c>
      <c r="E93" s="27" t="s">
        <v>17</v>
      </c>
    </row>
    <row r="94" spans="1:5" ht="13.5" thickBot="1">
      <c r="A94" s="75" t="s">
        <v>52</v>
      </c>
      <c r="B94" s="73">
        <f>VLOOKUP(B91,$A$82:$B$88,2)</f>
        <v>0</v>
      </c>
      <c r="C94" s="73">
        <f>VLOOKUP(C91,$A$82:$B$88,2)</f>
        <v>0</v>
      </c>
      <c r="D94" s="73">
        <f>VLOOKUP(D91,$A$82:$B$88,2)</f>
        <v>0</v>
      </c>
      <c r="E94" s="74"/>
    </row>
    <row r="96" ht="13.5" thickBot="1"/>
    <row r="97" spans="1:4" ht="13.5" thickBot="1">
      <c r="A97" s="54" t="s">
        <v>132</v>
      </c>
      <c r="B97" s="55"/>
      <c r="C97" s="55"/>
      <c r="D97" s="56" t="b">
        <f>'Input Sheet'!R38</f>
        <v>1</v>
      </c>
    </row>
    <row r="98" ht="13.5" thickBot="1"/>
    <row r="99" spans="1:4" ht="12.75">
      <c r="A99" s="23" t="s">
        <v>133</v>
      </c>
      <c r="B99" s="24">
        <f>B93*$C$48</f>
        <v>36000</v>
      </c>
      <c r="C99" s="24">
        <f>C93*$C$48</f>
        <v>36000</v>
      </c>
      <c r="D99" s="25"/>
    </row>
    <row r="100" spans="1:4" ht="12.75">
      <c r="A100" s="26" t="s">
        <v>134</v>
      </c>
      <c r="B100" s="83">
        <f>B94</f>
        <v>0</v>
      </c>
      <c r="C100" s="83">
        <f>C94</f>
        <v>0</v>
      </c>
      <c r="D100" s="27"/>
    </row>
    <row r="101" spans="1:4" ht="12.75">
      <c r="A101" s="26"/>
      <c r="B101" s="6"/>
      <c r="C101" s="6"/>
      <c r="D101" s="27"/>
    </row>
    <row r="102" spans="1:4" ht="12.75">
      <c r="A102" s="26" t="s">
        <v>53</v>
      </c>
      <c r="B102" s="84">
        <f>(B93-D93)*C48</f>
        <v>21498.75</v>
      </c>
      <c r="C102" s="84">
        <f>(C93-D93)*C48</f>
        <v>21498.75</v>
      </c>
      <c r="D102" s="27" t="s">
        <v>29</v>
      </c>
    </row>
    <row r="103" spans="1:6" ht="12.75">
      <c r="A103" s="26" t="s">
        <v>54</v>
      </c>
      <c r="B103" s="83">
        <f>B94-$D$94</f>
        <v>0</v>
      </c>
      <c r="C103" s="83">
        <f>C94-$D$94</f>
        <v>0</v>
      </c>
      <c r="D103" s="27"/>
      <c r="F103" s="63" t="s">
        <v>145</v>
      </c>
    </row>
    <row r="104" spans="1:4" ht="12.75">
      <c r="A104" s="26"/>
      <c r="B104" s="6"/>
      <c r="C104" s="6"/>
      <c r="D104" s="27"/>
    </row>
    <row r="105" spans="1:4" ht="12.75">
      <c r="A105" s="26" t="s">
        <v>53</v>
      </c>
      <c r="B105" s="84">
        <f>IF('Input Sheet'!Q25,B102,C102)</f>
        <v>21498.75</v>
      </c>
      <c r="C105" s="84"/>
      <c r="D105" s="27"/>
    </row>
    <row r="106" spans="1:4" ht="12.75">
      <c r="A106" s="26" t="s">
        <v>54</v>
      </c>
      <c r="B106" s="72">
        <f>IF('Input Sheet'!Q25,B103,C103)</f>
        <v>0</v>
      </c>
      <c r="C106" s="6"/>
      <c r="D106" s="27"/>
    </row>
    <row r="107" spans="1:4" ht="12.75">
      <c r="A107" s="26"/>
      <c r="B107" s="6"/>
      <c r="C107" s="6"/>
      <c r="D107" s="27"/>
    </row>
    <row r="108" spans="1:4" ht="12.75">
      <c r="A108" s="26"/>
      <c r="B108" s="6"/>
      <c r="C108" s="6"/>
      <c r="D108" s="27"/>
    </row>
    <row r="109" spans="1:4" ht="13.5" thickBot="1">
      <c r="A109" s="38" t="s">
        <v>55</v>
      </c>
      <c r="B109" s="82"/>
      <c r="C109" s="85">
        <f>IF('Input Sheet'!R38,Calcs!B106,0)*'Input Sheet'!E35</f>
        <v>0</v>
      </c>
      <c r="D109" s="74" t="s">
        <v>33</v>
      </c>
    </row>
    <row r="114" spans="4:6" ht="12.75">
      <c r="D114" s="132" t="s">
        <v>191</v>
      </c>
      <c r="E114" s="132" t="s">
        <v>190</v>
      </c>
      <c r="F114" s="132" t="s">
        <v>19</v>
      </c>
    </row>
    <row r="115" spans="1:6" ht="12.75">
      <c r="A115" s="12" t="s">
        <v>135</v>
      </c>
      <c r="B115" s="12"/>
      <c r="C115" s="12"/>
      <c r="D115" s="135">
        <f>IF('Input Sheet'!Q25,B54,D54)</f>
        <v>192782.38571428572</v>
      </c>
      <c r="E115" s="135">
        <f>IF(D97,IF('Input Sheet'!$Q$25,B99,C99),0)</f>
        <v>36000</v>
      </c>
      <c r="F115" s="133">
        <f>D115+E115</f>
        <v>228782.38571428572</v>
      </c>
    </row>
    <row r="116" spans="1:6" ht="12.75">
      <c r="A116" s="12" t="s">
        <v>192</v>
      </c>
      <c r="B116" s="12"/>
      <c r="C116" s="12"/>
      <c r="D116" s="135">
        <f>D115-D117</f>
        <v>146808.0495283019</v>
      </c>
      <c r="E116" s="137">
        <f>IF(D97,E115-E117,0)</f>
        <v>14501.25</v>
      </c>
      <c r="F116" s="133">
        <f>D116+E116</f>
        <v>161309.2995283019</v>
      </c>
    </row>
    <row r="117" spans="1:6" ht="12.75">
      <c r="A117" s="76" t="s">
        <v>69</v>
      </c>
      <c r="B117" s="6"/>
      <c r="C117" s="6"/>
      <c r="D117" s="135">
        <f>IF('Input Sheet'!Q25,Calcs!B57,Calcs!D57)</f>
        <v>45974.33618598382</v>
      </c>
      <c r="E117" s="135">
        <f>IF(D97,IF('Input Sheet'!$Q$25,B102,C102),0)</f>
        <v>21498.75</v>
      </c>
      <c r="F117" s="133">
        <f>D117+E117</f>
        <v>67473.08618598382</v>
      </c>
    </row>
    <row r="118" spans="1:6" ht="12.75">
      <c r="A118" s="12" t="s">
        <v>136</v>
      </c>
      <c r="D118" s="136">
        <f>D117/D115</f>
        <v>0.2384778879856812</v>
      </c>
      <c r="E118" s="136">
        <f>IF(D97,E117/E115,0)</f>
        <v>0.5971875</v>
      </c>
      <c r="F118" s="136">
        <f>F117/F115</f>
        <v>0.2949225569762499</v>
      </c>
    </row>
  </sheetData>
  <sheetProtection password="ED06" sheet="1" objects="1" scenarios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Cascade Energy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compressed air tool 8-6-4</dc:title>
  <dc:subject/>
  <dc:creator>Glen Thomas</dc:creator>
  <cp:keywords/>
  <dc:description/>
  <cp:lastModifiedBy>Jennifer Wood</cp:lastModifiedBy>
  <cp:lastPrinted>2007-05-07T23:39:06Z</cp:lastPrinted>
  <dcterms:created xsi:type="dcterms:W3CDTF">2004-07-23T18:33:20Z</dcterms:created>
  <dcterms:modified xsi:type="dcterms:W3CDTF">2007-05-07T23:40:01Z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258536181</vt:i4>
  </property>
  <property fmtid="{D5CDD505-2E9C-101B-9397-08002B2CF9AE}" pid="3" name="_EmailSubject">
    <vt:lpwstr>Status of Compressed Air Tool</vt:lpwstr>
  </property>
  <property fmtid="{D5CDD505-2E9C-101B-9397-08002B2CF9AE}" pid="4" name="_AuthorEmail">
    <vt:lpwstr>glen.thomas@cascadeenergy.com</vt:lpwstr>
  </property>
  <property fmtid="{D5CDD505-2E9C-101B-9397-08002B2CF9AE}" pid="5" name="_AuthorEmailDisplayName">
    <vt:lpwstr>Glen Thomas</vt:lpwstr>
  </property>
  <property fmtid="{D5CDD505-2E9C-101B-9397-08002B2CF9AE}" pid="6" name="_ReviewingToolsShownOnce">
    <vt:lpwstr/>
  </property>
</Properties>
</file>