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75" windowWidth="7305" windowHeight="7980" firstSheet="8" activeTab="13"/>
  </bookViews>
  <sheets>
    <sheet name="Inputs" sheetId="1" r:id="rId1"/>
    <sheet name="Documentation-Mod" sheetId="2" r:id="rId2"/>
    <sheet name="Cooking-Electric" sheetId="3" r:id="rId3"/>
    <sheet name="Cooking-Gas" sheetId="4" r:id="rId4"/>
    <sheet name="Lighting" sheetId="5" r:id="rId5"/>
    <sheet name="Misc-Elec" sheetId="6" r:id="rId6"/>
    <sheet name="Misc-Gas" sheetId="7" r:id="rId7"/>
    <sheet name="Office Euip-non PC" sheetId="8" r:id="rId8"/>
    <sheet name="Refrigeration" sheetId="9" r:id="rId9"/>
    <sheet name="Ventilation" sheetId="10" r:id="rId10"/>
    <sheet name="WH-Gas" sheetId="11" r:id="rId11"/>
    <sheet name="WH-Electric" sheetId="12" r:id="rId12"/>
    <sheet name="Heating" sheetId="13" r:id="rId13"/>
    <sheet name="Cooling" sheetId="14" r:id="rId14"/>
    <sheet name="Whole Building R&amp;D" sheetId="15" r:id="rId15"/>
    <sheet name="ESB" sheetId="16" r:id="rId16"/>
  </sheets>
  <externalReferences>
    <externalReference r:id="rId19"/>
    <externalReference r:id="rId20"/>
    <externalReference r:id="rId21"/>
    <externalReference r:id="rId22"/>
    <externalReference r:id="rId23"/>
    <externalReference r:id="rId24"/>
    <externalReference r:id="rId25"/>
    <externalReference r:id="rId26"/>
  </externalReferences>
  <definedNames>
    <definedName name="discount_rate">'Inputs'!$C$1</definedName>
  </definedNames>
  <calcPr calcMode="manual" fullCalcOnLoad="1"/>
</workbook>
</file>

<file path=xl/sharedStrings.xml><?xml version="1.0" encoding="utf-8"?>
<sst xmlns="http://schemas.openxmlformats.org/spreadsheetml/2006/main" count="1080" uniqueCount="277">
  <si>
    <t>efficiency is 97.3%. In personal communication, Margaret Suozzo indicated that she felt EPA's 95% efficiency baseline was too low. We therefore used</t>
  </si>
  <si>
    <t>the efficiency estimates in Suozzo and Nadel with the average rating, average load factor and hours per year from EPA's transformer analysis (45 kilowatts,</t>
  </si>
  <si>
    <t>35% and 8760 hours per year, respectively) to estimate baseline and Energy Star transformer energy losses. The percent of commercial miscellaneous</t>
  </si>
  <si>
    <t>electricity that is due to transformer losses was calculated using those savings estimates with estimates of the current stock of commercial transformers.</t>
  </si>
  <si>
    <t>Penetrations are assumed to increase from 9% in 2000 to 40% in 2010 and 55% in 2020.</t>
  </si>
  <si>
    <t>The Energy Star traffic lights progam is proposed to promote the replacement of incandescent traffic lights with LED traffic lights. This is currently highly</t>
  </si>
  <si>
    <t>cost effective for red traffic lights, but less so for green and yellow lights because they have shorter duty cycles and green and yellow LEDs are more</t>
  </si>
  <si>
    <t>expensive than red. Baseline and Energy Star unit energy consumption were taken from Suozzo and Nadel (1998). Penetrations are expected to grow from</t>
  </si>
  <si>
    <t>10% in 2003 to 60% in 2010 to 80% in 2020. To estimate the percent of total commercial electricity that goes to traffic lights, we estimated total traffic light</t>
  </si>
  <si>
    <t>energy consumption using energy consumption and an estimate of the number of signalized intersections in the U.S. from Suozzo and Nadel.</t>
  </si>
  <si>
    <t>Additions, % of Total Floorspace</t>
  </si>
  <si>
    <t>New ESB</t>
  </si>
  <si>
    <t>Floorspace</t>
  </si>
  <si>
    <t>% of stock</t>
  </si>
  <si>
    <t>Energy Star Buildings ventilation penetrations are derived from EPA forecasts of program participation (the EPA forecasts participation by phase of program,</t>
  </si>
  <si>
    <t>from EPA's Energy Star Building estimates.</t>
  </si>
  <si>
    <t>Energy Star Buildings lighting penetrations are derived from EPA forecasts of program participation (the EPA forecasts participation by phase of program,</t>
  </si>
  <si>
    <t xml:space="preserve">represent the percent of total commercial floorspace that joined the Energy Star Building Program in that year. </t>
  </si>
  <si>
    <t>Because the EPA lighting savings estimates were high (55%), we believed the savings represented a comparison to a lower baseline than we were using.</t>
  </si>
  <si>
    <t xml:space="preserve"> To estimate savings, we used data from Suozzo and Nadel (1998) for a variety of lighting programs (including the use of T8 lamps with electronic ballasts,</t>
  </si>
  <si>
    <t xml:space="preserve"> occupancy controls, daylight dimming controls, improved lighting design). Savings were weighted by the applicable lighting stock.</t>
  </si>
  <si>
    <t>Because ballast standards are assumed to be revised in 2003, it was necessary to calculate a new Energy Star Buildings energy saving estimate. We used</t>
  </si>
  <si>
    <t>data from Suozzo and Nadel (1998) for a variety of lighting programs (including the use of occupancy controls, daylight dimming controls, improved lighting</t>
  </si>
  <si>
    <t>design). Savings were weighted by the applicable lighting stock.</t>
  </si>
  <si>
    <t>Ballasts savings estimates were obtained from the commercial electricity supply curve (LBNL). Penetrations are assumed to be 100% from 2004 onward.</t>
  </si>
  <si>
    <t>WH</t>
  </si>
  <si>
    <t>Stage I</t>
  </si>
  <si>
    <t>Stage II</t>
  </si>
  <si>
    <t>Stage III</t>
  </si>
  <si>
    <t>Stage IV</t>
  </si>
  <si>
    <t>Stage V</t>
  </si>
  <si>
    <t>TOTAL</t>
  </si>
  <si>
    <t>WH energy savings</t>
  </si>
  <si>
    <t>MMBtu/sq ft</t>
  </si>
  <si>
    <t>Map energy savings into 5-Stages</t>
  </si>
  <si>
    <t>Improvement by Stage</t>
  </si>
  <si>
    <t>Stage 1</t>
  </si>
  <si>
    <t>Stage 2</t>
  </si>
  <si>
    <t>Stage 3</t>
  </si>
  <si>
    <t>Stage 4</t>
  </si>
  <si>
    <t>Stage 5</t>
  </si>
  <si>
    <t>per end-use</t>
  </si>
  <si>
    <t>per building</t>
  </si>
  <si>
    <t>Space Heating</t>
  </si>
  <si>
    <t>Office Equipment</t>
  </si>
  <si>
    <t>Fraction of Other</t>
  </si>
  <si>
    <t>that is WH</t>
  </si>
  <si>
    <t>Percent end-use savings from each stage</t>
  </si>
  <si>
    <t>total</t>
  </si>
  <si>
    <t>normalizing use only</t>
  </si>
  <si>
    <t>dollars/sq ft</t>
  </si>
  <si>
    <t>Whole Building R&amp;D</t>
  </si>
  <si>
    <t>Percent Savings</t>
  </si>
  <si>
    <t>Heating &amp; Ventilation</t>
  </si>
  <si>
    <t>$/MMBtu site</t>
  </si>
  <si>
    <t xml:space="preserve">Commercial </t>
  </si>
  <si>
    <t>R&amp;D</t>
  </si>
  <si>
    <t>effect</t>
  </si>
  <si>
    <t>conversions</t>
  </si>
  <si>
    <t>As % of</t>
  </si>
  <si>
    <t>% of new</t>
  </si>
  <si>
    <t>% of extg</t>
  </si>
  <si>
    <t>additions</t>
  </si>
  <si>
    <t>cumulative</t>
  </si>
  <si>
    <t>Billion sq ft</t>
  </si>
  <si>
    <t>% of floorspace</t>
  </si>
  <si>
    <t>CCE (2000-2009)</t>
  </si>
  <si>
    <t>CCE (2010-2020)</t>
  </si>
  <si>
    <t>Program effects begin:</t>
  </si>
  <si>
    <t>Cost reduction</t>
  </si>
  <si>
    <t>Advanced Commercial Building Codes</t>
  </si>
  <si>
    <t>Proportional to ESB CCE</t>
  </si>
  <si>
    <t>Adoption</t>
  </si>
  <si>
    <t>Enforcement</t>
  </si>
  <si>
    <t>Code</t>
  </si>
  <si>
    <t>Compliance</t>
  </si>
  <si>
    <t>new floorspace</t>
  </si>
  <si>
    <t>new</t>
  </si>
  <si>
    <t>extg floorspace</t>
  </si>
  <si>
    <t>existing</t>
  </si>
  <si>
    <t>pre-2000</t>
  </si>
  <si>
    <t>post-1999</t>
  </si>
  <si>
    <t>commercial electricity affected, we estimated total exit sign energy using energy use data from Suozzo and Nadel with an estimated stock of 40 million units</t>
  </si>
  <si>
    <t>from the Energy Star exit sign analysis.</t>
  </si>
  <si>
    <t>The Energy Star commercial and industrial transformer program aims to reduce transformer losses in commercial buildings. Because transformer data is</t>
  </si>
  <si>
    <t>reported by transformer type (low or medium voltage and dry type or liquid immersed) rather than by sector, we had to make some assumptions in order to</t>
  </si>
  <si>
    <t xml:space="preserve">determine commercial transformer energy use and shipments data. Electric League of the Pacific Northwest et al. (1998) report that low voltage equipment </t>
  </si>
  <si>
    <t>dominates the commercial sector, medium voltage equipment dominates the industrial sector, and almost all low voltage transformers are dry-type. We</t>
  </si>
  <si>
    <t xml:space="preserve">therefore used total low-voltage sales (from EPA's transformer program) as a proxy for commercial sales in estimating the stock of commercial transformers. </t>
  </si>
  <si>
    <t>EPA's estimates of energy savings assume an increase in efficiency from 95% to 98%. Suozzo and Nadel (1998), however, estimate that baseline transformer</t>
  </si>
  <si>
    <t>Electric League of the Pacific NW, Consortium for Energy Efficiency, Inc, ACEEE, and Pacific Energy Associates, May 1998, Proposal to NW Energy Efficiency Alliance for Promotion of Energy Efficient Transformers. Lifetime is median of range.</t>
  </si>
  <si>
    <t>Energy Star Refrigerated Vending Machine Program</t>
  </si>
  <si>
    <t>Energy Star Ice Machine Program</t>
  </si>
  <si>
    <t>Energy Star LED Traffic Light Program</t>
  </si>
  <si>
    <t>Energy Star Exit Sign Program</t>
  </si>
  <si>
    <t>Suozzo and Nadel, 1998, Selecting Targets for Market Transformation Programs: A National Analysis. ACEEE</t>
  </si>
  <si>
    <t>HPWH UEC:</t>
  </si>
  <si>
    <t>Baseline EWH UEC:</t>
  </si>
  <si>
    <t>Feasible applications:</t>
  </si>
  <si>
    <t>15% of WEH load in buildings w/ high water use, 80% feasible</t>
  </si>
  <si>
    <t>Commercial Heat Pump Water Heaters--Utility Promotion</t>
  </si>
  <si>
    <t>% of EWH</t>
  </si>
  <si>
    <t>Draft Report on Potential Impact of Possible Energy Efficiency Levels for Fluorescent Lamp Ballasts, July 1997, LBNL</t>
  </si>
  <si>
    <t>commtech.xls</t>
  </si>
  <si>
    <t>Water Heating</t>
  </si>
  <si>
    <t>ESB Goals</t>
  </si>
  <si>
    <t>Energy Star Buildings--Ventilation</t>
  </si>
  <si>
    <t>% of</t>
  </si>
  <si>
    <t>floorspace</t>
  </si>
  <si>
    <t>Energy Star Buildings--EWH</t>
  </si>
  <si>
    <t>all WH</t>
  </si>
  <si>
    <t>EWH</t>
  </si>
  <si>
    <t>esbgoals.xls, WH savings</t>
  </si>
  <si>
    <t>GWH</t>
  </si>
  <si>
    <t>Energy Star Buildings--GWH</t>
  </si>
  <si>
    <t>Percent Saving:</t>
  </si>
  <si>
    <t>Total Floorspace Energy Star</t>
  </si>
  <si>
    <t>Energy Star Beverage Merchandiser Program</t>
  </si>
  <si>
    <t>Pre-2003</t>
  </si>
  <si>
    <t>Standards</t>
  </si>
  <si>
    <t>Post-2003</t>
  </si>
  <si>
    <t>Energy Star Buildings--Heating</t>
  </si>
  <si>
    <t>Energy Star Buildings--Cooling</t>
  </si>
  <si>
    <t>esbgoals.xls, cooling savings</t>
  </si>
  <si>
    <t>esbgoals.xls, heating savings</t>
  </si>
  <si>
    <t>Commercial Packaged AC</t>
  </si>
  <si>
    <t>Feasible Applications</t>
  </si>
  <si>
    <t>50% of commercial cooling served by pkgd equip, 80% feasible</t>
  </si>
  <si>
    <t>82% combustion eff., 2.5% casing losses</t>
  </si>
  <si>
    <t>therms</t>
  </si>
  <si>
    <t>High Efficiency Commercial Gas Furnace and Boilers</t>
  </si>
  <si>
    <t xml:space="preserve">Energy Star Building Program in that year. For the moderate case, EPA's penetration estimates were reduced by 30%. Percent water heating savings are </t>
  </si>
  <si>
    <t xml:space="preserve">Energy Star Building Program in that year. For the moderate case, EPA's penetration estimates were reduced by 30%. Percent ventilation savings are also </t>
  </si>
  <si>
    <t>so some aggregation was performed to obtain savings by end-use). For the moderate case EPA's penetration estimates were reduced by 30%. Penetrations</t>
  </si>
  <si>
    <t xml:space="preserve">Energy Star Building Program in that year. For the moderate case, EPA's penetration estimates were reduced by 30%. Percent heating savings are also </t>
  </si>
  <si>
    <t>Energy Star Building Program in that year. For the moderate case, EPA's penetration estimates were reduced by 30%. Percent cooling savings are also</t>
  </si>
  <si>
    <t>Total electronic ballast</t>
  </si>
  <si>
    <t>penetration</t>
  </si>
  <si>
    <t>Shipments of electronic</t>
  </si>
  <si>
    <t>Ballasts w/o prog</t>
  </si>
  <si>
    <t xml:space="preserve">Total Transformer </t>
  </si>
  <si>
    <t>$/MMBtu</t>
  </si>
  <si>
    <t>Equipment and Service Sales by stage ($/sf):</t>
  </si>
  <si>
    <t>Energy Star Buildings heating penetrations are derived from EPA forecasts of program participation (the EPA forecasts participation by phase of program,</t>
  </si>
  <si>
    <t>so some aggregation was performed to obtain savings by end-use). Penetrations represent the percent of total commercial floorspace that joined the</t>
  </si>
  <si>
    <t xml:space="preserve"> from EPA's Energy Star Building estimates.</t>
  </si>
  <si>
    <t>Energy Star Buildings cooling penetrations are derived from EPA forecasts of program participation (the EPA forecasts participation by phase of program,</t>
  </si>
  <si>
    <t>Savings data for commercial heat pump water heaters were obtained from Suozzo and Nadel (1998). Suozzo and Nadel estimate that heat pump water heaters</t>
  </si>
  <si>
    <t>would be feasible in 12% of  commercial water heating applications. Our penetrations assume that half of all feasible applications might be achievable by</t>
  </si>
  <si>
    <t>2020.</t>
  </si>
  <si>
    <t>Energy Star Buildings water heating penetrations are derived from EPA forecasts of program participation (the EPA forecasts participation by phase of</t>
  </si>
  <si>
    <t>program, so some aggregation was performed to obtain savings by end-use). Penetrations represent the percent of total commercial floorspace that joined the</t>
  </si>
  <si>
    <t>also from EPA's Energy Star Building estimates.</t>
  </si>
  <si>
    <t>Scenario Modifier:</t>
  </si>
  <si>
    <t>=1 for advanced scenario, 0.66 for moderate scenario</t>
  </si>
  <si>
    <t>NA</t>
  </si>
  <si>
    <t>Percent Saving</t>
  </si>
  <si>
    <t>Fuel</t>
  </si>
  <si>
    <t>End-Use</t>
  </si>
  <si>
    <t>Policy</t>
  </si>
  <si>
    <t>Notes</t>
  </si>
  <si>
    <t>wrt Frozen Efficiency</t>
  </si>
  <si>
    <t>Shipment Penetration</t>
  </si>
  <si>
    <t>Cumulative Penetration</t>
  </si>
  <si>
    <t>Baseline</t>
  </si>
  <si>
    <t>Electric</t>
  </si>
  <si>
    <t>Space heating</t>
  </si>
  <si>
    <t>[1]</t>
  </si>
  <si>
    <t>Space cooling</t>
  </si>
  <si>
    <t>[2]</t>
  </si>
  <si>
    <t>Water heating</t>
  </si>
  <si>
    <t>Utility HPWH</t>
  </si>
  <si>
    <t>[3]</t>
  </si>
  <si>
    <t>[4]</t>
  </si>
  <si>
    <t>[5]</t>
  </si>
  <si>
    <t>Cooking</t>
  </si>
  <si>
    <t>Lighting</t>
  </si>
  <si>
    <t>[6,7]</t>
  </si>
  <si>
    <t>[6,8]</t>
  </si>
  <si>
    <t>Ballast Standards</t>
  </si>
  <si>
    <t>[9]</t>
  </si>
  <si>
    <t>Refrigeration</t>
  </si>
  <si>
    <t>Energy Star Beverage Merchandisers</t>
  </si>
  <si>
    <t>[10]</t>
  </si>
  <si>
    <t>Energy Star Vending Machines</t>
  </si>
  <si>
    <t>[11]</t>
  </si>
  <si>
    <t>Energy Star Ice Machines</t>
  </si>
  <si>
    <t>[12]</t>
  </si>
  <si>
    <t>Office equip.-PCs</t>
  </si>
  <si>
    <t>Office equip.-non-PCs</t>
  </si>
  <si>
    <t>Other Uses</t>
  </si>
  <si>
    <t>Miscellaneous</t>
  </si>
  <si>
    <t>Energy Star Exit Signs</t>
  </si>
  <si>
    <t>[13]</t>
  </si>
  <si>
    <t>Energy Star Transformers</t>
  </si>
  <si>
    <t>[14]</t>
  </si>
  <si>
    <t>Energy Star Traffic Lights</t>
  </si>
  <si>
    <t>[15]</t>
  </si>
  <si>
    <t>Transformer Standards</t>
  </si>
  <si>
    <t>District Services</t>
  </si>
  <si>
    <t>Adjust to SEDs</t>
  </si>
  <si>
    <t>Gas</t>
  </si>
  <si>
    <t xml:space="preserve">      Misc</t>
  </si>
  <si>
    <t xml:space="preserve">      District Services</t>
  </si>
  <si>
    <t xml:space="preserve">      Cogen</t>
  </si>
  <si>
    <t xml:space="preserve">      Adjust to SEDS</t>
  </si>
  <si>
    <t>ex</t>
  </si>
  <si>
    <t>Does not take account of savings</t>
  </si>
  <si>
    <t>attributable to R&amp;D</t>
  </si>
  <si>
    <t>Energy savings for beverage merchandisers are from Westphalen, et al. (1996).  Penetrations are expected to grow from 5% in 2003 to 25% in 2010 and 30%</t>
  </si>
  <si>
    <t xml:space="preserve">in 2020. To obtain the percent of commercial refrigeration energy affected, penetrations were weighted by the vending machine share of commercial </t>
  </si>
  <si>
    <t>refrigeration energy from Westphalen, et al. (1996).</t>
  </si>
  <si>
    <t>Percent energy saving for refrigerated vending machines was obtained from Suozzo and Nadel (1998). Penetrations are expected to grow from 5% in 2003</t>
  </si>
  <si>
    <t>to 25% in 2010 and 30% in 2020. To obtain the percent of commercial refrigeration energy affected, penetrations were weighted by the vending machine</t>
  </si>
  <si>
    <t>share of commercial refrigeration energy from Westphalen, et al. (1996).</t>
  </si>
  <si>
    <t>Energy savings for ice machines are from Westphalen, et al. (1996).  Penetrations are expected to grow from 5% in 2003 to 25% in 2010 and 30%</t>
  </si>
  <si>
    <t xml:space="preserve">Percent savings for exit signs were obtained from Suozzo and Nadel (1998). Penetrations increase from 5% in 2000 to 60% in 2010 and 80% in 2020. </t>
  </si>
  <si>
    <t>Penetrations apply to the approximately 75% of the market that is still incandescent (Suozzo and Nadel 1998). To obtain the percent of miscellaneous</t>
  </si>
  <si>
    <t>Standard Level:</t>
  </si>
  <si>
    <t>UES:</t>
  </si>
  <si>
    <t>kWh</t>
  </si>
  <si>
    <t>Geller, Nadel, Elliot, Thomas and DeCicco, "Approaching the Kyoto Targets: Five Key Strategies for the United States," ACEEE, August 1998.</t>
  </si>
  <si>
    <t>Standard</t>
  </si>
  <si>
    <t>Incremental Cost:</t>
  </si>
  <si>
    <t>Life:</t>
  </si>
  <si>
    <t>years</t>
  </si>
  <si>
    <t>dollars</t>
  </si>
  <si>
    <t>NAECA Fluorescent Lamp Ballast Standards</t>
  </si>
  <si>
    <t>Electronic Ballasts</t>
  </si>
  <si>
    <t>EER</t>
  </si>
  <si>
    <t>CCE</t>
  </si>
  <si>
    <t>Standard Start Year</t>
  </si>
  <si>
    <t>Transformer (dry type) Standards</t>
  </si>
  <si>
    <t xml:space="preserve"> </t>
  </si>
  <si>
    <t>UEC:</t>
  </si>
  <si>
    <t>$/kWh</t>
  </si>
  <si>
    <t>Start Year:</t>
  </si>
  <si>
    <t>discount_rate</t>
  </si>
  <si>
    <t>Energy Star Buildings</t>
  </si>
  <si>
    <t>Percent Savings:</t>
  </si>
  <si>
    <t>esbgoals.xls, lighting savings</t>
  </si>
  <si>
    <t>Phase in of ESB (millions of square feet)</t>
  </si>
  <si>
    <t xml:space="preserve">Year of program </t>
  </si>
  <si>
    <t>Year</t>
  </si>
  <si>
    <t>Total Floorspace</t>
  </si>
  <si>
    <t>Lights</t>
  </si>
  <si>
    <t>Tune Up</t>
  </si>
  <si>
    <t>Loads</t>
  </si>
  <si>
    <t>Fans</t>
  </si>
  <si>
    <t>HVAC</t>
  </si>
  <si>
    <t>Additions</t>
  </si>
  <si>
    <t>Cumulative</t>
  </si>
  <si>
    <t>% of Total Floorspace</t>
  </si>
  <si>
    <t>Cooling</t>
  </si>
  <si>
    <t>Heating</t>
  </si>
  <si>
    <t>Ventilation</t>
  </si>
  <si>
    <t>Other</t>
  </si>
  <si>
    <t>Plant</t>
  </si>
  <si>
    <t>Total</t>
  </si>
  <si>
    <t>% of Stock</t>
  </si>
  <si>
    <t>Energy Star Comm &amp; Ind Transformer Program</t>
  </si>
  <si>
    <t>E* Level:</t>
  </si>
  <si>
    <t>Assumed</t>
  </si>
  <si>
    <t>Penetration</t>
  </si>
  <si>
    <t>Program Start Year</t>
  </si>
  <si>
    <t>efficiency</t>
  </si>
  <si>
    <t>Baseline Efficiency:</t>
  </si>
  <si>
    <t>Baseline UEC:</t>
  </si>
  <si>
    <t>E* UEC:</t>
  </si>
  <si>
    <t>NEMA Tp-1 standard, from c-itra1.xls</t>
  </si>
  <si>
    <t>c-itra1.xls, received from Alison Tencate at EPA</t>
  </si>
  <si>
    <t>New</t>
  </si>
  <si>
    <t>Exisitng</t>
  </si>
  <si>
    <t>AEO99 Com</t>
  </si>
  <si>
    <t>Other Cooling</t>
  </si>
  <si>
    <t>Cooling-2005 Stds</t>
  </si>
  <si>
    <t>Cooling-2010 Stds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</si>
</sst>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
    <numFmt numFmtId="168" formatCode="&quot;$&quot;#,##0"/>
    <numFmt numFmtId="169" formatCode="&quot;$&quot;#,##0.000_);[Red]\(&quot;$&quot;#,##0.000\)"/>
    <numFmt numFmtId="170" formatCode="0.00000000000000000%"/>
    <numFmt numFmtId="171" formatCode="0.0000000000000000%"/>
    <numFmt numFmtId="172" formatCode="0.000000000000000%"/>
    <numFmt numFmtId="173" formatCode="0.00000000000000%"/>
    <numFmt numFmtId="174" formatCode="0.0000000000000%"/>
    <numFmt numFmtId="175" formatCode="0.000000000000%"/>
    <numFmt numFmtId="176" formatCode="0.00000000000%"/>
    <numFmt numFmtId="177" formatCode="0.0000000000%"/>
    <numFmt numFmtId="178" formatCode="0.000000000%"/>
    <numFmt numFmtId="179" formatCode="0.00000000%"/>
    <numFmt numFmtId="180" formatCode="0.0000000%"/>
    <numFmt numFmtId="181" formatCode="0.000000%"/>
    <numFmt numFmtId="182" formatCode="0.00000%"/>
    <numFmt numFmtId="183" formatCode="0.0000%"/>
    <numFmt numFmtId="184" formatCode="0.000"/>
    <numFmt numFmtId="185" formatCode="#,##0.00000"/>
    <numFmt numFmtId="186" formatCode="&quot;$&quot;#,##0.0000_);[Red]\(&quot;$&quot;#,##0.0000\)"/>
    <numFmt numFmtId="187" formatCode="&quot;$&quot;#,##0.00000_);[Red]\(&quot;$&quot;#,##0.00000\)"/>
    <numFmt numFmtId="188" formatCode="&quot;$&quot;#,##0.000000_);[Red]\(&quot;$&quot;#,##0.000000\)"/>
    <numFmt numFmtId="189" formatCode="&quot;$&quot;#,##0.0000000_);[Red]\(&quot;$&quot;#,##0.0000000\)"/>
    <numFmt numFmtId="190" formatCode="&quot;$&quot;#,##0.00000000_);[Red]\(&quot;$&quot;#,##0.00000000\)"/>
    <numFmt numFmtId="191" formatCode="&quot;$&quot;#,##0.00"/>
    <numFmt numFmtId="192" formatCode="0.0000"/>
  </numFmts>
  <fonts count="5">
    <font>
      <sz val="10"/>
      <name val="Times New Roman"/>
      <family val="0"/>
    </font>
    <font>
      <b/>
      <sz val="14"/>
      <name val="Times New Roman"/>
      <family val="1"/>
    </font>
    <font>
      <b/>
      <sz val="10"/>
      <name val="Arial"/>
      <family val="0"/>
    </font>
    <font>
      <sz val="10"/>
      <color indexed="44"/>
      <name val="Times New Roman"/>
      <family val="1"/>
    </font>
    <font>
      <sz val="10"/>
      <name val="Tms Rmn"/>
      <family val="0"/>
    </font>
  </fonts>
  <fills count="4">
    <fill>
      <patternFill/>
    </fill>
    <fill>
      <patternFill patternType="gray125"/>
    </fill>
    <fill>
      <patternFill patternType="solid">
        <fgColor indexed="22"/>
        <bgColor indexed="64"/>
      </patternFill>
    </fill>
    <fill>
      <patternFill patternType="solid">
        <fgColor indexed="46"/>
        <bgColor indexed="64"/>
      </patternFill>
    </fill>
  </fills>
  <borders count="19">
    <border>
      <left/>
      <right/>
      <top/>
      <bottom/>
      <diagonal/>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10" fontId="0" fillId="0" borderId="0" xfId="0" applyNumberFormat="1" applyAlignment="1">
      <alignment/>
    </xf>
    <xf numFmtId="9" fontId="0" fillId="0" borderId="0" xfId="19" applyAlignment="1">
      <alignment/>
    </xf>
    <xf numFmtId="9" fontId="0" fillId="0" borderId="0" xfId="0" applyNumberFormat="1" applyAlignment="1">
      <alignment/>
    </xf>
    <xf numFmtId="0" fontId="1" fillId="0" borderId="0" xfId="0" applyFont="1" applyAlignment="1">
      <alignment/>
    </xf>
    <xf numFmtId="4" fontId="0" fillId="0" borderId="0" xfId="19" applyNumberFormat="1" applyFont="1" applyAlignment="1">
      <alignment/>
    </xf>
    <xf numFmtId="0" fontId="0" fillId="0" borderId="0" xfId="0" applyAlignment="1">
      <alignment horizontal="right"/>
    </xf>
    <xf numFmtId="3" fontId="0" fillId="0" borderId="0" xfId="19" applyNumberFormat="1" applyFont="1" applyAlignment="1">
      <alignment/>
    </xf>
    <xf numFmtId="8" fontId="0" fillId="0" borderId="0" xfId="0" applyNumberFormat="1" applyAlignment="1" quotePrefix="1">
      <alignment/>
    </xf>
    <xf numFmtId="0" fontId="0" fillId="0" borderId="1" xfId="0" applyBorder="1" applyAlignment="1">
      <alignment/>
    </xf>
    <xf numFmtId="3" fontId="0" fillId="0" borderId="0" xfId="0" applyNumberFormat="1" applyAlignment="1">
      <alignment/>
    </xf>
    <xf numFmtId="168" fontId="0" fillId="0" borderId="0" xfId="0" applyNumberFormat="1" applyAlignment="1">
      <alignment/>
    </xf>
    <xf numFmtId="169" fontId="0" fillId="0" borderId="0" xfId="0" applyNumberFormat="1" applyAlignment="1" quotePrefix="1">
      <alignment/>
    </xf>
    <xf numFmtId="164" fontId="0" fillId="0" borderId="0" xfId="19" applyNumberFormat="1" applyAlignment="1">
      <alignment/>
    </xf>
    <xf numFmtId="4" fontId="0" fillId="0" borderId="0" xfId="0" applyNumberFormat="1" applyAlignment="1">
      <alignment/>
    </xf>
    <xf numFmtId="0" fontId="0" fillId="0" borderId="0" xfId="0" applyAlignment="1" quotePrefix="1">
      <alignment/>
    </xf>
    <xf numFmtId="0" fontId="3" fillId="0" borderId="0" xfId="0" applyFont="1" applyAlignment="1">
      <alignment horizontal="right"/>
    </xf>
    <xf numFmtId="0" fontId="0" fillId="0" borderId="0" xfId="0" applyAlignment="1">
      <alignment horizontal="center"/>
    </xf>
    <xf numFmtId="0" fontId="0" fillId="0" borderId="2" xfId="0" applyBorder="1" applyAlignment="1">
      <alignment/>
    </xf>
    <xf numFmtId="0" fontId="0" fillId="0" borderId="3" xfId="0" applyBorder="1" applyAlignment="1">
      <alignment/>
    </xf>
    <xf numFmtId="0" fontId="0" fillId="0" borderId="3" xfId="0" applyBorder="1" applyAlignment="1">
      <alignment horizontal="center"/>
    </xf>
    <xf numFmtId="0" fontId="0" fillId="0" borderId="2" xfId="0" applyBorder="1" applyAlignment="1">
      <alignment horizontal="center"/>
    </xf>
    <xf numFmtId="0" fontId="0" fillId="0" borderId="0" xfId="0" applyBorder="1" applyAlignment="1">
      <alignment/>
    </xf>
    <xf numFmtId="0" fontId="0" fillId="0" borderId="4" xfId="0" applyBorder="1" applyAlignment="1">
      <alignment/>
    </xf>
    <xf numFmtId="9" fontId="0" fillId="0" borderId="4" xfId="0" applyNumberFormat="1" applyBorder="1" applyAlignment="1">
      <alignment horizontal="center"/>
    </xf>
    <xf numFmtId="9" fontId="0" fillId="0" borderId="4" xfId="19" applyBorder="1" applyAlignment="1">
      <alignment horizontal="center"/>
    </xf>
    <xf numFmtId="9" fontId="0" fillId="0" borderId="5" xfId="19" applyBorder="1" applyAlignment="1">
      <alignment horizontal="center"/>
    </xf>
    <xf numFmtId="9" fontId="0" fillId="0" borderId="6" xfId="19" applyBorder="1" applyAlignment="1">
      <alignment horizontal="center"/>
    </xf>
    <xf numFmtId="9" fontId="0" fillId="0" borderId="0" xfId="0" applyNumberFormat="1" applyBorder="1" applyAlignment="1">
      <alignment horizontal="center"/>
    </xf>
    <xf numFmtId="164" fontId="0" fillId="0" borderId="0" xfId="0" applyNumberFormat="1" applyBorder="1" applyAlignment="1">
      <alignment horizontal="center"/>
    </xf>
    <xf numFmtId="164" fontId="0" fillId="0" borderId="2" xfId="0" applyNumberFormat="1" applyBorder="1" applyAlignment="1">
      <alignment horizontal="center"/>
    </xf>
    <xf numFmtId="164" fontId="0" fillId="0" borderId="3" xfId="19" applyNumberFormat="1" applyBorder="1" applyAlignment="1">
      <alignment horizontal="center"/>
    </xf>
    <xf numFmtId="164" fontId="0" fillId="0" borderId="2" xfId="19" applyNumberFormat="1" applyBorder="1" applyAlignment="1">
      <alignment horizontal="center"/>
    </xf>
    <xf numFmtId="164" fontId="0" fillId="0" borderId="4" xfId="0" applyNumberFormat="1" applyBorder="1" applyAlignment="1">
      <alignment horizontal="center"/>
    </xf>
    <xf numFmtId="164" fontId="0" fillId="0" borderId="5" xfId="0" applyNumberFormat="1" applyBorder="1" applyAlignment="1">
      <alignment horizontal="center"/>
    </xf>
    <xf numFmtId="164" fontId="0" fillId="0" borderId="6" xfId="19" applyNumberFormat="1" applyBorder="1" applyAlignment="1">
      <alignment horizontal="center"/>
    </xf>
    <xf numFmtId="164" fontId="0" fillId="0" borderId="5" xfId="19" applyNumberFormat="1" applyBorder="1" applyAlignment="1">
      <alignment horizontal="center"/>
    </xf>
    <xf numFmtId="0" fontId="0" fillId="0" borderId="4" xfId="0" applyBorder="1" applyAlignment="1" applyProtection="1">
      <alignment horizontal="left"/>
      <protection locked="0"/>
    </xf>
    <xf numFmtId="9" fontId="0" fillId="0" borderId="4" xfId="19" applyBorder="1" applyAlignment="1" applyProtection="1">
      <alignment horizontal="center"/>
      <protection locked="0"/>
    </xf>
    <xf numFmtId="164" fontId="0" fillId="0" borderId="4" xfId="19" applyNumberFormat="1" applyBorder="1" applyAlignment="1" applyProtection="1">
      <alignment horizontal="center"/>
      <protection locked="0"/>
    </xf>
    <xf numFmtId="164" fontId="0" fillId="0" borderId="4" xfId="19" applyNumberFormat="1" applyBorder="1" applyAlignment="1">
      <alignment horizontal="center"/>
    </xf>
    <xf numFmtId="0" fontId="0" fillId="0" borderId="4" xfId="0" applyBorder="1" applyAlignment="1">
      <alignment horizontal="center"/>
    </xf>
    <xf numFmtId="0" fontId="0" fillId="0" borderId="7" xfId="0" applyBorder="1" applyAlignment="1">
      <alignment/>
    </xf>
    <xf numFmtId="9" fontId="0" fillId="0" borderId="7" xfId="0" applyNumberFormat="1" applyBorder="1" applyAlignment="1">
      <alignment horizontal="center"/>
    </xf>
    <xf numFmtId="164" fontId="0" fillId="0" borderId="7" xfId="0" applyNumberFormat="1" applyBorder="1" applyAlignment="1">
      <alignment horizontal="center"/>
    </xf>
    <xf numFmtId="164" fontId="0" fillId="0" borderId="7" xfId="19" applyNumberFormat="1" applyBorder="1" applyAlignment="1">
      <alignment horizontal="center"/>
    </xf>
    <xf numFmtId="164" fontId="0" fillId="0" borderId="8" xfId="19" applyNumberFormat="1" applyBorder="1" applyAlignment="1">
      <alignment horizontal="center"/>
    </xf>
    <xf numFmtId="164" fontId="0" fillId="0" borderId="9" xfId="19" applyNumberFormat="1" applyBorder="1" applyAlignment="1">
      <alignment horizontal="center"/>
    </xf>
    <xf numFmtId="9" fontId="0" fillId="0" borderId="0" xfId="19" applyBorder="1" applyAlignment="1">
      <alignment horizontal="center"/>
    </xf>
    <xf numFmtId="164" fontId="0" fillId="0" borderId="0" xfId="19" applyNumberFormat="1" applyBorder="1" applyAlignment="1">
      <alignment horizontal="center"/>
    </xf>
    <xf numFmtId="9" fontId="0" fillId="0" borderId="1" xfId="0" applyNumberFormat="1" applyBorder="1" applyAlignment="1">
      <alignment horizontal="center"/>
    </xf>
    <xf numFmtId="164" fontId="0" fillId="0" borderId="1" xfId="0" applyNumberFormat="1" applyBorder="1" applyAlignment="1">
      <alignment horizontal="center"/>
    </xf>
    <xf numFmtId="164" fontId="0" fillId="0" borderId="1" xfId="19" applyNumberFormat="1" applyBorder="1" applyAlignment="1">
      <alignment horizontal="center"/>
    </xf>
    <xf numFmtId="3" fontId="0" fillId="0" borderId="1" xfId="0" applyNumberFormat="1" applyFill="1" applyBorder="1" applyAlignment="1">
      <alignment horizontal="center"/>
    </xf>
    <xf numFmtId="164" fontId="0" fillId="0" borderId="10" xfId="19" applyNumberFormat="1" applyBorder="1" applyAlignment="1">
      <alignment horizontal="center"/>
    </xf>
    <xf numFmtId="164" fontId="0" fillId="0" borderId="11" xfId="19" applyNumberFormat="1" applyBorder="1" applyAlignment="1">
      <alignment horizontal="center"/>
    </xf>
    <xf numFmtId="164" fontId="0" fillId="0" borderId="0" xfId="0" applyNumberFormat="1" applyAlignment="1">
      <alignment horizontal="center"/>
    </xf>
    <xf numFmtId="164" fontId="0" fillId="0" borderId="0" xfId="19" applyNumberFormat="1" applyAlignment="1">
      <alignment horizontal="center"/>
    </xf>
    <xf numFmtId="0" fontId="0" fillId="0" borderId="0" xfId="0" applyBorder="1" applyAlignment="1">
      <alignment horizontal="right"/>
    </xf>
    <xf numFmtId="9" fontId="0" fillId="0" borderId="0" xfId="0" applyNumberFormat="1" applyAlignment="1">
      <alignment horizontal="center"/>
    </xf>
    <xf numFmtId="0" fontId="0" fillId="0" borderId="4" xfId="0" applyBorder="1" applyAlignment="1">
      <alignment horizontal="right"/>
    </xf>
    <xf numFmtId="164" fontId="0" fillId="0" borderId="4" xfId="19" applyNumberFormat="1" applyFont="1" applyBorder="1" applyAlignment="1">
      <alignment horizontal="center"/>
    </xf>
    <xf numFmtId="0" fontId="2" fillId="0" borderId="11" xfId="0" applyFont="1" applyFill="1" applyBorder="1" applyAlignment="1">
      <alignment/>
    </xf>
    <xf numFmtId="0" fontId="0" fillId="0" borderId="1" xfId="0" applyFill="1" applyBorder="1" applyAlignment="1">
      <alignment/>
    </xf>
    <xf numFmtId="0" fontId="0" fillId="0" borderId="0" xfId="0" applyFill="1" applyAlignment="1">
      <alignment/>
    </xf>
    <xf numFmtId="0" fontId="0" fillId="0" borderId="12" xfId="0" applyFill="1" applyBorder="1" applyAlignment="1">
      <alignment horizontal="right"/>
    </xf>
    <xf numFmtId="0" fontId="0" fillId="0" borderId="11" xfId="0" applyFill="1" applyBorder="1" applyAlignment="1">
      <alignment horizontal="center" wrapText="1"/>
    </xf>
    <xf numFmtId="0" fontId="0" fillId="0" borderId="1" xfId="0" applyFill="1" applyBorder="1" applyAlignment="1">
      <alignment horizontal="center" wrapText="1"/>
    </xf>
    <xf numFmtId="0" fontId="0" fillId="0" borderId="10" xfId="0" applyFill="1" applyBorder="1" applyAlignment="1">
      <alignment horizontal="center" wrapText="1"/>
    </xf>
    <xf numFmtId="0" fontId="0" fillId="0" borderId="12" xfId="0" applyFill="1" applyBorder="1" applyAlignment="1">
      <alignment/>
    </xf>
    <xf numFmtId="3" fontId="0" fillId="0" borderId="10" xfId="0" applyNumberFormat="1" applyFill="1" applyBorder="1" applyAlignment="1">
      <alignment horizontal="center"/>
    </xf>
    <xf numFmtId="3" fontId="0" fillId="0" borderId="11" xfId="0" applyNumberFormat="1" applyFill="1" applyBorder="1" applyAlignment="1">
      <alignment horizontal="center"/>
    </xf>
    <xf numFmtId="164" fontId="0" fillId="0" borderId="1" xfId="19" applyNumberFormat="1" applyFill="1" applyBorder="1" applyAlignment="1">
      <alignment horizontal="center"/>
    </xf>
    <xf numFmtId="9" fontId="0" fillId="0" borderId="1" xfId="19" applyFill="1" applyBorder="1" applyAlignment="1">
      <alignment horizontal="center"/>
    </xf>
    <xf numFmtId="9" fontId="0" fillId="0" borderId="10" xfId="19" applyFill="1" applyBorder="1" applyAlignment="1">
      <alignment horizontal="center"/>
    </xf>
    <xf numFmtId="3" fontId="0" fillId="0" borderId="12" xfId="0" applyNumberFormat="1" applyFill="1" applyBorder="1" applyAlignment="1">
      <alignment horizontal="center"/>
    </xf>
    <xf numFmtId="2" fontId="3" fillId="0" borderId="0" xfId="0" applyNumberFormat="1" applyFont="1" applyFill="1" applyAlignment="1">
      <alignment/>
    </xf>
    <xf numFmtId="0" fontId="0" fillId="0" borderId="0" xfId="0" applyFill="1" applyAlignment="1" quotePrefix="1">
      <alignment/>
    </xf>
    <xf numFmtId="0" fontId="2" fillId="0" borderId="0" xfId="0" applyFont="1" applyFill="1" applyAlignment="1">
      <alignment/>
    </xf>
    <xf numFmtId="14" fontId="0" fillId="0" borderId="0" xfId="0" applyNumberFormat="1" applyFill="1" applyAlignment="1">
      <alignment/>
    </xf>
    <xf numFmtId="1" fontId="0" fillId="0" borderId="0" xfId="0" applyNumberFormat="1" applyFill="1" applyAlignment="1">
      <alignment/>
    </xf>
    <xf numFmtId="0" fontId="3" fillId="0" borderId="0" xfId="0" applyFont="1" applyAlignment="1">
      <alignment/>
    </xf>
    <xf numFmtId="0" fontId="0" fillId="0" borderId="13" xfId="0" applyFill="1" applyBorder="1" applyAlignment="1">
      <alignment/>
    </xf>
    <xf numFmtId="2" fontId="0" fillId="0" borderId="14" xfId="0" applyNumberFormat="1" applyFill="1" applyBorder="1" applyAlignment="1">
      <alignment/>
    </xf>
    <xf numFmtId="2" fontId="0" fillId="0" borderId="0" xfId="0" applyNumberFormat="1" applyAlignment="1">
      <alignment horizontal="center"/>
    </xf>
    <xf numFmtId="184" fontId="0" fillId="0" borderId="0" xfId="0" applyNumberFormat="1" applyAlignment="1">
      <alignment horizontal="center"/>
    </xf>
    <xf numFmtId="2" fontId="0" fillId="0" borderId="0" xfId="0" applyNumberFormat="1" applyAlignment="1">
      <alignment/>
    </xf>
    <xf numFmtId="0" fontId="0" fillId="0" borderId="15" xfId="0" applyFill="1" applyBorder="1" applyAlignment="1">
      <alignment/>
    </xf>
    <xf numFmtId="2" fontId="0" fillId="0" borderId="16" xfId="0" applyNumberFormat="1" applyFill="1" applyBorder="1" applyAlignment="1">
      <alignment/>
    </xf>
    <xf numFmtId="0" fontId="0" fillId="0" borderId="17" xfId="0" applyFill="1" applyBorder="1" applyAlignment="1">
      <alignment/>
    </xf>
    <xf numFmtId="2" fontId="0" fillId="0" borderId="18" xfId="0" applyNumberFormat="1" applyFill="1" applyBorder="1" applyAlignment="1">
      <alignment/>
    </xf>
    <xf numFmtId="9" fontId="0" fillId="0" borderId="0" xfId="19" applyAlignment="1">
      <alignment horizontal="center"/>
    </xf>
    <xf numFmtId="9" fontId="0" fillId="0" borderId="0" xfId="19" applyFont="1" applyAlignment="1">
      <alignment/>
    </xf>
    <xf numFmtId="2" fontId="0" fillId="0" borderId="0" xfId="0" applyNumberFormat="1" applyAlignment="1" quotePrefix="1">
      <alignment/>
    </xf>
    <xf numFmtId="185" fontId="0" fillId="0" borderId="0" xfId="0" applyNumberFormat="1" applyAlignment="1">
      <alignment/>
    </xf>
    <xf numFmtId="0" fontId="0" fillId="0" borderId="0" xfId="0" applyFill="1" applyBorder="1" applyAlignment="1">
      <alignment horizontal="left"/>
    </xf>
    <xf numFmtId="164" fontId="0" fillId="0" borderId="0" xfId="0" applyNumberFormat="1" applyFill="1" applyBorder="1" applyAlignment="1">
      <alignment horizontal="center"/>
    </xf>
    <xf numFmtId="1" fontId="0" fillId="0" borderId="0" xfId="0" applyNumberFormat="1" applyAlignment="1">
      <alignment/>
    </xf>
    <xf numFmtId="44" fontId="0" fillId="0" borderId="0" xfId="0" applyNumberFormat="1" applyAlignment="1">
      <alignment/>
    </xf>
    <xf numFmtId="192" fontId="0" fillId="0" borderId="0" xfId="0" applyNumberFormat="1" applyAlignment="1" quotePrefix="1">
      <alignment/>
    </xf>
    <xf numFmtId="167" fontId="4" fillId="0" borderId="0" xfId="0" applyNumberFormat="1" applyFont="1" applyBorder="1" applyAlignment="1">
      <alignment horizontal="center"/>
    </xf>
    <xf numFmtId="8" fontId="0" fillId="0" borderId="0" xfId="0" applyNumberFormat="1" applyAlignment="1">
      <alignment/>
    </xf>
    <xf numFmtId="44" fontId="0" fillId="0" borderId="0" xfId="17" applyAlignment="1" quotePrefix="1">
      <alignment/>
    </xf>
    <xf numFmtId="8" fontId="0" fillId="0" borderId="0" xfId="17" applyNumberFormat="1" applyAlignment="1" quotePrefix="1">
      <alignment/>
    </xf>
    <xf numFmtId="9" fontId="0" fillId="0" borderId="0" xfId="19" applyAlignment="1" quotePrefix="1">
      <alignment/>
    </xf>
    <xf numFmtId="10" fontId="0" fillId="0" borderId="0" xfId="19" applyNumberFormat="1" applyAlignment="1">
      <alignment/>
    </xf>
    <xf numFmtId="184" fontId="0" fillId="0" borderId="0" xfId="0" applyNumberFormat="1" applyAlignment="1">
      <alignment/>
    </xf>
    <xf numFmtId="0" fontId="0" fillId="0" borderId="3" xfId="0" applyBorder="1" applyAlignment="1">
      <alignment horizontal="center"/>
    </xf>
    <xf numFmtId="0" fontId="0" fillId="0" borderId="2" xfId="0" applyBorder="1" applyAlignment="1">
      <alignment horizontal="center"/>
    </xf>
    <xf numFmtId="0" fontId="0" fillId="2" borderId="0" xfId="0" applyFill="1" applyAlignment="1">
      <alignment horizontal="center"/>
    </xf>
    <xf numFmtId="0" fontId="0" fillId="3" borderId="0" xfId="0" applyFill="1" applyAlignment="1">
      <alignment horizontal="center"/>
    </xf>
    <xf numFmtId="0" fontId="0" fillId="0" borderId="11" xfId="0" applyFill="1" applyBorder="1" applyAlignment="1">
      <alignment horizontal="center"/>
    </xf>
    <xf numFmtId="0" fontId="0" fillId="0" borderId="1" xfId="0" applyFill="1" applyBorder="1" applyAlignment="1">
      <alignment horizontal="center"/>
    </xf>
    <xf numFmtId="0" fontId="0" fillId="0" borderId="10" xfId="0" applyFill="1" applyBorder="1" applyAlignment="1">
      <alignment horizontal="center"/>
    </xf>
    <xf numFmtId="14" fontId="0" fillId="0" borderId="11" xfId="0" applyNumberFormat="1" applyFill="1" applyBorder="1" applyAlignment="1">
      <alignment horizontal="center"/>
    </xf>
    <xf numFmtId="14" fontId="0" fillId="0" borderId="1" xfId="0" applyNumberFormat="1" applyFill="1" applyBorder="1" applyAlignment="1">
      <alignment horizontal="center"/>
    </xf>
    <xf numFmtId="14" fontId="0" fillId="0" borderId="10" xfId="0" applyNumberForma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doe\5Lab\Buildings\c-itra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mmtech3mo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y%20Documents\doe\5Lab\Buildings\Commercial\esbgoal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ommachievable2mo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ommachievable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ommintg3mod.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y%20Documents\doe\5Lab\gdpdeflator.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commpol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vings Calcs"/>
      <sheetName val="Reduce Oversizing"/>
      <sheetName val="Total Consumption"/>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ow r="5">
          <cell r="F5">
            <v>45</v>
          </cell>
          <cell r="H5">
            <v>0.35</v>
          </cell>
          <cell r="I5">
            <v>8760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frigeration"/>
      <sheetName val="HVAC"/>
      <sheetName val="Lighting-revised"/>
      <sheetName val="Lighting"/>
      <sheetName val="commercial cool roofs"/>
      <sheetName val="Misc-Elec"/>
      <sheetName val="Misc-Gas"/>
      <sheetName val="Water Heating"/>
      <sheetName val="Cooking-Elec."/>
      <sheetName val="Cooking-Gas"/>
      <sheetName val="Sheet6"/>
      <sheetName val="Sheet7"/>
      <sheetName val="Sheet8"/>
      <sheetName val="Sheet9"/>
      <sheetName val="Sheet10"/>
      <sheetName val="Sheet11"/>
      <sheetName val="Sheet12"/>
      <sheetName val="Sheet13"/>
      <sheetName val="Sheet14"/>
      <sheetName val="Sheet15"/>
      <sheetName val="Sheet16"/>
    </sheetNames>
    <sheetDataSet>
      <sheetData sheetId="0">
        <row r="9">
          <cell r="F9">
            <v>7821.845955645533</v>
          </cell>
          <cell r="G9">
            <v>0.18</v>
          </cell>
          <cell r="N9">
            <v>151.5135336247791</v>
          </cell>
        </row>
        <row r="13">
          <cell r="F13">
            <v>3007.5390475078943</v>
          </cell>
        </row>
        <row r="16">
          <cell r="F16">
            <v>5981.411613140701</v>
          </cell>
          <cell r="G16">
            <v>0.55</v>
          </cell>
          <cell r="N16">
            <v>390.199237280253</v>
          </cell>
        </row>
        <row r="25">
          <cell r="C25">
            <v>20</v>
          </cell>
        </row>
      </sheetData>
      <sheetData sheetId="1">
        <row r="37">
          <cell r="Q37">
            <v>3.95294082446492</v>
          </cell>
        </row>
        <row r="38">
          <cell r="Q38">
            <v>1.3487434093074306</v>
          </cell>
        </row>
      </sheetData>
      <sheetData sheetId="2">
        <row r="61">
          <cell r="F61">
            <v>5.896700446713745</v>
          </cell>
        </row>
        <row r="66">
          <cell r="D66">
            <v>0.08720858517330704</v>
          </cell>
        </row>
        <row r="76">
          <cell r="C76">
            <v>0.2839344262295082</v>
          </cell>
          <cell r="G76">
            <v>0.02492767598842816</v>
          </cell>
        </row>
        <row r="77">
          <cell r="C77">
            <v>0.3244444444444444</v>
          </cell>
          <cell r="D77">
            <v>0.75</v>
          </cell>
          <cell r="G77">
            <v>0.032047930283224405</v>
          </cell>
        </row>
      </sheetData>
      <sheetData sheetId="5">
        <row r="27">
          <cell r="F27">
            <v>201.76666594737674</v>
          </cell>
        </row>
        <row r="30">
          <cell r="F30">
            <v>121.05999956842606</v>
          </cell>
        </row>
      </sheetData>
      <sheetData sheetId="7">
        <row r="6">
          <cell r="D6">
            <v>0.4471683475562451</v>
          </cell>
          <cell r="E6">
            <v>0.4821373157486424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nergy Use"/>
      <sheetName val="Data"/>
      <sheetName val="MMTCe Prevented"/>
      <sheetName val="Energy Avoided"/>
      <sheetName val="Cost Savings"/>
      <sheetName val="Total SF"/>
      <sheetName val="Upgrades"/>
      <sheetName val="Fully Upgraded"/>
      <sheetName val="Total Sales"/>
      <sheetName val="Sales by Stage"/>
      <sheetName val="Sales by Stage, no GL"/>
      <sheetName val="TotalSales,no GL"/>
      <sheetName val="Sheet2"/>
    </sheetNames>
    <sheetDataSet>
      <sheetData sheetId="1">
        <row r="180">
          <cell r="G180">
            <v>0.44888125</v>
          </cell>
        </row>
        <row r="182">
          <cell r="G182">
            <v>0.49843562500000005</v>
          </cell>
        </row>
        <row r="186">
          <cell r="G186">
            <v>0.31599999999999995</v>
          </cell>
        </row>
        <row r="303">
          <cell r="C303">
            <v>0.5725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puts"/>
      <sheetName val="Refrigeration"/>
      <sheetName val="Ventilation-New Bldgs"/>
      <sheetName val="Ventilation"/>
      <sheetName val="Lighting-New Bldgs"/>
      <sheetName val="Lighting"/>
      <sheetName val="Other Heating-New Bldgs"/>
      <sheetName val="Other Heating"/>
      <sheetName val="Gas Heating-New Bldgs"/>
      <sheetName val="Gas Heating"/>
      <sheetName val="Other Cooling-New Bldgs"/>
      <sheetName val="Other Cooling"/>
      <sheetName val="Cooling-New Bldgs"/>
      <sheetName val="Cooling"/>
      <sheetName val="Gas Cooling-New Bldgs"/>
      <sheetName val="Gas Cooling"/>
      <sheetName val="WH-gas-New Bldgs"/>
      <sheetName val="WH-gas"/>
      <sheetName val="WH-elec-New Bldgs"/>
      <sheetName val="WH-elec"/>
      <sheetName val="Misc-elec"/>
    </sheetNames>
    <sheetDataSet>
      <sheetData sheetId="1">
        <row r="171">
          <cell r="C171">
            <v>0</v>
          </cell>
          <cell r="D171">
            <v>0</v>
          </cell>
          <cell r="E171">
            <v>0</v>
          </cell>
        </row>
        <row r="172">
          <cell r="C172">
            <v>0</v>
          </cell>
          <cell r="D172">
            <v>0</v>
          </cell>
          <cell r="E172">
            <v>0</v>
          </cell>
        </row>
        <row r="173">
          <cell r="C173">
            <v>0</v>
          </cell>
          <cell r="D173">
            <v>0</v>
          </cell>
          <cell r="E173">
            <v>0</v>
          </cell>
        </row>
        <row r="174">
          <cell r="C174">
            <v>0.05</v>
          </cell>
          <cell r="D174">
            <v>0.05</v>
          </cell>
          <cell r="E174">
            <v>0.05</v>
          </cell>
        </row>
        <row r="175">
          <cell r="C175">
            <v>0.07857142857142857</v>
          </cell>
          <cell r="D175">
            <v>0.07857142857142857</v>
          </cell>
          <cell r="E175">
            <v>0.07857142857142857</v>
          </cell>
        </row>
        <row r="176">
          <cell r="C176">
            <v>0.10714285714285715</v>
          </cell>
          <cell r="D176">
            <v>0.10714285714285715</v>
          </cell>
          <cell r="E176">
            <v>0.10714285714285715</v>
          </cell>
        </row>
        <row r="177">
          <cell r="C177">
            <v>0.13571428571428573</v>
          </cell>
          <cell r="D177">
            <v>0.13571428571428573</v>
          </cell>
          <cell r="E177">
            <v>0.13571428571428573</v>
          </cell>
        </row>
        <row r="178">
          <cell r="C178">
            <v>0.1642857142857143</v>
          </cell>
          <cell r="D178">
            <v>0.1642857142857143</v>
          </cell>
          <cell r="E178">
            <v>0.1642857142857143</v>
          </cell>
        </row>
        <row r="179">
          <cell r="C179">
            <v>0.1928571428571429</v>
          </cell>
          <cell r="D179">
            <v>0.1928571428571429</v>
          </cell>
          <cell r="E179">
            <v>0.1928571428571429</v>
          </cell>
        </row>
        <row r="180">
          <cell r="C180">
            <v>0.22142857142857147</v>
          </cell>
          <cell r="D180">
            <v>0.22142857142857147</v>
          </cell>
          <cell r="E180">
            <v>0.22142857142857147</v>
          </cell>
        </row>
        <row r="181">
          <cell r="C181">
            <v>0.25</v>
          </cell>
          <cell r="D181">
            <v>0.25</v>
          </cell>
          <cell r="E181">
            <v>0.25</v>
          </cell>
        </row>
        <row r="182">
          <cell r="C182">
            <v>0.255</v>
          </cell>
          <cell r="D182">
            <v>0.255</v>
          </cell>
          <cell r="E182">
            <v>0.255</v>
          </cell>
        </row>
        <row r="183">
          <cell r="C183">
            <v>0.26</v>
          </cell>
          <cell r="D183">
            <v>0.26</v>
          </cell>
          <cell r="E183">
            <v>0.26</v>
          </cell>
        </row>
        <row r="184">
          <cell r="C184">
            <v>0.265</v>
          </cell>
          <cell r="D184">
            <v>0.265</v>
          </cell>
          <cell r="E184">
            <v>0.265</v>
          </cell>
        </row>
        <row r="185">
          <cell r="C185">
            <v>0.27</v>
          </cell>
          <cell r="D185">
            <v>0.27</v>
          </cell>
          <cell r="E185">
            <v>0.27</v>
          </cell>
        </row>
        <row r="186">
          <cell r="C186">
            <v>0.275</v>
          </cell>
          <cell r="D186">
            <v>0.275</v>
          </cell>
          <cell r="E186">
            <v>0.275</v>
          </cell>
        </row>
        <row r="187">
          <cell r="C187">
            <v>0.28</v>
          </cell>
          <cell r="D187">
            <v>0.28</v>
          </cell>
          <cell r="E187">
            <v>0.28</v>
          </cell>
        </row>
        <row r="188">
          <cell r="C188">
            <v>0.28500000000000003</v>
          </cell>
          <cell r="D188">
            <v>0.28500000000000003</v>
          </cell>
          <cell r="E188">
            <v>0.28500000000000003</v>
          </cell>
        </row>
        <row r="189">
          <cell r="C189">
            <v>0.29000000000000004</v>
          </cell>
          <cell r="D189">
            <v>0.29000000000000004</v>
          </cell>
          <cell r="E189">
            <v>0.29000000000000004</v>
          </cell>
        </row>
        <row r="190">
          <cell r="C190">
            <v>0.29500000000000004</v>
          </cell>
          <cell r="D190">
            <v>0.29500000000000004</v>
          </cell>
          <cell r="E190">
            <v>0.29500000000000004</v>
          </cell>
        </row>
        <row r="191">
          <cell r="C191">
            <v>0.3</v>
          </cell>
          <cell r="D191">
            <v>0.3</v>
          </cell>
          <cell r="E191">
            <v>0.3</v>
          </cell>
        </row>
        <row r="269">
          <cell r="C269">
            <v>0.0030653599587355403</v>
          </cell>
          <cell r="D269">
            <v>0.007899196816741583</v>
          </cell>
          <cell r="E269">
            <v>0.006012821457519714</v>
          </cell>
        </row>
        <row r="279">
          <cell r="C279">
            <v>0.010027193841209026</v>
          </cell>
          <cell r="D279">
            <v>0.02583930720619249</v>
          </cell>
          <cell r="E279">
            <v>0.01966872638083309</v>
          </cell>
        </row>
        <row r="325">
          <cell r="C325">
            <v>0.55</v>
          </cell>
          <cell r="D325">
            <v>0.32000000000000006</v>
          </cell>
          <cell r="E325">
            <v>0.17999999999999994</v>
          </cell>
        </row>
      </sheetData>
      <sheetData sheetId="3">
        <row r="171">
          <cell r="C171">
            <v>0.005176689847009735</v>
          </cell>
        </row>
        <row r="172">
          <cell r="C172">
            <v>0.006505684705398768</v>
          </cell>
        </row>
        <row r="173">
          <cell r="C173">
            <v>0.007611819714081093</v>
          </cell>
        </row>
        <row r="174">
          <cell r="C174">
            <v>0.008152944166798097</v>
          </cell>
        </row>
        <row r="175">
          <cell r="C175">
            <v>0.008390754253664926</v>
          </cell>
        </row>
        <row r="176">
          <cell r="C176">
            <v>0.007771990784011852</v>
          </cell>
        </row>
        <row r="177">
          <cell r="C177">
            <v>0.007311627610768286</v>
          </cell>
        </row>
        <row r="178">
          <cell r="C178">
            <v>0.006951880538052717</v>
          </cell>
        </row>
        <row r="179">
          <cell r="C179">
            <v>0.006523969033989814</v>
          </cell>
        </row>
        <row r="180">
          <cell r="C180">
            <v>0.0062313909080713254</v>
          </cell>
        </row>
        <row r="181">
          <cell r="C181">
            <v>0.005553609581626109</v>
          </cell>
        </row>
        <row r="182">
          <cell r="C182">
            <v>0.005858311286496368</v>
          </cell>
        </row>
        <row r="183">
          <cell r="C183">
            <v>0.00618377890512508</v>
          </cell>
        </row>
        <row r="184">
          <cell r="C184">
            <v>0.006098365703800684</v>
          </cell>
        </row>
        <row r="185">
          <cell r="C185">
            <v>0.005980560442955467</v>
          </cell>
        </row>
        <row r="186">
          <cell r="C186">
            <v>0.00582214424935476</v>
          </cell>
        </row>
        <row r="187">
          <cell r="C187">
            <v>0.005594463812668104</v>
          </cell>
        </row>
        <row r="188">
          <cell r="C188">
            <v>0.005136317458150293</v>
          </cell>
        </row>
        <row r="189">
          <cell r="C189">
            <v>0.004267091982265865</v>
          </cell>
        </row>
        <row r="190">
          <cell r="C190">
            <v>0.0035902396642977907</v>
          </cell>
        </row>
        <row r="191">
          <cell r="C191">
            <v>0.0029656026588230962</v>
          </cell>
        </row>
        <row r="269">
          <cell r="C269">
            <v>0.07720083202645736</v>
          </cell>
        </row>
        <row r="279">
          <cell r="C279">
            <v>0.10015525913052184</v>
          </cell>
        </row>
        <row r="325">
          <cell r="C325">
            <v>0.5725</v>
          </cell>
        </row>
      </sheetData>
      <sheetData sheetId="5">
        <row r="171">
          <cell r="C171">
            <v>0.009638386648122391</v>
          </cell>
          <cell r="E171">
            <v>0</v>
          </cell>
        </row>
        <row r="172">
          <cell r="C172">
            <v>0.01170873650566599</v>
          </cell>
          <cell r="E172">
            <v>0</v>
          </cell>
        </row>
        <row r="173">
          <cell r="C173">
            <v>0.012482104392583352</v>
          </cell>
          <cell r="E173">
            <v>0</v>
          </cell>
        </row>
        <row r="174">
          <cell r="C174">
            <v>0.01261976119489825</v>
          </cell>
          <cell r="E174">
            <v>0</v>
          </cell>
        </row>
        <row r="175">
          <cell r="D175">
            <v>0.01271142382785407</v>
          </cell>
          <cell r="E175">
            <v>1</v>
          </cell>
        </row>
        <row r="176">
          <cell r="D176">
            <v>0.012575427889363316</v>
          </cell>
          <cell r="E176">
            <v>1</v>
          </cell>
        </row>
        <row r="177">
          <cell r="D177">
            <v>0.012137949408176623</v>
          </cell>
          <cell r="E177">
            <v>1</v>
          </cell>
        </row>
        <row r="178">
          <cell r="D178">
            <v>0.012334911422818041</v>
          </cell>
          <cell r="E178">
            <v>1</v>
          </cell>
        </row>
        <row r="179">
          <cell r="D179">
            <v>0.012606250363415995</v>
          </cell>
          <cell r="E179">
            <v>1</v>
          </cell>
        </row>
        <row r="180">
          <cell r="D180">
            <v>0.012748101933089829</v>
          </cell>
          <cell r="E180">
            <v>1</v>
          </cell>
        </row>
        <row r="181">
          <cell r="D181">
            <v>0.012046589323554192</v>
          </cell>
          <cell r="E181">
            <v>1</v>
          </cell>
        </row>
        <row r="182">
          <cell r="D182">
            <v>0.012118460541308643</v>
          </cell>
          <cell r="E182">
            <v>1</v>
          </cell>
        </row>
        <row r="183">
          <cell r="D183">
            <v>0.012545725562735558</v>
          </cell>
          <cell r="E183">
            <v>1</v>
          </cell>
        </row>
        <row r="184">
          <cell r="D184">
            <v>0.01221847831879872</v>
          </cell>
          <cell r="E184">
            <v>1</v>
          </cell>
        </row>
        <row r="185">
          <cell r="D185">
            <v>0.011926659451693298</v>
          </cell>
          <cell r="E185">
            <v>1</v>
          </cell>
        </row>
        <row r="186">
          <cell r="D186">
            <v>0.012155397704931762</v>
          </cell>
          <cell r="E186">
            <v>1</v>
          </cell>
        </row>
        <row r="187">
          <cell r="D187">
            <v>0.01125142301907407</v>
          </cell>
          <cell r="E187">
            <v>1</v>
          </cell>
        </row>
        <row r="188">
          <cell r="D188">
            <v>0.010403982740089966</v>
          </cell>
          <cell r="E188">
            <v>1</v>
          </cell>
        </row>
        <row r="189">
          <cell r="D189">
            <v>0.009159749027870165</v>
          </cell>
          <cell r="E189">
            <v>1</v>
          </cell>
        </row>
        <row r="190">
          <cell r="D190">
            <v>0.007952230831663982</v>
          </cell>
          <cell r="E190">
            <v>1</v>
          </cell>
        </row>
        <row r="191">
          <cell r="D191">
            <v>0.006824627503788514</v>
          </cell>
          <cell r="E191">
            <v>1</v>
          </cell>
        </row>
        <row r="269">
          <cell r="C269">
            <v>0.05838349258020444</v>
          </cell>
          <cell r="D269">
            <v>0.07780385274234822</v>
          </cell>
          <cell r="E269">
            <v>0.5384615384615385</v>
          </cell>
        </row>
        <row r="279">
          <cell r="C279">
            <v>0</v>
          </cell>
          <cell r="D279">
            <v>0.20370839384608644</v>
          </cell>
          <cell r="E279">
            <v>1.0000000000000002</v>
          </cell>
        </row>
        <row r="325">
          <cell r="C325">
            <v>0.2839344262295082</v>
          </cell>
          <cell r="D325">
            <v>0.24333333333333332</v>
          </cell>
          <cell r="E325">
            <v>0.08720858517330704</v>
          </cell>
        </row>
      </sheetData>
      <sheetData sheetId="9">
        <row r="171">
          <cell r="C171">
            <v>0.004551728094575799</v>
          </cell>
        </row>
        <row r="172">
          <cell r="C172">
            <v>0.005791316866823093</v>
          </cell>
        </row>
        <row r="173">
          <cell r="C173">
            <v>0.0069575161646441615</v>
          </cell>
        </row>
        <row r="174">
          <cell r="C174">
            <v>0.00764487503340096</v>
          </cell>
        </row>
        <row r="175">
          <cell r="C175">
            <v>0.00793200484739082</v>
          </cell>
        </row>
        <row r="176">
          <cell r="C176">
            <v>0.007257947403314475</v>
          </cell>
        </row>
        <row r="177">
          <cell r="C177">
            <v>0.006751359243464686</v>
          </cell>
        </row>
        <row r="178">
          <cell r="C178">
            <v>0.006363741906153605</v>
          </cell>
        </row>
        <row r="179">
          <cell r="C179">
            <v>0.005811470146660707</v>
          </cell>
        </row>
        <row r="180">
          <cell r="C180">
            <v>0.005485911044199181</v>
          </cell>
        </row>
        <row r="181">
          <cell r="C181">
            <v>0.004833798972301901</v>
          </cell>
        </row>
        <row r="182">
          <cell r="C182">
            <v>0.005169028384536164</v>
          </cell>
        </row>
        <row r="183">
          <cell r="C183">
            <v>0.005541327049406252</v>
          </cell>
        </row>
        <row r="184">
          <cell r="C184">
            <v>0.005446879175726577</v>
          </cell>
        </row>
        <row r="185">
          <cell r="C185">
            <v>0.005392944941472189</v>
          </cell>
        </row>
        <row r="186">
          <cell r="C186">
            <v>0.0051899229490711025</v>
          </cell>
        </row>
        <row r="187">
          <cell r="C187">
            <v>0.005006784211233989</v>
          </cell>
        </row>
        <row r="188">
          <cell r="C188">
            <v>0.0046755778390221315</v>
          </cell>
        </row>
        <row r="189">
          <cell r="C189">
            <v>0.003820332840352339</v>
          </cell>
        </row>
        <row r="190">
          <cell r="C190">
            <v>0.003223249632754544</v>
          </cell>
        </row>
        <row r="191">
          <cell r="C191">
            <v>0.0026455045698308977</v>
          </cell>
        </row>
        <row r="269">
          <cell r="C269">
            <v>0.0700426996403478</v>
          </cell>
        </row>
        <row r="279">
          <cell r="C279">
            <v>0.08882074017990849</v>
          </cell>
        </row>
        <row r="325">
          <cell r="C325">
            <v>0.44888125</v>
          </cell>
        </row>
      </sheetData>
      <sheetData sheetId="13">
        <row r="171">
          <cell r="C171">
            <v>0.005185539638386648</v>
          </cell>
        </row>
        <row r="172">
          <cell r="C172">
            <v>0.006549649883492769</v>
          </cell>
        </row>
        <row r="173">
          <cell r="C173">
            <v>0.007691058141643882</v>
          </cell>
        </row>
        <row r="174">
          <cell r="C174">
            <v>0.008349687621939253</v>
          </cell>
        </row>
        <row r="175">
          <cell r="C175">
            <v>0.008610973339481505</v>
          </cell>
        </row>
        <row r="269">
          <cell r="C269">
            <v>0.04263970244729627</v>
          </cell>
        </row>
        <row r="279">
          <cell r="C279">
            <v>0.04263970244729627</v>
          </cell>
        </row>
        <row r="325">
          <cell r="C325">
            <v>0.49843562500000005</v>
          </cell>
        </row>
      </sheetData>
      <sheetData sheetId="17">
        <row r="171">
          <cell r="C171">
            <v>0.00544240264255911</v>
          </cell>
        </row>
        <row r="172">
          <cell r="C172">
            <v>0.006683553042500557</v>
          </cell>
        </row>
        <row r="173">
          <cell r="C173">
            <v>0.007728920726613208</v>
          </cell>
        </row>
        <row r="174">
          <cell r="C174">
            <v>0.008213243457906215</v>
          </cell>
        </row>
        <row r="175">
          <cell r="C175">
            <v>0.008418400800781432</v>
          </cell>
        </row>
        <row r="176">
          <cell r="C176">
            <v>0.007799522221895777</v>
          </cell>
        </row>
        <row r="177">
          <cell r="C177">
            <v>0.0073880414390393966</v>
          </cell>
        </row>
        <row r="178">
          <cell r="C178">
            <v>0.007037277137406318</v>
          </cell>
        </row>
        <row r="179">
          <cell r="C179">
            <v>0.006644312173849823</v>
          </cell>
        </row>
        <row r="180">
          <cell r="C180">
            <v>0.00634551053476889</v>
          </cell>
        </row>
        <row r="181">
          <cell r="C181">
            <v>0.0056429982731378</v>
          </cell>
        </row>
        <row r="182">
          <cell r="C182">
            <v>0.005894276571873568</v>
          </cell>
        </row>
        <row r="183">
          <cell r="C183">
            <v>0.006204846104687661</v>
          </cell>
        </row>
        <row r="184">
          <cell r="C184">
            <v>0.006139232350022169</v>
          </cell>
        </row>
        <row r="185">
          <cell r="C185">
            <v>0.005986868755769814</v>
          </cell>
        </row>
        <row r="186">
          <cell r="C186">
            <v>0.0058172890320021715</v>
          </cell>
        </row>
        <row r="187">
          <cell r="C187">
            <v>0.0056013643519611835</v>
          </cell>
        </row>
        <row r="188">
          <cell r="C188">
            <v>0.005089454378113334</v>
          </cell>
        </row>
        <row r="189">
          <cell r="C189">
            <v>0.004208303826424713</v>
          </cell>
        </row>
        <row r="190">
          <cell r="C190">
            <v>0.0034971516970506798</v>
          </cell>
        </row>
        <row r="191">
          <cell r="C191">
            <v>0.002875330280818846</v>
          </cell>
        </row>
        <row r="269">
          <cell r="C269">
            <v>0.07865776823744601</v>
          </cell>
        </row>
        <row r="279">
          <cell r="C279">
            <v>0.10124731434317866</v>
          </cell>
        </row>
        <row r="325">
          <cell r="C325">
            <v>0.31599999999999995</v>
          </cell>
        </row>
      </sheetData>
      <sheetData sheetId="19">
        <row r="171">
          <cell r="C171">
            <v>0</v>
          </cell>
          <cell r="D171">
            <v>0.00544240264255911</v>
          </cell>
        </row>
        <row r="172">
          <cell r="C172">
            <v>0.003</v>
          </cell>
          <cell r="D172">
            <v>0.006683553042500557</v>
          </cell>
        </row>
        <row r="173">
          <cell r="C173">
            <v>0.006</v>
          </cell>
          <cell r="D173">
            <v>0.007728920726613208</v>
          </cell>
        </row>
        <row r="174">
          <cell r="C174">
            <v>0.009000000000000001</v>
          </cell>
          <cell r="D174">
            <v>0.008213243457906215</v>
          </cell>
        </row>
        <row r="175">
          <cell r="C175">
            <v>0.012</v>
          </cell>
          <cell r="D175">
            <v>0.008418400800781432</v>
          </cell>
        </row>
        <row r="176">
          <cell r="C176">
            <v>0.015</v>
          </cell>
          <cell r="D176">
            <v>0.007799522221895777</v>
          </cell>
        </row>
        <row r="177">
          <cell r="C177">
            <v>0.018</v>
          </cell>
          <cell r="D177">
            <v>0.0073880414390393966</v>
          </cell>
        </row>
        <row r="178">
          <cell r="C178">
            <v>0.020999999999999998</v>
          </cell>
          <cell r="D178">
            <v>0.007037277137406318</v>
          </cell>
        </row>
        <row r="179">
          <cell r="C179">
            <v>0.023999999999999997</v>
          </cell>
          <cell r="D179">
            <v>0.006644312173849823</v>
          </cell>
        </row>
        <row r="180">
          <cell r="C180">
            <v>0.026999999999999996</v>
          </cell>
          <cell r="D180">
            <v>0.00634551053476889</v>
          </cell>
        </row>
        <row r="181">
          <cell r="C181">
            <v>0.03</v>
          </cell>
          <cell r="D181">
            <v>0.0056429982731378</v>
          </cell>
        </row>
        <row r="182">
          <cell r="C182">
            <v>0.033</v>
          </cell>
          <cell r="D182">
            <v>0.005894276571873568</v>
          </cell>
        </row>
        <row r="183">
          <cell r="C183">
            <v>0.036000000000000004</v>
          </cell>
          <cell r="D183">
            <v>0.006204846104687661</v>
          </cell>
        </row>
        <row r="184">
          <cell r="C184">
            <v>0.03900000000000001</v>
          </cell>
          <cell r="D184">
            <v>0.006139232350022169</v>
          </cell>
        </row>
        <row r="185">
          <cell r="C185">
            <v>0.04200000000000001</v>
          </cell>
          <cell r="D185">
            <v>0.005986868755769814</v>
          </cell>
        </row>
        <row r="186">
          <cell r="C186">
            <v>0.04500000000000001</v>
          </cell>
          <cell r="D186">
            <v>0.0058172890320021715</v>
          </cell>
        </row>
        <row r="187">
          <cell r="C187">
            <v>0.048000000000000015</v>
          </cell>
          <cell r="D187">
            <v>0.0056013643519611835</v>
          </cell>
        </row>
        <row r="188">
          <cell r="C188">
            <v>0.05100000000000002</v>
          </cell>
          <cell r="D188">
            <v>0.005089454378113334</v>
          </cell>
        </row>
        <row r="189">
          <cell r="C189">
            <v>0.05400000000000002</v>
          </cell>
          <cell r="D189">
            <v>0.004208303826424713</v>
          </cell>
        </row>
        <row r="190">
          <cell r="C190">
            <v>0.05700000000000002</v>
          </cell>
          <cell r="D190">
            <v>0.0034971516970506798</v>
          </cell>
        </row>
        <row r="191">
          <cell r="C191">
            <v>0.06</v>
          </cell>
          <cell r="D191">
            <v>0.002875330280818846</v>
          </cell>
        </row>
        <row r="269">
          <cell r="C269">
            <v>0.01064516129032258</v>
          </cell>
          <cell r="D269">
            <v>0.07865776823744601</v>
          </cell>
        </row>
        <row r="279">
          <cell r="C279">
            <v>0.0374516129032258</v>
          </cell>
          <cell r="D279">
            <v>0.10124731434317866</v>
          </cell>
        </row>
        <row r="325">
          <cell r="C325">
            <v>0.58</v>
          </cell>
          <cell r="D325">
            <v>0.31599999999999995</v>
          </cell>
        </row>
      </sheetData>
      <sheetData sheetId="20">
        <row r="171">
          <cell r="C171">
            <v>0.05</v>
          </cell>
          <cell r="D171">
            <v>0.09</v>
          </cell>
          <cell r="E171">
            <v>0</v>
          </cell>
          <cell r="F171">
            <v>0</v>
          </cell>
        </row>
        <row r="172">
          <cell r="C172">
            <v>0.105</v>
          </cell>
          <cell r="D172">
            <v>0.121</v>
          </cell>
          <cell r="E172">
            <v>0</v>
          </cell>
          <cell r="F172">
            <v>0</v>
          </cell>
        </row>
        <row r="173">
          <cell r="C173">
            <v>0.15999999999999998</v>
          </cell>
          <cell r="D173">
            <v>0.152</v>
          </cell>
          <cell r="E173">
            <v>0</v>
          </cell>
          <cell r="F173">
            <v>0</v>
          </cell>
        </row>
        <row r="174">
          <cell r="C174">
            <v>0.21499999999999997</v>
          </cell>
          <cell r="D174">
            <v>0.183</v>
          </cell>
          <cell r="E174">
            <v>0.1</v>
          </cell>
          <cell r="F174">
            <v>0</v>
          </cell>
        </row>
        <row r="175">
          <cell r="C175">
            <v>0.26999999999999996</v>
          </cell>
          <cell r="D175">
            <v>0.214</v>
          </cell>
          <cell r="E175">
            <v>0.17142857142857143</v>
          </cell>
          <cell r="F175">
            <v>0</v>
          </cell>
        </row>
        <row r="176">
          <cell r="C176">
            <v>0.32499999999999996</v>
          </cell>
          <cell r="D176">
            <v>0.245</v>
          </cell>
          <cell r="E176">
            <v>0.24285714285714285</v>
          </cell>
          <cell r="F176">
            <v>0</v>
          </cell>
        </row>
        <row r="177">
          <cell r="C177">
            <v>0.37999999999999995</v>
          </cell>
          <cell r="D177">
            <v>0.276</v>
          </cell>
          <cell r="E177">
            <v>0.3142857142857143</v>
          </cell>
          <cell r="F177">
            <v>0</v>
          </cell>
        </row>
        <row r="178">
          <cell r="C178">
            <v>0.43499999999999994</v>
          </cell>
          <cell r="D178">
            <v>0.30700000000000005</v>
          </cell>
          <cell r="E178">
            <v>0.3857142857142857</v>
          </cell>
          <cell r="F178">
            <v>0</v>
          </cell>
        </row>
        <row r="179">
          <cell r="C179">
            <v>0.48999999999999994</v>
          </cell>
          <cell r="D179">
            <v>0.3380000000000001</v>
          </cell>
          <cell r="E179">
            <v>0.4571428571428571</v>
          </cell>
          <cell r="F179">
            <v>0</v>
          </cell>
        </row>
        <row r="180">
          <cell r="C180">
            <v>0.5449999999999999</v>
          </cell>
          <cell r="D180">
            <v>0.3690000000000001</v>
          </cell>
          <cell r="E180">
            <v>0.5285714285714285</v>
          </cell>
          <cell r="F180">
            <v>0</v>
          </cell>
        </row>
        <row r="181">
          <cell r="C181">
            <v>0.6</v>
          </cell>
          <cell r="D181">
            <v>0.4</v>
          </cell>
          <cell r="E181">
            <v>0.6</v>
          </cell>
          <cell r="F181">
            <v>0</v>
          </cell>
        </row>
        <row r="182">
          <cell r="C182">
            <v>0.62</v>
          </cell>
          <cell r="D182">
            <v>0.41500000000000004</v>
          </cell>
          <cell r="E182">
            <v>0.62</v>
          </cell>
          <cell r="F182">
            <v>0</v>
          </cell>
        </row>
        <row r="183">
          <cell r="C183">
            <v>0.64</v>
          </cell>
          <cell r="D183">
            <v>0.43000000000000005</v>
          </cell>
          <cell r="E183">
            <v>0.64</v>
          </cell>
          <cell r="F183">
            <v>0</v>
          </cell>
        </row>
        <row r="184">
          <cell r="C184">
            <v>0.66</v>
          </cell>
          <cell r="D184">
            <v>0.44500000000000006</v>
          </cell>
          <cell r="E184">
            <v>0.66</v>
          </cell>
          <cell r="F184">
            <v>0</v>
          </cell>
        </row>
        <row r="185">
          <cell r="C185">
            <v>0.68</v>
          </cell>
          <cell r="D185">
            <v>0.4600000000000001</v>
          </cell>
          <cell r="E185">
            <v>0.68</v>
          </cell>
          <cell r="F185">
            <v>0</v>
          </cell>
        </row>
        <row r="186">
          <cell r="C186">
            <v>0.7000000000000001</v>
          </cell>
          <cell r="D186">
            <v>0.4750000000000001</v>
          </cell>
          <cell r="E186">
            <v>0.7000000000000001</v>
          </cell>
          <cell r="F186">
            <v>0</v>
          </cell>
        </row>
        <row r="187">
          <cell r="C187">
            <v>0.7200000000000001</v>
          </cell>
          <cell r="D187">
            <v>0.4900000000000001</v>
          </cell>
          <cell r="E187">
            <v>0.7200000000000001</v>
          </cell>
          <cell r="F187">
            <v>0</v>
          </cell>
        </row>
        <row r="188">
          <cell r="C188">
            <v>0.7400000000000001</v>
          </cell>
          <cell r="D188">
            <v>0.5050000000000001</v>
          </cell>
          <cell r="E188">
            <v>0.7400000000000001</v>
          </cell>
          <cell r="F188">
            <v>0</v>
          </cell>
        </row>
        <row r="189">
          <cell r="C189">
            <v>0.7600000000000001</v>
          </cell>
          <cell r="D189">
            <v>0.5200000000000001</v>
          </cell>
          <cell r="E189">
            <v>0.7600000000000001</v>
          </cell>
          <cell r="F189">
            <v>0</v>
          </cell>
        </row>
        <row r="190">
          <cell r="C190">
            <v>0.7800000000000001</v>
          </cell>
          <cell r="D190">
            <v>0.5350000000000001</v>
          </cell>
          <cell r="E190">
            <v>0.7800000000000001</v>
          </cell>
          <cell r="F190">
            <v>0</v>
          </cell>
        </row>
        <row r="191">
          <cell r="C191">
            <v>0.8</v>
          </cell>
          <cell r="D191">
            <v>0.55</v>
          </cell>
          <cell r="E191">
            <v>0.8</v>
          </cell>
          <cell r="F191">
            <v>0</v>
          </cell>
        </row>
        <row r="269">
          <cell r="C269">
            <v>0.037271733402473896</v>
          </cell>
          <cell r="D269">
            <v>0.021579021657825423</v>
          </cell>
          <cell r="E269">
            <v>0.010419306711050617</v>
          </cell>
          <cell r="F269">
            <v>0</v>
          </cell>
        </row>
        <row r="279">
          <cell r="C279">
            <v>0.07874801474532189</v>
          </cell>
          <cell r="D279">
            <v>0.06021307713055554</v>
          </cell>
          <cell r="E279">
            <v>0.027279252081106896</v>
          </cell>
          <cell r="F279">
            <v>0</v>
          </cell>
        </row>
        <row r="325">
          <cell r="C325">
            <v>0.9257142857142857</v>
          </cell>
          <cell r="D325">
            <v>0.40590405904059057</v>
          </cell>
          <cell r="E325">
            <v>0.8936155052016531</v>
          </cell>
          <cell r="F325">
            <v>0.40590405904059057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puts"/>
      <sheetName val="Refrigeration"/>
      <sheetName val="Ventilation-New Bldgs"/>
      <sheetName val="Ventilation"/>
      <sheetName val="Lighting-New Bldgs"/>
      <sheetName val="Lighting"/>
      <sheetName val="Other Heating-New Bldgs"/>
      <sheetName val="Other Heating"/>
      <sheetName val="Gas Heating-New Bldgs"/>
      <sheetName val="Gas Heating"/>
      <sheetName val="Cooling-New Bldgs"/>
      <sheetName val="Cooling"/>
      <sheetName val="Other Cooling-New Bldgs"/>
      <sheetName val="Other Cooling"/>
      <sheetName val="WH-gas-New Bldgs"/>
      <sheetName val="WH-gas"/>
      <sheetName val="WH-elec-New Bldgs"/>
      <sheetName val="WH-elec"/>
      <sheetName val="Misc-elec"/>
    </sheetNames>
    <sheetDataSet>
      <sheetData sheetId="17">
        <row r="181">
          <cell r="M181">
            <v>0.037636375416273446</v>
          </cell>
          <cell r="N181">
            <v>0.006174193548387096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mmercial AEO"/>
      <sheetName val="Achievable case"/>
      <sheetName val="Output Calcs"/>
      <sheetName val="Results by Policy"/>
      <sheetName val="Chart-Achievable Savings"/>
      <sheetName val="CCEs"/>
      <sheetName val="NEMS intensities"/>
      <sheetName val="Fuel prices"/>
      <sheetName val="C Emissions factors"/>
      <sheetName val="shell efficiency "/>
      <sheetName val="Conversions"/>
      <sheetName val="35% case"/>
      <sheetName val="50% case"/>
      <sheetName val="Fuel cells"/>
      <sheetName val="∆cost-∆C inputs"/>
      <sheetName val="Growth rates over time"/>
    </sheetNames>
    <sheetDataSet>
      <sheetData sheetId="1">
        <row r="19">
          <cell r="AW19">
            <v>0.07242008931311153</v>
          </cell>
          <cell r="AY19">
            <v>0.0694490384569537</v>
          </cell>
        </row>
        <row r="34">
          <cell r="AW34">
            <v>0.6629864292628489</v>
          </cell>
          <cell r="AY34">
            <v>0.6404837697428155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76">
          <cell r="B76">
            <v>111.57</v>
          </cell>
        </row>
        <row r="77">
          <cell r="B77">
            <v>113.8014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puts"/>
      <sheetName val="Documentation-Adv"/>
      <sheetName val="Documentation-Mod"/>
      <sheetName val="CCEs"/>
      <sheetName val="Cooking-Gas"/>
      <sheetName val="Lighting"/>
      <sheetName val="Misc-Elec"/>
      <sheetName val="Misc-Gas"/>
      <sheetName val="Office Euip-non PC"/>
      <sheetName val="Refrigeration"/>
      <sheetName val="Ventilation"/>
      <sheetName val="WH-Gas"/>
      <sheetName val="WH-Electric"/>
      <sheetName val="Heating"/>
      <sheetName val="Cooling"/>
      <sheetName val="Whole Building R&amp;D"/>
      <sheetName val="ESB"/>
    </sheetNames>
    <sheetDataSet>
      <sheetData sheetId="5">
        <row r="8">
          <cell r="M8">
            <v>0.032047930283224405</v>
          </cell>
        </row>
      </sheetData>
      <sheetData sheetId="10">
        <row r="5">
          <cell r="D5">
            <v>0.5725</v>
          </cell>
        </row>
      </sheetData>
      <sheetData sheetId="11">
        <row r="5">
          <cell r="D5">
            <v>0.31599999999999995</v>
          </cell>
        </row>
      </sheetData>
      <sheetData sheetId="13">
        <row r="5">
          <cell r="C5">
            <v>0.44888125</v>
          </cell>
        </row>
      </sheetData>
      <sheetData sheetId="14">
        <row r="5">
          <cell r="C5">
            <v>0.49843562500000005</v>
          </cell>
          <cell r="D5">
            <v>0.45693259469696973</v>
          </cell>
          <cell r="E5">
            <v>0.4317689583333334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
  <sheetViews>
    <sheetView workbookViewId="0" topLeftCell="A1">
      <selection activeCell="C1" sqref="C1"/>
    </sheetView>
  </sheetViews>
  <sheetFormatPr defaultColWidth="9.33203125" defaultRowHeight="12.75"/>
  <cols>
    <col min="1" max="16384" width="9" style="0" customWidth="1"/>
  </cols>
  <sheetData>
    <row r="1" spans="1:3" ht="12.75">
      <c r="A1" t="s">
        <v>237</v>
      </c>
      <c r="C1">
        <v>0.07</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V33"/>
  <sheetViews>
    <sheetView workbookViewId="0" topLeftCell="D1">
      <selection activeCell="A8" sqref="A8"/>
    </sheetView>
  </sheetViews>
  <sheetFormatPr defaultColWidth="9.33203125" defaultRowHeight="12.75"/>
  <cols>
    <col min="1" max="16384" width="9" style="0" customWidth="1"/>
  </cols>
  <sheetData>
    <row r="1" spans="1:18" ht="18.75">
      <c r="A1" s="4" t="s">
        <v>106</v>
      </c>
      <c r="R1" s="4" t="s">
        <v>70</v>
      </c>
    </row>
    <row r="3" spans="1:20" ht="12.75">
      <c r="A3" t="s">
        <v>234</v>
      </c>
      <c r="T3" s="7"/>
    </row>
    <row r="4" spans="1:20" ht="12.75">
      <c r="A4" t="s">
        <v>219</v>
      </c>
      <c r="R4" t="s">
        <v>239</v>
      </c>
      <c r="T4" s="2">
        <f>Heating!T4</f>
        <v>0.1</v>
      </c>
    </row>
    <row r="5" spans="1:21" ht="12.75">
      <c r="A5" t="s">
        <v>239</v>
      </c>
      <c r="C5" s="2">
        <f>'[3]Data'!$C$303</f>
        <v>0.5725</v>
      </c>
      <c r="E5" t="s">
        <v>240</v>
      </c>
      <c r="R5" t="s">
        <v>224</v>
      </c>
      <c r="T5">
        <f>Heating!T5</f>
        <v>50</v>
      </c>
      <c r="U5" t="s">
        <v>225</v>
      </c>
    </row>
    <row r="6" spans="1:20" ht="12.75">
      <c r="A6" t="s">
        <v>224</v>
      </c>
      <c r="C6">
        <v>50</v>
      </c>
      <c r="D6" t="s">
        <v>225</v>
      </c>
      <c r="R6" t="s">
        <v>223</v>
      </c>
      <c r="T6" s="11"/>
    </row>
    <row r="7" spans="1:21" ht="12.75">
      <c r="A7" t="s">
        <v>223</v>
      </c>
      <c r="D7" t="s">
        <v>226</v>
      </c>
      <c r="R7" t="s">
        <v>230</v>
      </c>
      <c r="T7" s="8">
        <f>(T4/C5)*C8</f>
        <v>0.23558836843797917</v>
      </c>
      <c r="U7" t="s">
        <v>71</v>
      </c>
    </row>
    <row r="8" spans="1:20" ht="12.75">
      <c r="A8" t="s">
        <v>230</v>
      </c>
      <c r="C8" s="8">
        <f>'[2]HVAC'!$Q$38</f>
        <v>1.3487434093074306</v>
      </c>
      <c r="D8" t="s">
        <v>235</v>
      </c>
      <c r="R8" t="s">
        <v>231</v>
      </c>
      <c r="T8" s="81">
        <f>Heating!T8</f>
        <v>2010</v>
      </c>
    </row>
    <row r="9" spans="1:20" ht="12.75">
      <c r="A9" t="s">
        <v>236</v>
      </c>
      <c r="C9">
        <v>1997</v>
      </c>
      <c r="T9" s="2"/>
    </row>
    <row r="10" spans="2:21" ht="12.75">
      <c r="B10" t="s">
        <v>11</v>
      </c>
      <c r="S10" s="6">
        <f>T8</f>
        <v>2010</v>
      </c>
      <c r="T10" s="6">
        <f>$T8</f>
        <v>2010</v>
      </c>
      <c r="U10" s="6">
        <f>$T8</f>
        <v>2010</v>
      </c>
    </row>
    <row r="11" spans="2:21" ht="12.75">
      <c r="B11" t="s">
        <v>12</v>
      </c>
      <c r="S11" s="6" t="s">
        <v>74</v>
      </c>
      <c r="T11" s="6" t="s">
        <v>74</v>
      </c>
      <c r="U11" s="6" t="s">
        <v>74</v>
      </c>
    </row>
    <row r="12" spans="2:21" ht="12.75">
      <c r="B12" t="s">
        <v>13</v>
      </c>
      <c r="C12" s="6" t="s">
        <v>259</v>
      </c>
      <c r="S12" t="s">
        <v>72</v>
      </c>
      <c r="T12" s="6" t="s">
        <v>73</v>
      </c>
      <c r="U12" t="s">
        <v>75</v>
      </c>
    </row>
    <row r="13" spans="1:21" ht="12.75">
      <c r="A13">
        <v>2000</v>
      </c>
      <c r="B13" s="13">
        <f>ESB!R49</f>
        <v>0.005176689847009735</v>
      </c>
      <c r="C13" s="3">
        <f>ESB!$T49</f>
        <v>0.01292848278859527</v>
      </c>
      <c r="R13">
        <v>2000</v>
      </c>
      <c r="S13" s="3">
        <f>Heating!S13</f>
        <v>0</v>
      </c>
      <c r="T13" s="3">
        <f>Heating!T13</f>
        <v>0.8</v>
      </c>
      <c r="U13" s="3">
        <f>S13*T13</f>
        <v>0</v>
      </c>
    </row>
    <row r="14" spans="1:21" ht="12.75">
      <c r="A14">
        <v>2001</v>
      </c>
      <c r="B14" s="13">
        <f>ESB!R50</f>
        <v>0.006505684705398768</v>
      </c>
      <c r="C14" s="3">
        <f>ESB!$T50</f>
        <v>0.01926825409196863</v>
      </c>
      <c r="R14">
        <v>2001</v>
      </c>
      <c r="S14" s="3">
        <f>Heating!S14</f>
        <v>0</v>
      </c>
      <c r="T14" s="3">
        <f>Heating!T14</f>
        <v>0.8</v>
      </c>
      <c r="U14" s="3">
        <f aca="true" t="shared" si="0" ref="U14:U33">S14*T14</f>
        <v>0</v>
      </c>
    </row>
    <row r="15" spans="1:22" ht="12.75">
      <c r="A15">
        <v>2002</v>
      </c>
      <c r="B15" s="13">
        <f>ESB!R51</f>
        <v>0.007611819714081093</v>
      </c>
      <c r="C15" s="3">
        <f>ESB!$T51</f>
        <v>0.026632801048699684</v>
      </c>
      <c r="E15" s="1"/>
      <c r="R15">
        <v>2002</v>
      </c>
      <c r="S15" s="3">
        <f>Heating!S15</f>
        <v>0</v>
      </c>
      <c r="T15" s="3">
        <f>Heating!T15</f>
        <v>0.8</v>
      </c>
      <c r="U15" s="3">
        <f t="shared" si="0"/>
        <v>0</v>
      </c>
      <c r="V15" s="1"/>
    </row>
    <row r="16" spans="1:22" ht="12.75">
      <c r="A16">
        <v>2003</v>
      </c>
      <c r="B16" s="13">
        <f>ESB!R52</f>
        <v>0.008152944166798097</v>
      </c>
      <c r="C16" s="3">
        <f>ESB!$T52</f>
        <v>0.034443961983875775</v>
      </c>
      <c r="D16" s="1"/>
      <c r="E16" s="1"/>
      <c r="R16">
        <v>2003</v>
      </c>
      <c r="S16" s="3">
        <f>Heating!S16</f>
        <v>0</v>
      </c>
      <c r="T16" s="3">
        <f>Heating!T16</f>
        <v>0.8</v>
      </c>
      <c r="U16" s="3">
        <f t="shared" si="0"/>
        <v>0</v>
      </c>
      <c r="V16" s="1"/>
    </row>
    <row r="17" spans="1:21" ht="12.75">
      <c r="A17">
        <v>2004</v>
      </c>
      <c r="B17" s="13">
        <f>ESB!R53</f>
        <v>0.008390754253664926</v>
      </c>
      <c r="C17" s="3">
        <f>ESB!$T53</f>
        <v>0.042392691059070425</v>
      </c>
      <c r="R17">
        <v>2004</v>
      </c>
      <c r="S17" s="3">
        <f>Heating!S17</f>
        <v>0</v>
      </c>
      <c r="T17" s="3">
        <f>Heating!T17</f>
        <v>0.8</v>
      </c>
      <c r="U17" s="3">
        <f t="shared" si="0"/>
        <v>0</v>
      </c>
    </row>
    <row r="18" spans="1:21" ht="12.75">
      <c r="A18">
        <v>2005</v>
      </c>
      <c r="B18" s="13">
        <f>ESB!R54</f>
        <v>0.008771990784011852</v>
      </c>
      <c r="C18" s="3">
        <f>ESB!$T54</f>
        <v>0.05062064928260063</v>
      </c>
      <c r="R18">
        <v>2005</v>
      </c>
      <c r="S18" s="3">
        <f>Heating!S18</f>
        <v>0</v>
      </c>
      <c r="T18" s="3">
        <f>Heating!T18</f>
        <v>0.8</v>
      </c>
      <c r="U18" s="3">
        <f t="shared" si="0"/>
        <v>0</v>
      </c>
    </row>
    <row r="19" spans="1:21" ht="12.75">
      <c r="A19">
        <v>2006</v>
      </c>
      <c r="B19" s="13">
        <f>ESB!R55</f>
        <v>0.009311627610768286</v>
      </c>
      <c r="C19" s="3">
        <f>ESB!$T55</f>
        <v>0.05928265355607986</v>
      </c>
      <c r="R19">
        <v>2006</v>
      </c>
      <c r="S19" s="3">
        <f>Heating!S19</f>
        <v>0</v>
      </c>
      <c r="T19" s="3">
        <f>Heating!T19</f>
        <v>0.8</v>
      </c>
      <c r="U19" s="3">
        <f t="shared" si="0"/>
        <v>0</v>
      </c>
    </row>
    <row r="20" spans="1:21" ht="12.75">
      <c r="A20">
        <v>2007</v>
      </c>
      <c r="B20" s="13">
        <f>ESB!R56</f>
        <v>0.009951880538052717</v>
      </c>
      <c r="C20" s="3">
        <f>ESB!$T56</f>
        <v>0.06847374979380777</v>
      </c>
      <c r="R20">
        <v>2007</v>
      </c>
      <c r="S20" s="3">
        <f>Heating!S20</f>
        <v>0</v>
      </c>
      <c r="T20" s="3">
        <f>Heating!T20</f>
        <v>0.8</v>
      </c>
      <c r="U20" s="3">
        <f t="shared" si="0"/>
        <v>0</v>
      </c>
    </row>
    <row r="21" spans="1:21" ht="12.75">
      <c r="A21">
        <v>2008</v>
      </c>
      <c r="B21" s="13">
        <f>ESB!R57</f>
        <v>0.010523969033989814</v>
      </c>
      <c r="C21" s="3">
        <f>ESB!$T57</f>
        <v>0.07811898363794616</v>
      </c>
      <c r="R21">
        <v>2008</v>
      </c>
      <c r="S21" s="3">
        <f>Heating!S21</f>
        <v>0</v>
      </c>
      <c r="T21" s="3">
        <f>Heating!T21</f>
        <v>0.8</v>
      </c>
      <c r="U21" s="3">
        <f t="shared" si="0"/>
        <v>0</v>
      </c>
    </row>
    <row r="22" spans="1:21" ht="12.75">
      <c r="A22">
        <v>2009</v>
      </c>
      <c r="B22" s="13">
        <f>ESB!R58</f>
        <v>0.011231390908071326</v>
      </c>
      <c r="C22" s="3">
        <f>ESB!$T58</f>
        <v>0.08834786044207543</v>
      </c>
      <c r="R22">
        <v>2009</v>
      </c>
      <c r="S22" s="3">
        <f>Heating!S22</f>
        <v>0</v>
      </c>
      <c r="T22" s="3">
        <f>Heating!T22</f>
        <v>0.8</v>
      </c>
      <c r="U22" s="3">
        <f t="shared" si="0"/>
        <v>0</v>
      </c>
    </row>
    <row r="23" spans="1:21" ht="12.75">
      <c r="A23">
        <v>2010</v>
      </c>
      <c r="B23" s="13">
        <f>ESB!R59</f>
        <v>0.01155360958162611</v>
      </c>
      <c r="C23" s="3">
        <f>ESB!$T59</f>
        <v>0.09876768701704117</v>
      </c>
      <c r="R23">
        <v>2010</v>
      </c>
      <c r="S23" s="3">
        <f>Heating!S23</f>
        <v>0.03</v>
      </c>
      <c r="T23" s="3">
        <f>Heating!T23</f>
        <v>0.8</v>
      </c>
      <c r="U23" s="3">
        <f t="shared" si="0"/>
        <v>0.024</v>
      </c>
    </row>
    <row r="24" spans="1:21" ht="12.75">
      <c r="A24">
        <v>2011</v>
      </c>
      <c r="B24" s="13">
        <f>ESB!R60</f>
        <v>0.011858311286496368</v>
      </c>
      <c r="C24" s="3">
        <f>ESB!$T60</f>
        <v>0.1093584959035163</v>
      </c>
      <c r="R24">
        <v>2011</v>
      </c>
      <c r="S24" s="3">
        <f>Heating!S24</f>
        <v>0.044</v>
      </c>
      <c r="T24" s="3">
        <f>Heating!T24</f>
        <v>0.8</v>
      </c>
      <c r="U24" s="3">
        <f t="shared" si="0"/>
        <v>0.0352</v>
      </c>
    </row>
    <row r="25" spans="1:21" ht="12.75">
      <c r="A25">
        <v>2012</v>
      </c>
      <c r="B25" s="13">
        <f>ESB!R61</f>
        <v>0.01218377890512508</v>
      </c>
      <c r="C25" s="3">
        <f>ESB!$T61</f>
        <v>0.1201388587703929</v>
      </c>
      <c r="R25">
        <v>2012</v>
      </c>
      <c r="S25" s="3">
        <f>Heating!S25</f>
        <v>0.057999999999999996</v>
      </c>
      <c r="T25" s="3">
        <f>Heating!T25</f>
        <v>0.8</v>
      </c>
      <c r="U25" s="3">
        <f t="shared" si="0"/>
        <v>0.0464</v>
      </c>
    </row>
    <row r="26" spans="1:21" ht="12.75">
      <c r="A26">
        <v>2013</v>
      </c>
      <c r="B26" s="13">
        <f>ESB!R62</f>
        <v>0.012098365703800684</v>
      </c>
      <c r="C26" s="3">
        <f>ESB!$T62</f>
        <v>0.13069546221948963</v>
      </c>
      <c r="R26">
        <v>2013</v>
      </c>
      <c r="S26" s="3">
        <f>Heating!S26</f>
        <v>0.072</v>
      </c>
      <c r="T26" s="3">
        <f>Heating!T26</f>
        <v>0.8</v>
      </c>
      <c r="U26" s="3">
        <f t="shared" si="0"/>
        <v>0.0576</v>
      </c>
    </row>
    <row r="27" spans="1:21" ht="12.75">
      <c r="A27">
        <v>2014</v>
      </c>
      <c r="B27" s="13">
        <f>ESB!R63</f>
        <v>0.011980560442955467</v>
      </c>
      <c r="C27" s="3">
        <f>ESB!$T63</f>
        <v>0.14099878573366587</v>
      </c>
      <c r="R27">
        <v>2014</v>
      </c>
      <c r="S27" s="3">
        <f>Heating!S27</f>
        <v>0.086</v>
      </c>
      <c r="T27" s="3">
        <f>Heating!T27</f>
        <v>0.8</v>
      </c>
      <c r="U27" s="3">
        <f t="shared" si="0"/>
        <v>0.0688</v>
      </c>
    </row>
    <row r="28" spans="1:21" ht="12.75">
      <c r="A28">
        <v>2015</v>
      </c>
      <c r="B28" s="13">
        <f>ESB!R64</f>
        <v>0.01182214424935476</v>
      </c>
      <c r="C28" s="3">
        <f>ESB!$T64</f>
        <v>0.151011468764326</v>
      </c>
      <c r="R28">
        <v>2015</v>
      </c>
      <c r="S28" s="3">
        <f>Heating!S28</f>
        <v>0.1</v>
      </c>
      <c r="T28" s="3">
        <f>Heating!T28</f>
        <v>0.8</v>
      </c>
      <c r="U28" s="3">
        <f t="shared" si="0"/>
        <v>0.08000000000000002</v>
      </c>
    </row>
    <row r="29" spans="1:21" ht="12.75">
      <c r="A29">
        <v>2016</v>
      </c>
      <c r="B29" s="13">
        <f>ESB!R65</f>
        <v>0.011594463812668104</v>
      </c>
      <c r="C29" s="3">
        <f>ESB!$T65</f>
        <v>0.1606679769067708</v>
      </c>
      <c r="R29">
        <v>2016</v>
      </c>
      <c r="S29" s="3">
        <f>Heating!S29</f>
        <v>0.11</v>
      </c>
      <c r="T29" s="3">
        <f>Heating!T29</f>
        <v>0.8</v>
      </c>
      <c r="U29" s="3">
        <f t="shared" si="0"/>
        <v>0.08800000000000001</v>
      </c>
    </row>
    <row r="30" spans="1:21" ht="12.75">
      <c r="A30">
        <v>2017</v>
      </c>
      <c r="B30" s="13">
        <f>ESB!R66</f>
        <v>0.011136317458150293</v>
      </c>
      <c r="C30" s="3">
        <f>ESB!$T66</f>
        <v>0.16974241509563381</v>
      </c>
      <c r="R30">
        <v>2017</v>
      </c>
      <c r="S30" s="3">
        <f>Heating!S30</f>
        <v>0.12</v>
      </c>
      <c r="T30" s="3">
        <f>Heating!T30</f>
        <v>0.8</v>
      </c>
      <c r="U30" s="3">
        <f t="shared" si="0"/>
        <v>0.096</v>
      </c>
    </row>
    <row r="31" spans="1:21" ht="12.75">
      <c r="A31">
        <v>2018</v>
      </c>
      <c r="B31" s="13">
        <f>ESB!R67</f>
        <v>0.010267091982265865</v>
      </c>
      <c r="C31" s="3">
        <f>ESB!$T67</f>
        <v>0.1778311740115194</v>
      </c>
      <c r="R31">
        <v>2018</v>
      </c>
      <c r="S31" s="3">
        <f>Heating!S31</f>
        <v>0.13</v>
      </c>
      <c r="T31" s="3">
        <f>Heating!T31</f>
        <v>0.8</v>
      </c>
      <c r="U31" s="3">
        <f t="shared" si="0"/>
        <v>0.10400000000000001</v>
      </c>
    </row>
    <row r="32" spans="1:21" ht="12.75">
      <c r="A32">
        <v>2019</v>
      </c>
      <c r="B32" s="13">
        <f>ESB!R68</f>
        <v>0.00959023966429779</v>
      </c>
      <c r="C32" s="3">
        <f>ESB!$T68</f>
        <v>0.1851392762008421</v>
      </c>
      <c r="R32">
        <v>2019</v>
      </c>
      <c r="S32" s="3">
        <f>Heating!S32</f>
        <v>0.14</v>
      </c>
      <c r="T32" s="3">
        <f>Heating!T32</f>
        <v>0.8</v>
      </c>
      <c r="U32" s="3">
        <f t="shared" si="0"/>
        <v>0.11200000000000002</v>
      </c>
    </row>
    <row r="33" spans="1:21" ht="12.75">
      <c r="A33">
        <v>2020</v>
      </c>
      <c r="B33" s="13">
        <f>ESB!R69</f>
        <v>0.008965602658823096</v>
      </c>
      <c r="C33" s="3">
        <f>ESB!$T69</f>
        <v>0.19172895527564654</v>
      </c>
      <c r="R33">
        <v>2020</v>
      </c>
      <c r="S33" s="3">
        <f>Heating!S33</f>
        <v>0.15</v>
      </c>
      <c r="T33" s="3">
        <f>Heating!T33</f>
        <v>0.8</v>
      </c>
      <c r="U33" s="3">
        <f t="shared" si="0"/>
        <v>0.12</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V33"/>
  <sheetViews>
    <sheetView workbookViewId="0" topLeftCell="E1">
      <selection activeCell="C17" sqref="C17"/>
    </sheetView>
  </sheetViews>
  <sheetFormatPr defaultColWidth="9.33203125" defaultRowHeight="12.75"/>
  <cols>
    <col min="1" max="16384" width="9" style="0" customWidth="1"/>
  </cols>
  <sheetData>
    <row r="1" spans="1:18" ht="18.75">
      <c r="A1" s="4" t="s">
        <v>114</v>
      </c>
      <c r="R1" s="4" t="s">
        <v>70</v>
      </c>
    </row>
    <row r="3" spans="1:20" ht="12.75">
      <c r="A3" t="s">
        <v>234</v>
      </c>
      <c r="T3" s="7"/>
    </row>
    <row r="4" spans="1:20" ht="12.75">
      <c r="A4" t="s">
        <v>219</v>
      </c>
      <c r="C4" s="94">
        <f>('[6]Achievable case'!$AW$34-'[6]Achievable case'!$AY$34+('[6]Achievable case'!$AW$19-'[6]Achievable case'!$AY$19)*('[5]WH-elec'!$M$181/('[5]WH-elec'!$M$181+'[5]WH-elec'!$N$181)))*10^9/(ESB!$AA$59*10^6)</f>
        <v>0.0030556011801596</v>
      </c>
      <c r="D4" t="s">
        <v>33</v>
      </c>
      <c r="R4" t="s">
        <v>239</v>
      </c>
      <c r="T4" s="2">
        <f>Heating!T4</f>
        <v>0.1</v>
      </c>
    </row>
    <row r="5" spans="1:21" ht="12.75">
      <c r="A5" t="s">
        <v>239</v>
      </c>
      <c r="C5" s="2">
        <f>'[3]Data'!$G$186</f>
        <v>0.31599999999999995</v>
      </c>
      <c r="E5" t="s">
        <v>112</v>
      </c>
      <c r="R5" t="s">
        <v>224</v>
      </c>
      <c r="T5">
        <f>Heating!T5</f>
        <v>50</v>
      </c>
      <c r="U5" t="s">
        <v>225</v>
      </c>
    </row>
    <row r="6" spans="1:20" ht="12.75">
      <c r="A6" t="s">
        <v>224</v>
      </c>
      <c r="C6">
        <v>50</v>
      </c>
      <c r="D6" t="s">
        <v>225</v>
      </c>
      <c r="R6" t="s">
        <v>223</v>
      </c>
      <c r="T6" s="11"/>
    </row>
    <row r="7" spans="1:21" ht="12.75">
      <c r="A7" t="s">
        <v>223</v>
      </c>
      <c r="C7" s="99">
        <f>ESB!I79</f>
        <v>0.09254618026547853</v>
      </c>
      <c r="D7" t="s">
        <v>226</v>
      </c>
      <c r="R7" t="s">
        <v>230</v>
      </c>
      <c r="T7" s="8">
        <f>(T4/C5)*C8</f>
        <v>0.6944998793976709</v>
      </c>
      <c r="U7" t="s">
        <v>71</v>
      </c>
    </row>
    <row r="8" spans="1:20" ht="12.75">
      <c r="A8" t="s">
        <v>230</v>
      </c>
      <c r="C8" s="8">
        <f>-PMT(discount_rate,C6,C7)/C4</f>
        <v>2.1946196188966396</v>
      </c>
      <c r="D8" t="s">
        <v>141</v>
      </c>
      <c r="R8" t="s">
        <v>231</v>
      </c>
      <c r="T8" s="81">
        <f>Heating!T8</f>
        <v>2010</v>
      </c>
    </row>
    <row r="9" spans="1:20" ht="12.75">
      <c r="A9" t="s">
        <v>236</v>
      </c>
      <c r="C9">
        <v>1997</v>
      </c>
      <c r="T9" s="2"/>
    </row>
    <row r="10" spans="2:21" ht="12.75">
      <c r="B10" t="s">
        <v>11</v>
      </c>
      <c r="C10" s="6" t="s">
        <v>107</v>
      </c>
      <c r="D10" s="6" t="s">
        <v>107</v>
      </c>
      <c r="S10" s="6">
        <f>T8</f>
        <v>2010</v>
      </c>
      <c r="T10" s="6">
        <f>$T8</f>
        <v>2010</v>
      </c>
      <c r="U10" s="6">
        <f>$T8</f>
        <v>2010</v>
      </c>
    </row>
    <row r="11" spans="2:21" ht="12.75">
      <c r="B11" t="s">
        <v>12</v>
      </c>
      <c r="C11" s="6" t="s">
        <v>108</v>
      </c>
      <c r="D11" s="6" t="s">
        <v>108</v>
      </c>
      <c r="S11" s="6" t="s">
        <v>74</v>
      </c>
      <c r="T11" s="6" t="s">
        <v>74</v>
      </c>
      <c r="U11" s="6" t="s">
        <v>74</v>
      </c>
    </row>
    <row r="12" spans="2:21" ht="12.75">
      <c r="B12" t="s">
        <v>13</v>
      </c>
      <c r="C12" t="s">
        <v>110</v>
      </c>
      <c r="D12" t="s">
        <v>113</v>
      </c>
      <c r="S12" t="s">
        <v>72</v>
      </c>
      <c r="T12" s="6" t="s">
        <v>73</v>
      </c>
      <c r="U12" t="s">
        <v>75</v>
      </c>
    </row>
    <row r="13" spans="1:21" ht="12.75">
      <c r="A13">
        <v>2000</v>
      </c>
      <c r="B13" s="13">
        <f>ESB!$Z49</f>
        <v>0.00544240264255911</v>
      </c>
      <c r="C13" s="3">
        <f>ESB!$AB49</f>
        <v>0.013625392906815019</v>
      </c>
      <c r="D13" s="1">
        <f>'[2]Water Heating'!$E$6*C13</f>
        <v>0.006569310362112385</v>
      </c>
      <c r="R13">
        <v>2000</v>
      </c>
      <c r="S13" s="3">
        <f>Heating!S13</f>
        <v>0</v>
      </c>
      <c r="T13" s="3">
        <f>Heating!T13</f>
        <v>0.8</v>
      </c>
      <c r="U13" s="3">
        <f>S13*T13</f>
        <v>0</v>
      </c>
    </row>
    <row r="14" spans="1:21" ht="12.75">
      <c r="A14">
        <v>2001</v>
      </c>
      <c r="B14" s="13">
        <f>ESB!$Z50</f>
        <v>0.006683553042500557</v>
      </c>
      <c r="C14" s="3">
        <f>ESB!$AB50</f>
        <v>0.020134088982100774</v>
      </c>
      <c r="D14" s="1">
        <f>'[2]Water Heating'!$E$6*C14</f>
        <v>0.009707395616874382</v>
      </c>
      <c r="R14">
        <v>2001</v>
      </c>
      <c r="S14" s="3">
        <f>Heating!S14</f>
        <v>0</v>
      </c>
      <c r="T14" s="3">
        <f>Heating!T14</f>
        <v>0.8</v>
      </c>
      <c r="U14" s="3">
        <f aca="true" t="shared" si="0" ref="U14:U33">S14*T14</f>
        <v>0</v>
      </c>
    </row>
    <row r="15" spans="1:22" ht="12.75">
      <c r="A15">
        <v>2002</v>
      </c>
      <c r="B15" s="13">
        <f>ESB!$Z51</f>
        <v>0.007728920726613208</v>
      </c>
      <c r="C15" s="3">
        <f>ESB!$AB51</f>
        <v>0.02760462554606116</v>
      </c>
      <c r="D15" s="1">
        <f>'[2]Water Heating'!$E$6*C15</f>
        <v>0.013309220063024329</v>
      </c>
      <c r="E15" s="1"/>
      <c r="R15">
        <v>2002</v>
      </c>
      <c r="S15" s="3">
        <f>Heating!S15</f>
        <v>0</v>
      </c>
      <c r="T15" s="3">
        <f>Heating!T15</f>
        <v>0.8</v>
      </c>
      <c r="U15" s="3">
        <f t="shared" si="0"/>
        <v>0</v>
      </c>
      <c r="V15" s="1"/>
    </row>
    <row r="16" spans="1:22" ht="12.75">
      <c r="A16">
        <v>2003</v>
      </c>
      <c r="B16" s="13">
        <f>ESB!$Z52</f>
        <v>0.008213243457906215</v>
      </c>
      <c r="C16" s="3">
        <f>ESB!$AB52</f>
        <v>0.03546361418452138</v>
      </c>
      <c r="D16" s="1">
        <f>'[2]Water Heating'!$E$6*C16</f>
        <v>0.01709833174967062</v>
      </c>
      <c r="E16" s="1"/>
      <c r="R16">
        <v>2003</v>
      </c>
      <c r="S16" s="3">
        <f>Heating!S16</f>
        <v>0</v>
      </c>
      <c r="T16" s="3">
        <f>Heating!T16</f>
        <v>0.8</v>
      </c>
      <c r="U16" s="3">
        <f t="shared" si="0"/>
        <v>0</v>
      </c>
      <c r="V16" s="1"/>
    </row>
    <row r="17" spans="1:21" ht="12.75">
      <c r="A17">
        <v>2004</v>
      </c>
      <c r="B17" s="13">
        <f>ESB!$Z53</f>
        <v>0.008418400800781432</v>
      </c>
      <c r="C17" s="3">
        <f>ESB!$AB53</f>
        <v>0.04342690443801873</v>
      </c>
      <c r="D17" s="1">
        <f>'[2]Water Heating'!$E$6*C17</f>
        <v>0.020937731137019154</v>
      </c>
      <c r="R17">
        <v>2004</v>
      </c>
      <c r="S17" s="3">
        <f>Heating!S17</f>
        <v>0</v>
      </c>
      <c r="T17" s="3">
        <f>Heating!T17</f>
        <v>0.8</v>
      </c>
      <c r="U17" s="3">
        <f t="shared" si="0"/>
        <v>0</v>
      </c>
    </row>
    <row r="18" spans="1:21" ht="12.75">
      <c r="A18">
        <v>2005</v>
      </c>
      <c r="B18" s="13">
        <f>ESB!$Z54</f>
        <v>0.008799522221895777</v>
      </c>
      <c r="C18" s="3">
        <f>ESB!$AB54</f>
        <v>0.051669121864559873</v>
      </c>
      <c r="D18" s="1">
        <f>'[2]Water Heating'!$E$6*C18</f>
        <v>0.024911611722868387</v>
      </c>
      <c r="R18">
        <v>2005</v>
      </c>
      <c r="S18" s="3">
        <f>Heating!S18</f>
        <v>0</v>
      </c>
      <c r="T18" s="3">
        <f>Heating!T18</f>
        <v>0.8</v>
      </c>
      <c r="U18" s="3">
        <f t="shared" si="0"/>
        <v>0</v>
      </c>
    </row>
    <row r="19" spans="1:21" ht="12.75">
      <c r="A19">
        <v>2006</v>
      </c>
      <c r="B19" s="13">
        <f>ESB!$Z55</f>
        <v>0.009388041439039397</v>
      </c>
      <c r="C19" s="3">
        <f>ESB!$AB55</f>
        <v>0.06039408474067797</v>
      </c>
      <c r="D19" s="1">
        <f>'[2]Water Heating'!$E$6*C19</f>
        <v>0.02911824190396652</v>
      </c>
      <c r="R19">
        <v>2006</v>
      </c>
      <c r="S19" s="3">
        <f>Heating!S19</f>
        <v>0</v>
      </c>
      <c r="T19" s="3">
        <f>Heating!T19</f>
        <v>0.8</v>
      </c>
      <c r="U19" s="3">
        <f t="shared" si="0"/>
        <v>0</v>
      </c>
    </row>
    <row r="20" spans="1:21" ht="12.75">
      <c r="A20">
        <v>2007</v>
      </c>
      <c r="B20" s="13">
        <f>ESB!$Z56</f>
        <v>0.010037277137406318</v>
      </c>
      <c r="C20" s="3">
        <f>ESB!$AB56</f>
        <v>0.06965631439375179</v>
      </c>
      <c r="D20" s="1">
        <f>'[2]Water Heating'!$E$6*C20</f>
        <v>0.03358390844674701</v>
      </c>
      <c r="R20">
        <v>2007</v>
      </c>
      <c r="S20" s="3">
        <f>Heating!S20</f>
        <v>0</v>
      </c>
      <c r="T20" s="3">
        <f>Heating!T20</f>
        <v>0.8</v>
      </c>
      <c r="U20" s="3">
        <f t="shared" si="0"/>
        <v>0</v>
      </c>
    </row>
    <row r="21" spans="1:21" ht="12.75">
      <c r="A21">
        <v>2008</v>
      </c>
      <c r="B21" s="13">
        <f>ESB!$Z57</f>
        <v>0.010644312173849823</v>
      </c>
      <c r="C21" s="3">
        <f>ESB!$AB57</f>
        <v>0.07940671532661567</v>
      </c>
      <c r="D21" s="1">
        <f>'[2]Water Heating'!$E$6*C21</f>
        <v>0.03828494057999106</v>
      </c>
      <c r="R21">
        <v>2008</v>
      </c>
      <c r="S21" s="3">
        <f>Heating!S21</f>
        <v>0</v>
      </c>
      <c r="T21" s="3">
        <f>Heating!T21</f>
        <v>0.8</v>
      </c>
      <c r="U21" s="3">
        <f t="shared" si="0"/>
        <v>0</v>
      </c>
    </row>
    <row r="22" spans="1:21" ht="12.75">
      <c r="A22">
        <v>2009</v>
      </c>
      <c r="B22" s="13">
        <f>ESB!$Z58</f>
        <v>0.01134551053476889</v>
      </c>
      <c r="C22" s="3">
        <f>ESB!$AB58</f>
        <v>0.0897331860793056</v>
      </c>
      <c r="D22" s="1">
        <f>'[2]Water Heating'!$E$6*C22</f>
        <v>0.04326371746984985</v>
      </c>
      <c r="R22">
        <v>2009</v>
      </c>
      <c r="S22" s="3">
        <f>Heating!S22</f>
        <v>0</v>
      </c>
      <c r="T22" s="3">
        <f>Heating!T22</f>
        <v>0.8</v>
      </c>
      <c r="U22" s="3">
        <f t="shared" si="0"/>
        <v>0</v>
      </c>
    </row>
    <row r="23" spans="1:21" ht="12.75">
      <c r="A23">
        <v>2010</v>
      </c>
      <c r="B23" s="13">
        <f>ESB!$Z59</f>
        <v>0.0116429982731378</v>
      </c>
      <c r="C23" s="3">
        <f>ESB!$AB59</f>
        <v>0.10022462322802982</v>
      </c>
      <c r="D23" s="1">
        <f>'[2]Water Heating'!$E$6*C23</f>
        <v>0.04832203081508133</v>
      </c>
      <c r="R23">
        <v>2010</v>
      </c>
      <c r="S23" s="3">
        <f>Heating!S23</f>
        <v>0.03</v>
      </c>
      <c r="T23" s="3">
        <f>Heating!T23</f>
        <v>0.8</v>
      </c>
      <c r="U23" s="3">
        <f t="shared" si="0"/>
        <v>0.024</v>
      </c>
    </row>
    <row r="24" spans="1:21" ht="12.75">
      <c r="A24">
        <v>2011</v>
      </c>
      <c r="B24" s="13">
        <f>ESB!$Z60</f>
        <v>0.011894276571873568</v>
      </c>
      <c r="C24" s="3">
        <f>ESB!$AB60</f>
        <v>0.11083270029154764</v>
      </c>
      <c r="D24" s="1">
        <f>'[2]Water Heating'!$E$6*C24</f>
        <v>0.05343658061574055</v>
      </c>
      <c r="R24">
        <v>2011</v>
      </c>
      <c r="S24" s="3">
        <f>Heating!S24</f>
        <v>0.044</v>
      </c>
      <c r="T24" s="3">
        <f>Heating!T24</f>
        <v>0.8</v>
      </c>
      <c r="U24" s="3">
        <f t="shared" si="0"/>
        <v>0.0352</v>
      </c>
    </row>
    <row r="25" spans="1:21" ht="12.75">
      <c r="A25">
        <v>2012</v>
      </c>
      <c r="B25" s="13">
        <f>ESB!$Z61</f>
        <v>0.012204846104687661</v>
      </c>
      <c r="C25" s="3">
        <f>ESB!$AB61</f>
        <v>0.12161521164422136</v>
      </c>
      <c r="D25" s="1">
        <f>'[2]Water Heating'!$E$6*C25</f>
        <v>0.05863523169634792</v>
      </c>
      <c r="R25">
        <v>2012</v>
      </c>
      <c r="S25" s="3">
        <f>Heating!S25</f>
        <v>0.057999999999999996</v>
      </c>
      <c r="T25" s="3">
        <f>Heating!T25</f>
        <v>0.8</v>
      </c>
      <c r="U25" s="3">
        <f t="shared" si="0"/>
        <v>0.0464</v>
      </c>
    </row>
    <row r="26" spans="1:21" ht="12.75">
      <c r="A26">
        <v>2013</v>
      </c>
      <c r="B26" s="13">
        <f>ESB!$Z62</f>
        <v>0.012139232350022169</v>
      </c>
      <c r="C26" s="3">
        <f>ESB!$AB62</f>
        <v>0.1321937354538932</v>
      </c>
      <c r="D26" s="1">
        <f>'[2]Water Heating'!$E$6*C26</f>
        <v>0.06373553277052621</v>
      </c>
      <c r="R26">
        <v>2013</v>
      </c>
      <c r="S26" s="3">
        <f>Heating!S26</f>
        <v>0.072</v>
      </c>
      <c r="T26" s="3">
        <f>Heating!T26</f>
        <v>0.8</v>
      </c>
      <c r="U26" s="3">
        <f t="shared" si="0"/>
        <v>0.0576</v>
      </c>
    </row>
    <row r="27" spans="1:21" ht="12.75">
      <c r="A27">
        <v>2014</v>
      </c>
      <c r="B27" s="13">
        <f>ESB!$Z63</f>
        <v>0.011986868755769814</v>
      </c>
      <c r="C27" s="3">
        <f>ESB!$AB63</f>
        <v>0.1424841396875499</v>
      </c>
      <c r="D27" s="1">
        <f>'[2]Water Heating'!$E$6*C27</f>
        <v>0.06869692064570991</v>
      </c>
      <c r="R27">
        <v>2014</v>
      </c>
      <c r="S27" s="3">
        <f>Heating!S27</f>
        <v>0.086</v>
      </c>
      <c r="T27" s="3">
        <f>Heating!T27</f>
        <v>0.8</v>
      </c>
      <c r="U27" s="3">
        <f t="shared" si="0"/>
        <v>0.0688</v>
      </c>
    </row>
    <row r="28" spans="1:21" ht="12.75">
      <c r="A28">
        <v>2015</v>
      </c>
      <c r="B28" s="13">
        <f>ESB!$Z64</f>
        <v>0.011817289032002172</v>
      </c>
      <c r="C28" s="3">
        <f>ESB!$AB64</f>
        <v>0.15247290570283129</v>
      </c>
      <c r="D28" s="1">
        <f>'[2]Water Heating'!$E$6*C28</f>
        <v>0.07351287747995894</v>
      </c>
      <c r="R28">
        <v>2015</v>
      </c>
      <c r="S28" s="3">
        <f>Heating!S28</f>
        <v>0.1</v>
      </c>
      <c r="T28" s="3">
        <f>Heating!T28</f>
        <v>0.8</v>
      </c>
      <c r="U28" s="3">
        <f t="shared" si="0"/>
        <v>0.08000000000000002</v>
      </c>
    </row>
    <row r="29" spans="1:21" ht="12.75">
      <c r="A29">
        <v>2016</v>
      </c>
      <c r="B29" s="13">
        <f>ESB!$Z65</f>
        <v>0.011601364351961184</v>
      </c>
      <c r="C29" s="3">
        <f>ESB!$AB65</f>
        <v>0.16211755951763868</v>
      </c>
      <c r="D29" s="1">
        <f>'[2]Water Heating'!$E$6*C29</f>
        <v>0.07816292498155508</v>
      </c>
      <c r="R29">
        <v>2016</v>
      </c>
      <c r="S29" s="3">
        <f>Heating!S29</f>
        <v>0.11</v>
      </c>
      <c r="T29" s="3">
        <f>Heating!T29</f>
        <v>0.8</v>
      </c>
      <c r="U29" s="3">
        <f t="shared" si="0"/>
        <v>0.08800000000000001</v>
      </c>
    </row>
    <row r="30" spans="1:21" ht="12.75">
      <c r="A30">
        <v>2017</v>
      </c>
      <c r="B30" s="13">
        <f>ESB!$Z66</f>
        <v>0.011089454378113334</v>
      </c>
      <c r="C30" s="3">
        <f>ESB!$AB66</f>
        <v>0.1711265318881219</v>
      </c>
      <c r="D30" s="1">
        <f>'[2]Water Heating'!$E$6*C30</f>
        <v>0.08250648673791355</v>
      </c>
      <c r="R30">
        <v>2017</v>
      </c>
      <c r="S30" s="3">
        <f>Heating!S30</f>
        <v>0.12</v>
      </c>
      <c r="T30" s="3">
        <f>Heating!T30</f>
        <v>0.8</v>
      </c>
      <c r="U30" s="3">
        <f t="shared" si="0"/>
        <v>0.096</v>
      </c>
    </row>
    <row r="31" spans="1:21" ht="12.75">
      <c r="A31">
        <v>2018</v>
      </c>
      <c r="B31" s="13">
        <f>ESB!$Z67</f>
        <v>0.010208303826424714</v>
      </c>
      <c r="C31" s="3">
        <f>ESB!$AB67</f>
        <v>0.1791387400437218</v>
      </c>
      <c r="D31" s="1">
        <f>'[2]Water Heating'!$E$6*C31</f>
        <v>0.08636947127127387</v>
      </c>
      <c r="R31">
        <v>2018</v>
      </c>
      <c r="S31" s="3">
        <f>Heating!S31</f>
        <v>0.13</v>
      </c>
      <c r="T31" s="3">
        <f>Heating!T31</f>
        <v>0.8</v>
      </c>
      <c r="U31" s="3">
        <f t="shared" si="0"/>
        <v>0.10400000000000001</v>
      </c>
    </row>
    <row r="32" spans="1:21" ht="12.75">
      <c r="A32">
        <v>2019</v>
      </c>
      <c r="B32" s="13">
        <f>ESB!$Z68</f>
        <v>0.00949715169705068</v>
      </c>
      <c r="C32" s="3">
        <f>ESB!$AB68</f>
        <v>0.1863369740501818</v>
      </c>
      <c r="D32" s="1">
        <f>'[2]Water Heating'!$E$6*C32</f>
        <v>0.08984000849327908</v>
      </c>
      <c r="R32">
        <v>2019</v>
      </c>
      <c r="S32" s="3">
        <f>Heating!S32</f>
        <v>0.14</v>
      </c>
      <c r="T32" s="3">
        <f>Heating!T32</f>
        <v>0.8</v>
      </c>
      <c r="U32" s="3">
        <f t="shared" si="0"/>
        <v>0.11200000000000002</v>
      </c>
    </row>
    <row r="33" spans="1:21" ht="12.75">
      <c r="A33">
        <v>2020</v>
      </c>
      <c r="B33" s="13">
        <f>ESB!$Z69</f>
        <v>0.008875330280818846</v>
      </c>
      <c r="C33" s="3">
        <f>ESB!$AB69</f>
        <v>0.19282101048830336</v>
      </c>
      <c r="D33" s="1">
        <f>'[2]Water Heating'!$E$6*C33</f>
        <v>0.0929662044167714</v>
      </c>
      <c r="R33">
        <v>2020</v>
      </c>
      <c r="S33" s="3">
        <f>Heating!S33</f>
        <v>0.15</v>
      </c>
      <c r="T33" s="3">
        <f>Heating!T33</f>
        <v>0.8</v>
      </c>
      <c r="U33" s="3">
        <f t="shared" si="0"/>
        <v>0.12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V33"/>
  <sheetViews>
    <sheetView workbookViewId="0" topLeftCell="F1">
      <selection activeCell="M6" sqref="M6"/>
    </sheetView>
  </sheetViews>
  <sheetFormatPr defaultColWidth="9.33203125" defaultRowHeight="12.75"/>
  <cols>
    <col min="1" max="16384" width="9" style="0" customWidth="1"/>
  </cols>
  <sheetData>
    <row r="1" spans="1:18" ht="18.75">
      <c r="A1" s="4" t="s">
        <v>100</v>
      </c>
      <c r="K1" s="4" t="s">
        <v>109</v>
      </c>
      <c r="R1" s="4" t="s">
        <v>70</v>
      </c>
    </row>
    <row r="2" spans="1:7" ht="12.75">
      <c r="A2" t="s">
        <v>97</v>
      </c>
      <c r="C2" s="10">
        <v>40000</v>
      </c>
      <c r="D2" t="s">
        <v>220</v>
      </c>
      <c r="E2" t="s">
        <v>95</v>
      </c>
      <c r="G2" t="s">
        <v>233</v>
      </c>
    </row>
    <row r="3" spans="1:20" ht="12.75">
      <c r="A3" t="s">
        <v>96</v>
      </c>
      <c r="C3" s="10">
        <v>23000</v>
      </c>
      <c r="D3" t="s">
        <v>220</v>
      </c>
      <c r="E3" t="s">
        <v>95</v>
      </c>
      <c r="G3" t="s">
        <v>233</v>
      </c>
      <c r="K3" t="s">
        <v>234</v>
      </c>
      <c r="T3" s="7"/>
    </row>
    <row r="4" spans="1:20" ht="12.75">
      <c r="A4" t="s">
        <v>219</v>
      </c>
      <c r="C4" s="10">
        <v>17000</v>
      </c>
      <c r="D4" t="s">
        <v>220</v>
      </c>
      <c r="E4" t="s">
        <v>95</v>
      </c>
      <c r="G4" t="s">
        <v>233</v>
      </c>
      <c r="K4" t="s">
        <v>219</v>
      </c>
      <c r="M4" s="94">
        <f>('[6]Achievable case'!$AW$34-'[6]Achievable case'!$AY$34+('[6]Achievable case'!$AW$19-'[6]Achievable case'!$AY$19)*('[5]WH-elec'!$M$181/('[5]WH-elec'!$M$181+'[5]WH-elec'!$N$181)))*10^9/(ESB!$AA$59*10^6)</f>
        <v>0.0030556011801596</v>
      </c>
      <c r="N4" t="s">
        <v>33</v>
      </c>
      <c r="R4" t="s">
        <v>239</v>
      </c>
      <c r="T4" s="2">
        <f>Heating!T4</f>
        <v>0.1</v>
      </c>
    </row>
    <row r="5" spans="1:21" ht="12.75">
      <c r="A5" t="s">
        <v>239</v>
      </c>
      <c r="C5" s="2">
        <v>0.58</v>
      </c>
      <c r="E5" t="s">
        <v>95</v>
      </c>
      <c r="G5" t="s">
        <v>233</v>
      </c>
      <c r="K5" t="s">
        <v>239</v>
      </c>
      <c r="M5" s="2">
        <f>'[3]Data'!$G$186</f>
        <v>0.31599999999999995</v>
      </c>
      <c r="O5" t="s">
        <v>112</v>
      </c>
      <c r="R5" t="s">
        <v>224</v>
      </c>
      <c r="T5">
        <f>Heating!T5</f>
        <v>50</v>
      </c>
      <c r="U5" t="s">
        <v>225</v>
      </c>
    </row>
    <row r="6" spans="1:20" ht="12.75">
      <c r="A6" t="s">
        <v>224</v>
      </c>
      <c r="C6">
        <v>15</v>
      </c>
      <c r="D6" t="s">
        <v>225</v>
      </c>
      <c r="E6" t="s">
        <v>95</v>
      </c>
      <c r="G6" t="s">
        <v>233</v>
      </c>
      <c r="K6" t="s">
        <v>224</v>
      </c>
      <c r="M6">
        <v>50</v>
      </c>
      <c r="N6" t="s">
        <v>225</v>
      </c>
      <c r="R6" t="s">
        <v>223</v>
      </c>
      <c r="T6" s="11"/>
    </row>
    <row r="7" spans="1:21" ht="12.75">
      <c r="A7" t="s">
        <v>223</v>
      </c>
      <c r="C7" s="97">
        <f>3700/('[7]Sheet1'!$B$77/'[7]Sheet1'!$B$76)</f>
        <v>3627.450980392157</v>
      </c>
      <c r="D7" t="s">
        <v>226</v>
      </c>
      <c r="K7" t="s">
        <v>223</v>
      </c>
      <c r="M7" s="93">
        <f>ESB!I79</f>
        <v>0.09254618026547853</v>
      </c>
      <c r="N7" t="s">
        <v>50</v>
      </c>
      <c r="R7" t="s">
        <v>230</v>
      </c>
      <c r="T7" s="8">
        <f>(T4/M5)*M8</f>
        <v>0.6944998793976709</v>
      </c>
      <c r="U7" t="s">
        <v>71</v>
      </c>
    </row>
    <row r="8" spans="1:20" ht="12.75">
      <c r="A8" t="s">
        <v>230</v>
      </c>
      <c r="C8" s="8">
        <f>-PMT(discount_rate,C6,C7)/C4</f>
        <v>0.023427918765497355</v>
      </c>
      <c r="D8" t="s">
        <v>235</v>
      </c>
      <c r="K8" t="s">
        <v>230</v>
      </c>
      <c r="M8" s="8">
        <f>-PMT(discount_rate,M6,M7)/M4</f>
        <v>2.1946196188966396</v>
      </c>
      <c r="N8" t="s">
        <v>141</v>
      </c>
      <c r="R8" t="s">
        <v>231</v>
      </c>
      <c r="T8" s="81">
        <f>Heating!T8</f>
        <v>2010</v>
      </c>
    </row>
    <row r="9" spans="1:20" ht="12.75">
      <c r="A9" t="s">
        <v>236</v>
      </c>
      <c r="C9">
        <v>2000</v>
      </c>
      <c r="F9">
        <f>('[7]Sheet1'!$B$77/'[7]Sheet1'!$B$76)</f>
        <v>1.02</v>
      </c>
      <c r="K9" t="s">
        <v>236</v>
      </c>
      <c r="M9">
        <v>1997</v>
      </c>
      <c r="T9" s="2"/>
    </row>
    <row r="10" spans="1:21" ht="12.75">
      <c r="A10" t="s">
        <v>98</v>
      </c>
      <c r="C10" s="2">
        <v>0.12</v>
      </c>
      <c r="D10" t="s">
        <v>99</v>
      </c>
      <c r="E10" t="s">
        <v>95</v>
      </c>
      <c r="G10" t="s">
        <v>233</v>
      </c>
      <c r="L10" t="s">
        <v>11</v>
      </c>
      <c r="M10" s="6" t="s">
        <v>107</v>
      </c>
      <c r="N10" s="6" t="s">
        <v>107</v>
      </c>
      <c r="S10" s="6">
        <f>T8</f>
        <v>2010</v>
      </c>
      <c r="T10" s="6">
        <f>$T8</f>
        <v>2010</v>
      </c>
      <c r="U10" s="6">
        <f>$T8</f>
        <v>2010</v>
      </c>
    </row>
    <row r="11" spans="12:21" ht="12.75">
      <c r="L11" t="s">
        <v>12</v>
      </c>
      <c r="M11" s="6" t="s">
        <v>108</v>
      </c>
      <c r="N11" s="6" t="s">
        <v>108</v>
      </c>
      <c r="S11" s="6" t="s">
        <v>74</v>
      </c>
      <c r="T11" s="6" t="s">
        <v>74</v>
      </c>
      <c r="U11" s="6" t="s">
        <v>74</v>
      </c>
    </row>
    <row r="12" spans="2:21" ht="12.75">
      <c r="B12" s="6" t="s">
        <v>101</v>
      </c>
      <c r="L12" t="s">
        <v>13</v>
      </c>
      <c r="M12" t="s">
        <v>110</v>
      </c>
      <c r="N12" t="s">
        <v>111</v>
      </c>
      <c r="S12" t="s">
        <v>72</v>
      </c>
      <c r="T12" s="6" t="s">
        <v>73</v>
      </c>
      <c r="U12" t="s">
        <v>75</v>
      </c>
    </row>
    <row r="13" spans="1:21" ht="12.75">
      <c r="A13">
        <v>2000</v>
      </c>
      <c r="B13" s="3">
        <v>0</v>
      </c>
      <c r="K13">
        <v>2000</v>
      </c>
      <c r="L13" s="13">
        <f>ESB!$Z49</f>
        <v>0.00544240264255911</v>
      </c>
      <c r="M13" s="3">
        <f>ESB!$AB49</f>
        <v>0.013625392906815019</v>
      </c>
      <c r="N13" s="1">
        <f>'[2]Water Heating'!$D$6*M13</f>
        <v>0.006092844430945056</v>
      </c>
      <c r="R13">
        <v>2000</v>
      </c>
      <c r="S13" s="3">
        <f>Heating!S13</f>
        <v>0</v>
      </c>
      <c r="T13" s="3">
        <f>Heating!T13</f>
        <v>0.8</v>
      </c>
      <c r="U13" s="3">
        <f>S13*T13</f>
        <v>0</v>
      </c>
    </row>
    <row r="14" spans="1:21" ht="12.75">
      <c r="A14">
        <v>2001</v>
      </c>
      <c r="B14" s="3">
        <f aca="true" t="shared" si="0" ref="B14:B22">B13+(B$23-B$13)/(A$23-A$13)</f>
        <v>0.003</v>
      </c>
      <c r="K14">
        <v>2001</v>
      </c>
      <c r="L14" s="13">
        <f>ESB!$Z50</f>
        <v>0.006683553042500557</v>
      </c>
      <c r="M14" s="3">
        <f>ESB!$AB50</f>
        <v>0.020134088982100774</v>
      </c>
      <c r="N14" s="1">
        <f>'[2]Water Heating'!$D$6*M14</f>
        <v>0.009003327299676404</v>
      </c>
      <c r="R14">
        <v>2001</v>
      </c>
      <c r="S14" s="3">
        <f>Heating!S14</f>
        <v>0</v>
      </c>
      <c r="T14" s="3">
        <f>Heating!T14</f>
        <v>0.8</v>
      </c>
      <c r="U14" s="3">
        <f aca="true" t="shared" si="1" ref="U14:U33">S14*T14</f>
        <v>0</v>
      </c>
    </row>
    <row r="15" spans="1:22" ht="12.75">
      <c r="A15">
        <v>2002</v>
      </c>
      <c r="B15" s="3">
        <f t="shared" si="0"/>
        <v>0.006</v>
      </c>
      <c r="E15" s="1"/>
      <c r="K15">
        <v>2002</v>
      </c>
      <c r="L15" s="13">
        <f>ESB!$Z51</f>
        <v>0.007728920726613208</v>
      </c>
      <c r="M15" s="3">
        <f>ESB!$AB51</f>
        <v>0.02760462554606116</v>
      </c>
      <c r="N15" s="1">
        <f>'[2]Water Heating'!$D$6*M15</f>
        <v>0.01234391479034108</v>
      </c>
      <c r="O15" s="1"/>
      <c r="R15">
        <v>2002</v>
      </c>
      <c r="S15" s="3">
        <f>Heating!S15</f>
        <v>0</v>
      </c>
      <c r="T15" s="3">
        <f>Heating!T15</f>
        <v>0.8</v>
      </c>
      <c r="U15" s="3">
        <f t="shared" si="1"/>
        <v>0</v>
      </c>
      <c r="V15" s="1"/>
    </row>
    <row r="16" spans="1:22" ht="12.75">
      <c r="A16">
        <v>2003</v>
      </c>
      <c r="B16" s="3">
        <f t="shared" si="0"/>
        <v>0.009000000000000001</v>
      </c>
      <c r="D16" s="1"/>
      <c r="E16" s="1"/>
      <c r="K16">
        <v>2003</v>
      </c>
      <c r="L16" s="13">
        <f>ESB!$Z52</f>
        <v>0.008213243457906215</v>
      </c>
      <c r="M16" s="3">
        <f>ESB!$AB52</f>
        <v>0.03546361418452138</v>
      </c>
      <c r="N16" s="1">
        <f>'[2]Water Heating'!$D$6*M16</f>
        <v>0.015858205753264642</v>
      </c>
      <c r="O16" s="1"/>
      <c r="R16">
        <v>2003</v>
      </c>
      <c r="S16" s="3">
        <f>Heating!S16</f>
        <v>0</v>
      </c>
      <c r="T16" s="3">
        <f>Heating!T16</f>
        <v>0.8</v>
      </c>
      <c r="U16" s="3">
        <f t="shared" si="1"/>
        <v>0</v>
      </c>
      <c r="V16" s="1"/>
    </row>
    <row r="17" spans="1:21" ht="12.75">
      <c r="A17">
        <v>2004</v>
      </c>
      <c r="B17" s="3">
        <f t="shared" si="0"/>
        <v>0.012</v>
      </c>
      <c r="K17">
        <v>2004</v>
      </c>
      <c r="L17" s="13">
        <f>ESB!$Z53</f>
        <v>0.008418400800781432</v>
      </c>
      <c r="M17" s="3">
        <f>ESB!$AB53</f>
        <v>0.04342690443801873</v>
      </c>
      <c r="N17" s="1">
        <f>'[2]Water Heating'!$D$6*M17</f>
        <v>0.019419137097031802</v>
      </c>
      <c r="R17">
        <v>2004</v>
      </c>
      <c r="S17" s="3">
        <f>Heating!S17</f>
        <v>0</v>
      </c>
      <c r="T17" s="3">
        <f>Heating!T17</f>
        <v>0.8</v>
      </c>
      <c r="U17" s="3">
        <f t="shared" si="1"/>
        <v>0</v>
      </c>
    </row>
    <row r="18" spans="1:21" ht="12.75">
      <c r="A18">
        <v>2005</v>
      </c>
      <c r="B18" s="3">
        <f t="shared" si="0"/>
        <v>0.015</v>
      </c>
      <c r="K18">
        <v>2005</v>
      </c>
      <c r="L18" s="13">
        <f>ESB!$Z54</f>
        <v>0.008799522221895777</v>
      </c>
      <c r="M18" s="3">
        <f>ESB!$AB54</f>
        <v>0.051669121864559873</v>
      </c>
      <c r="N18" s="1">
        <f>'[2]Water Heating'!$D$6*M18</f>
        <v>0.023104795843857495</v>
      </c>
      <c r="R18">
        <v>2005</v>
      </c>
      <c r="S18" s="3">
        <f>Heating!S18</f>
        <v>0</v>
      </c>
      <c r="T18" s="3">
        <f>Heating!T18</f>
        <v>0.8</v>
      </c>
      <c r="U18" s="3">
        <f t="shared" si="1"/>
        <v>0</v>
      </c>
    </row>
    <row r="19" spans="1:21" ht="12.75">
      <c r="A19">
        <v>2006</v>
      </c>
      <c r="B19" s="3">
        <f t="shared" si="0"/>
        <v>0.018</v>
      </c>
      <c r="K19">
        <v>2006</v>
      </c>
      <c r="L19" s="13">
        <f>ESB!$Z55</f>
        <v>0.009388041439039397</v>
      </c>
      <c r="M19" s="3">
        <f>ESB!$AB55</f>
        <v>0.06039408474067797</v>
      </c>
      <c r="N19" s="1">
        <f>'[2]Water Heating'!$D$6*M19</f>
        <v>0.027006323075660806</v>
      </c>
      <c r="R19">
        <v>2006</v>
      </c>
      <c r="S19" s="3">
        <f>Heating!S19</f>
        <v>0</v>
      </c>
      <c r="T19" s="3">
        <f>Heating!T19</f>
        <v>0.8</v>
      </c>
      <c r="U19" s="3">
        <f t="shared" si="1"/>
        <v>0</v>
      </c>
    </row>
    <row r="20" spans="1:21" ht="12.75">
      <c r="A20">
        <v>2007</v>
      </c>
      <c r="B20" s="3">
        <f t="shared" si="0"/>
        <v>0.020999999999999998</v>
      </c>
      <c r="K20">
        <v>2007</v>
      </c>
      <c r="L20" s="13">
        <f>ESB!$Z56</f>
        <v>0.010037277137406318</v>
      </c>
      <c r="M20" s="3">
        <f>ESB!$AB56</f>
        <v>0.06965631439375179</v>
      </c>
      <c r="N20" s="1">
        <f>'[2]Water Heating'!$D$6*M20</f>
        <v>0.03114809900431228</v>
      </c>
      <c r="R20">
        <v>2007</v>
      </c>
      <c r="S20" s="3">
        <f>Heating!S20</f>
        <v>0</v>
      </c>
      <c r="T20" s="3">
        <f>Heating!T20</f>
        <v>0.8</v>
      </c>
      <c r="U20" s="3">
        <f t="shared" si="1"/>
        <v>0</v>
      </c>
    </row>
    <row r="21" spans="1:21" ht="12.75">
      <c r="A21">
        <v>2008</v>
      </c>
      <c r="B21" s="3">
        <f t="shared" si="0"/>
        <v>0.023999999999999997</v>
      </c>
      <c r="K21">
        <v>2008</v>
      </c>
      <c r="L21" s="13">
        <f>ESB!$Z57</f>
        <v>0.010644312173849823</v>
      </c>
      <c r="M21" s="3">
        <f>ESB!$AB57</f>
        <v>0.07940671532661567</v>
      </c>
      <c r="N21" s="1">
        <f>'[2]Water Heating'!$D$6*M21</f>
        <v>0.03550816967747189</v>
      </c>
      <c r="R21">
        <v>2008</v>
      </c>
      <c r="S21" s="3">
        <f>Heating!S21</f>
        <v>0</v>
      </c>
      <c r="T21" s="3">
        <f>Heating!T21</f>
        <v>0.8</v>
      </c>
      <c r="U21" s="3">
        <f t="shared" si="1"/>
        <v>0</v>
      </c>
    </row>
    <row r="22" spans="1:21" ht="12.75">
      <c r="A22">
        <v>2009</v>
      </c>
      <c r="B22" s="3">
        <f t="shared" si="0"/>
        <v>0.026999999999999996</v>
      </c>
      <c r="K22">
        <v>2009</v>
      </c>
      <c r="L22" s="13">
        <f>ESB!$Z58</f>
        <v>0.01134551053476889</v>
      </c>
      <c r="M22" s="3">
        <f>ESB!$AB58</f>
        <v>0.0897331860793056</v>
      </c>
      <c r="N22" s="1">
        <f>'[2]Water Heating'!$D$6*M22</f>
        <v>0.04012584054004014</v>
      </c>
      <c r="R22">
        <v>2009</v>
      </c>
      <c r="S22" s="3">
        <f>Heating!S22</f>
        <v>0</v>
      </c>
      <c r="T22" s="3">
        <f>Heating!T22</f>
        <v>0.8</v>
      </c>
      <c r="U22" s="3">
        <f t="shared" si="1"/>
        <v>0</v>
      </c>
    </row>
    <row r="23" spans="1:21" ht="12.75">
      <c r="A23">
        <v>2010</v>
      </c>
      <c r="B23" s="3">
        <v>0.03</v>
      </c>
      <c r="K23">
        <v>2010</v>
      </c>
      <c r="L23" s="13">
        <f>ESB!$Z59</f>
        <v>0.0116429982731378</v>
      </c>
      <c r="M23" s="3">
        <f>ESB!$AB59</f>
        <v>0.10022462322802982</v>
      </c>
      <c r="N23" s="1">
        <f>'[2]Water Heating'!$D$6*M23</f>
        <v>0.044817279153325354</v>
      </c>
      <c r="R23">
        <v>2010</v>
      </c>
      <c r="S23" s="3">
        <f>Heating!S23</f>
        <v>0.03</v>
      </c>
      <c r="T23" s="3">
        <f>Heating!T23</f>
        <v>0.8</v>
      </c>
      <c r="U23" s="3">
        <f t="shared" si="1"/>
        <v>0.024</v>
      </c>
    </row>
    <row r="24" spans="1:21" ht="12.75">
      <c r="A24">
        <v>2011</v>
      </c>
      <c r="B24" s="3">
        <f aca="true" t="shared" si="2" ref="B24:B32">B23+(B$33-B$23)/(A$33-A$23)</f>
        <v>0.033</v>
      </c>
      <c r="K24">
        <v>2011</v>
      </c>
      <c r="L24" s="13">
        <f>ESB!$Z60</f>
        <v>0.011894276571873568</v>
      </c>
      <c r="M24" s="3">
        <f>ESB!$AB60</f>
        <v>0.11083270029154764</v>
      </c>
      <c r="N24" s="1">
        <f>'[2]Water Heating'!$D$6*M24</f>
        <v>0.04956087544456793</v>
      </c>
      <c r="R24">
        <v>2011</v>
      </c>
      <c r="S24" s="3">
        <f>Heating!S24</f>
        <v>0.044</v>
      </c>
      <c r="T24" s="3">
        <f>Heating!T24</f>
        <v>0.8</v>
      </c>
      <c r="U24" s="3">
        <f t="shared" si="1"/>
        <v>0.0352</v>
      </c>
    </row>
    <row r="25" spans="1:21" ht="12.75">
      <c r="A25">
        <v>2012</v>
      </c>
      <c r="B25" s="3">
        <f t="shared" si="2"/>
        <v>0.036000000000000004</v>
      </c>
      <c r="K25">
        <v>2012</v>
      </c>
      <c r="L25" s="13">
        <f>ESB!$Z61</f>
        <v>0.012204846104687661</v>
      </c>
      <c r="M25" s="3">
        <f>ESB!$AB61</f>
        <v>0.12161521164422136</v>
      </c>
      <c r="N25" s="1">
        <f>'[2]Water Heating'!$D$6*M25</f>
        <v>0.05438247322864949</v>
      </c>
      <c r="R25">
        <v>2012</v>
      </c>
      <c r="S25" s="3">
        <f>Heating!S25</f>
        <v>0.057999999999999996</v>
      </c>
      <c r="T25" s="3">
        <f>Heating!T25</f>
        <v>0.8</v>
      </c>
      <c r="U25" s="3">
        <f t="shared" si="1"/>
        <v>0.0464</v>
      </c>
    </row>
    <row r="26" spans="1:21" ht="12.75">
      <c r="A26">
        <v>2013</v>
      </c>
      <c r="B26" s="3">
        <f t="shared" si="2"/>
        <v>0.03900000000000001</v>
      </c>
      <c r="K26">
        <v>2013</v>
      </c>
      <c r="L26" s="13">
        <f>ESB!$Z62</f>
        <v>0.012139232350022169</v>
      </c>
      <c r="M26" s="3">
        <f>ESB!$AB62</f>
        <v>0.1321937354538932</v>
      </c>
      <c r="N26" s="1">
        <f>'[2]Water Heating'!$D$6*M26</f>
        <v>0.05911285424020484</v>
      </c>
      <c r="R26">
        <v>2013</v>
      </c>
      <c r="S26" s="3">
        <f>Heating!S26</f>
        <v>0.072</v>
      </c>
      <c r="T26" s="3">
        <f>Heating!T26</f>
        <v>0.8</v>
      </c>
      <c r="U26" s="3">
        <f t="shared" si="1"/>
        <v>0.0576</v>
      </c>
    </row>
    <row r="27" spans="1:21" ht="12.75">
      <c r="A27">
        <v>2014</v>
      </c>
      <c r="B27" s="3">
        <f t="shared" si="2"/>
        <v>0.04200000000000001</v>
      </c>
      <c r="K27">
        <v>2014</v>
      </c>
      <c r="L27" s="13">
        <f>ESB!$Z63</f>
        <v>0.011986868755769814</v>
      </c>
      <c r="M27" s="3">
        <f>ESB!$AB63</f>
        <v>0.1424841396875499</v>
      </c>
      <c r="N27" s="1">
        <f>'[2]Water Heating'!$D$6*M27</f>
        <v>0.06371439729705489</v>
      </c>
      <c r="R27">
        <v>2014</v>
      </c>
      <c r="S27" s="3">
        <f>Heating!S27</f>
        <v>0.086</v>
      </c>
      <c r="T27" s="3">
        <f>Heating!T27</f>
        <v>0.8</v>
      </c>
      <c r="U27" s="3">
        <f t="shared" si="1"/>
        <v>0.0688</v>
      </c>
    </row>
    <row r="28" spans="1:21" ht="12.75">
      <c r="A28">
        <v>2015</v>
      </c>
      <c r="B28" s="3">
        <f t="shared" si="2"/>
        <v>0.04500000000000001</v>
      </c>
      <c r="K28">
        <v>2015</v>
      </c>
      <c r="L28" s="13">
        <f>ESB!$Z64</f>
        <v>0.011817289032002172</v>
      </c>
      <c r="M28" s="3">
        <f>ESB!$AB64</f>
        <v>0.15247290570283129</v>
      </c>
      <c r="N28" s="1">
        <f>'[2]Water Heating'!$D$6*M28</f>
        <v>0.06818105729023426</v>
      </c>
      <c r="R28">
        <v>2015</v>
      </c>
      <c r="S28" s="3">
        <f>Heating!S28</f>
        <v>0.1</v>
      </c>
      <c r="T28" s="3">
        <f>Heating!T28</f>
        <v>0.8</v>
      </c>
      <c r="U28" s="3">
        <f t="shared" si="1"/>
        <v>0.08000000000000002</v>
      </c>
    </row>
    <row r="29" spans="1:21" ht="12.75">
      <c r="A29">
        <v>2016</v>
      </c>
      <c r="B29" s="3">
        <f t="shared" si="2"/>
        <v>0.048000000000000015</v>
      </c>
      <c r="K29">
        <v>2016</v>
      </c>
      <c r="L29" s="13">
        <f>ESB!$Z65</f>
        <v>0.011601364351961184</v>
      </c>
      <c r="M29" s="3">
        <f>ESB!$AB65</f>
        <v>0.16211755951763868</v>
      </c>
      <c r="N29" s="1">
        <f>'[2]Water Heating'!$D$6*M29</f>
        <v>0.0724938411993537</v>
      </c>
      <c r="R29">
        <v>2016</v>
      </c>
      <c r="S29" s="3">
        <f>Heating!S29</f>
        <v>0.11</v>
      </c>
      <c r="T29" s="3">
        <f>Heating!T29</f>
        <v>0.8</v>
      </c>
      <c r="U29" s="3">
        <f t="shared" si="1"/>
        <v>0.08800000000000001</v>
      </c>
    </row>
    <row r="30" spans="1:21" ht="12.75">
      <c r="A30">
        <v>2017</v>
      </c>
      <c r="B30" s="3">
        <f t="shared" si="2"/>
        <v>0.05100000000000002</v>
      </c>
      <c r="K30">
        <v>2017</v>
      </c>
      <c r="L30" s="13">
        <f>ESB!$Z66</f>
        <v>0.011089454378113334</v>
      </c>
      <c r="M30" s="3">
        <f>ESB!$AB66</f>
        <v>0.1711265318881219</v>
      </c>
      <c r="N30" s="1">
        <f>'[2]Water Heating'!$D$6*M30</f>
        <v>0.07652236848744257</v>
      </c>
      <c r="R30">
        <v>2017</v>
      </c>
      <c r="S30" s="3">
        <f>Heating!S30</f>
        <v>0.12</v>
      </c>
      <c r="T30" s="3">
        <f>Heating!T30</f>
        <v>0.8</v>
      </c>
      <c r="U30" s="3">
        <f t="shared" si="1"/>
        <v>0.096</v>
      </c>
    </row>
    <row r="31" spans="1:21" ht="12.75">
      <c r="A31">
        <v>2018</v>
      </c>
      <c r="B31" s="3">
        <f t="shared" si="2"/>
        <v>0.05400000000000002</v>
      </c>
      <c r="K31">
        <v>2018</v>
      </c>
      <c r="L31" s="13">
        <f>ESB!$Z67</f>
        <v>0.010208303826424714</v>
      </c>
      <c r="M31" s="3">
        <f>ESB!$AB67</f>
        <v>0.1791387400437218</v>
      </c>
      <c r="N31" s="1">
        <f>'[2]Water Heating'!$D$6*M31</f>
        <v>0.08010517436865884</v>
      </c>
      <c r="R31">
        <v>2018</v>
      </c>
      <c r="S31" s="3">
        <f>Heating!S31</f>
        <v>0.13</v>
      </c>
      <c r="T31" s="3">
        <f>Heating!T31</f>
        <v>0.8</v>
      </c>
      <c r="U31" s="3">
        <f t="shared" si="1"/>
        <v>0.10400000000000001</v>
      </c>
    </row>
    <row r="32" spans="1:21" ht="12.75">
      <c r="A32">
        <v>2019</v>
      </c>
      <c r="B32" s="3">
        <f t="shared" si="2"/>
        <v>0.05700000000000002</v>
      </c>
      <c r="K32">
        <v>2019</v>
      </c>
      <c r="L32" s="13">
        <f>ESB!$Z68</f>
        <v>0.00949715169705068</v>
      </c>
      <c r="M32" s="3">
        <f>ESB!$AB68</f>
        <v>0.1863369740501818</v>
      </c>
      <c r="N32" s="1">
        <f>'[2]Water Heating'!$D$6*M32</f>
        <v>0.08332399677465072</v>
      </c>
      <c r="R32">
        <v>2019</v>
      </c>
      <c r="S32" s="3">
        <f>Heating!S32</f>
        <v>0.14</v>
      </c>
      <c r="T32" s="3">
        <f>Heating!T32</f>
        <v>0.8</v>
      </c>
      <c r="U32" s="3">
        <f t="shared" si="1"/>
        <v>0.11200000000000002</v>
      </c>
    </row>
    <row r="33" spans="1:21" ht="12.75">
      <c r="A33">
        <v>2020</v>
      </c>
      <c r="B33" s="3">
        <v>0.06</v>
      </c>
      <c r="K33">
        <v>2020</v>
      </c>
      <c r="L33" s="13">
        <f>ESB!$Z69</f>
        <v>0.008875330280818846</v>
      </c>
      <c r="M33" s="3">
        <f>ESB!$AB69</f>
        <v>0.19282101048830336</v>
      </c>
      <c r="N33" s="1">
        <f>'[2]Water Heating'!$D$6*M33</f>
        <v>0.08622345263418002</v>
      </c>
      <c r="R33">
        <v>2020</v>
      </c>
      <c r="S33" s="3">
        <f>Heating!S33</f>
        <v>0.15</v>
      </c>
      <c r="T33" s="3">
        <f>Heating!T33</f>
        <v>0.8</v>
      </c>
      <c r="U33" s="3">
        <f t="shared" si="1"/>
        <v>0.12</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V56"/>
  <sheetViews>
    <sheetView workbookViewId="0" topLeftCell="A1">
      <selection activeCell="E8" sqref="E8"/>
    </sheetView>
  </sheetViews>
  <sheetFormatPr defaultColWidth="9.33203125" defaultRowHeight="12.75"/>
  <cols>
    <col min="1" max="19" width="9" style="0" customWidth="1"/>
    <col min="20" max="20" width="13.33203125" style="0" customWidth="1"/>
    <col min="21" max="16384" width="9" style="0" customWidth="1"/>
  </cols>
  <sheetData>
    <row r="1" spans="1:18" ht="18.75">
      <c r="A1" s="4" t="s">
        <v>121</v>
      </c>
      <c r="I1" s="4" t="s">
        <v>130</v>
      </c>
      <c r="R1" s="4" t="s">
        <v>70</v>
      </c>
    </row>
    <row r="2" spans="9:14" ht="12.75">
      <c r="I2" t="s">
        <v>218</v>
      </c>
      <c r="K2" t="s">
        <v>128</v>
      </c>
      <c r="M2" t="s">
        <v>95</v>
      </c>
      <c r="N2" t="s">
        <v>233</v>
      </c>
    </row>
    <row r="3" spans="1:20" ht="12.75">
      <c r="A3" t="s">
        <v>234</v>
      </c>
      <c r="I3" t="s">
        <v>218</v>
      </c>
      <c r="K3" s="7">
        <v>2430</v>
      </c>
      <c r="L3" t="s">
        <v>129</v>
      </c>
      <c r="M3" t="s">
        <v>95</v>
      </c>
      <c r="N3" t="s">
        <v>233</v>
      </c>
      <c r="T3" s="7"/>
    </row>
    <row r="4" spans="1:20" ht="12.75">
      <c r="A4" t="s">
        <v>219</v>
      </c>
      <c r="I4" t="s">
        <v>219</v>
      </c>
      <c r="K4" s="10">
        <f>2620-K3</f>
        <v>190</v>
      </c>
      <c r="L4" t="s">
        <v>220</v>
      </c>
      <c r="M4" t="s">
        <v>95</v>
      </c>
      <c r="N4" t="s">
        <v>233</v>
      </c>
      <c r="R4" t="s">
        <v>239</v>
      </c>
      <c r="T4" s="2">
        <v>0.1</v>
      </c>
    </row>
    <row r="5" spans="1:21" ht="12.75">
      <c r="A5" t="s">
        <v>239</v>
      </c>
      <c r="C5" s="2">
        <f>'[3]Data'!$G$180</f>
        <v>0.44888125</v>
      </c>
      <c r="E5" t="s">
        <v>124</v>
      </c>
      <c r="I5" t="s">
        <v>224</v>
      </c>
      <c r="K5">
        <v>15</v>
      </c>
      <c r="L5" t="s">
        <v>225</v>
      </c>
      <c r="M5" t="s">
        <v>95</v>
      </c>
      <c r="N5" t="s">
        <v>233</v>
      </c>
      <c r="R5" t="s">
        <v>224</v>
      </c>
      <c r="T5">
        <v>50</v>
      </c>
      <c r="U5" t="s">
        <v>225</v>
      </c>
    </row>
    <row r="6" spans="1:20" ht="12.75">
      <c r="A6" t="s">
        <v>224</v>
      </c>
      <c r="C6">
        <v>50</v>
      </c>
      <c r="D6" t="s">
        <v>225</v>
      </c>
      <c r="I6" t="s">
        <v>223</v>
      </c>
      <c r="K6" s="11">
        <f>517/('[7]Sheet1'!$B$77/'[7]Sheet1'!$B$76)</f>
        <v>506.8627450980392</v>
      </c>
      <c r="L6" t="s">
        <v>226</v>
      </c>
      <c r="M6" t="s">
        <v>95</v>
      </c>
      <c r="N6" t="s">
        <v>233</v>
      </c>
      <c r="R6" t="s">
        <v>223</v>
      </c>
      <c r="T6" s="11"/>
    </row>
    <row r="7" spans="1:21" ht="12.75">
      <c r="A7" t="s">
        <v>223</v>
      </c>
      <c r="D7" t="s">
        <v>226</v>
      </c>
      <c r="I7" t="s">
        <v>230</v>
      </c>
      <c r="K7" s="8">
        <f>-PMT(discount_rate,K5,K6)/(K4/10)</f>
        <v>2.9289897301558496</v>
      </c>
      <c r="R7" t="s">
        <v>230</v>
      </c>
      <c r="T7" s="8">
        <f>(T4/C5)*C8</f>
        <v>0.3004677538452387</v>
      </c>
      <c r="U7" t="s">
        <v>71</v>
      </c>
    </row>
    <row r="8" spans="1:20" ht="12.75">
      <c r="A8" t="s">
        <v>230</v>
      </c>
      <c r="C8" s="8">
        <f>'[2]HVAC'!$Q$38</f>
        <v>1.3487434093074306</v>
      </c>
      <c r="D8" t="s">
        <v>235</v>
      </c>
      <c r="I8" t="s">
        <v>231</v>
      </c>
      <c r="K8" s="81" t="s">
        <v>155</v>
      </c>
      <c r="R8" t="s">
        <v>231</v>
      </c>
      <c r="T8" s="81">
        <v>2010</v>
      </c>
    </row>
    <row r="9" spans="1:20" ht="12.75">
      <c r="A9" t="s">
        <v>236</v>
      </c>
      <c r="C9">
        <v>1997</v>
      </c>
      <c r="I9" t="s">
        <v>126</v>
      </c>
      <c r="K9" s="2">
        <v>0.9</v>
      </c>
      <c r="M9" t="s">
        <v>95</v>
      </c>
      <c r="N9" t="s">
        <v>233</v>
      </c>
      <c r="T9" s="2"/>
    </row>
    <row r="10" spans="2:21" ht="12.75">
      <c r="B10" t="s">
        <v>11</v>
      </c>
      <c r="C10" s="6" t="s">
        <v>107</v>
      </c>
      <c r="S10" s="6">
        <f>T8</f>
        <v>2010</v>
      </c>
      <c r="T10" s="6">
        <f>$T8</f>
        <v>2010</v>
      </c>
      <c r="U10" s="6">
        <f>$T8</f>
        <v>2010</v>
      </c>
    </row>
    <row r="11" spans="2:21" ht="12.75">
      <c r="B11" t="s">
        <v>12</v>
      </c>
      <c r="C11" s="6" t="s">
        <v>108</v>
      </c>
      <c r="J11" s="6" t="str">
        <f>K8</f>
        <v>NA</v>
      </c>
      <c r="S11" s="6" t="s">
        <v>74</v>
      </c>
      <c r="T11" s="6" t="s">
        <v>74</v>
      </c>
      <c r="U11" s="6" t="s">
        <v>74</v>
      </c>
    </row>
    <row r="12" spans="2:21" ht="12.75">
      <c r="B12" t="s">
        <v>13</v>
      </c>
      <c r="J12" s="6" t="s">
        <v>222</v>
      </c>
      <c r="K12" s="6"/>
      <c r="S12" t="s">
        <v>72</v>
      </c>
      <c r="T12" s="6" t="s">
        <v>73</v>
      </c>
      <c r="U12" t="s">
        <v>75</v>
      </c>
    </row>
    <row r="13" spans="1:21" ht="12.75">
      <c r="A13">
        <v>2000</v>
      </c>
      <c r="B13" s="13">
        <f>ESB!N49</f>
        <v>0.004551728094575799</v>
      </c>
      <c r="C13" s="3">
        <f>ESB!$P49</f>
        <v>0.011433755215577188</v>
      </c>
      <c r="D13" t="s">
        <v>207</v>
      </c>
      <c r="I13">
        <v>2000</v>
      </c>
      <c r="J13" s="3">
        <f aca="true" t="shared" si="0" ref="J13:J33">IF($K$8="NA",0,IF(I13&lt;$K$8,0,1))</f>
        <v>0</v>
      </c>
      <c r="K13" s="3"/>
      <c r="R13">
        <v>2000</v>
      </c>
      <c r="S13" s="3">
        <v>0</v>
      </c>
      <c r="T13" s="3">
        <v>0.8</v>
      </c>
      <c r="U13" s="3">
        <f>S13*T13</f>
        <v>0</v>
      </c>
    </row>
    <row r="14" spans="1:21" ht="12.75">
      <c r="A14">
        <v>2001</v>
      </c>
      <c r="B14" s="13">
        <f>ESB!N50</f>
        <v>0.005791316866823093</v>
      </c>
      <c r="C14" s="3">
        <f>ESB!$P50</f>
        <v>0.017078340771637692</v>
      </c>
      <c r="D14" t="s">
        <v>208</v>
      </c>
      <c r="I14">
        <v>2001</v>
      </c>
      <c r="J14" s="3">
        <f t="shared" si="0"/>
        <v>0</v>
      </c>
      <c r="K14" s="3"/>
      <c r="R14">
        <v>2001</v>
      </c>
      <c r="S14" s="3">
        <v>0</v>
      </c>
      <c r="T14" s="3">
        <v>0.8</v>
      </c>
      <c r="U14" s="3">
        <f aca="true" t="shared" si="1" ref="U14:U33">S14*T14</f>
        <v>0</v>
      </c>
    </row>
    <row r="15" spans="1:22" ht="12.75">
      <c r="A15">
        <v>2002</v>
      </c>
      <c r="B15" s="13">
        <f>ESB!N51</f>
        <v>0.0069575161646441615</v>
      </c>
      <c r="C15" s="3">
        <f>ESB!$P51</f>
        <v>0.023816687706241093</v>
      </c>
      <c r="E15" s="1"/>
      <c r="I15">
        <v>2002</v>
      </c>
      <c r="J15" s="3">
        <f t="shared" si="0"/>
        <v>0</v>
      </c>
      <c r="K15" s="3"/>
      <c r="M15" s="1"/>
      <c r="R15">
        <v>2002</v>
      </c>
      <c r="S15" s="3">
        <v>0</v>
      </c>
      <c r="T15" s="3">
        <v>0.8</v>
      </c>
      <c r="U15" s="3">
        <f t="shared" si="1"/>
        <v>0</v>
      </c>
      <c r="V15" s="1"/>
    </row>
    <row r="16" spans="1:22" ht="12.75">
      <c r="A16">
        <v>2003</v>
      </c>
      <c r="B16" s="13">
        <f>ESB!N52</f>
        <v>0.00764487503340096</v>
      </c>
      <c r="C16" s="3">
        <f>ESB!$P52</f>
        <v>0.03115591916591932</v>
      </c>
      <c r="D16" s="1"/>
      <c r="E16" s="1"/>
      <c r="I16">
        <v>2003</v>
      </c>
      <c r="J16" s="3">
        <f t="shared" si="0"/>
        <v>0</v>
      </c>
      <c r="K16" s="3"/>
      <c r="L16" s="1"/>
      <c r="M16" s="1"/>
      <c r="R16">
        <v>2003</v>
      </c>
      <c r="S16" s="3">
        <v>0</v>
      </c>
      <c r="T16" s="3">
        <v>0.8</v>
      </c>
      <c r="U16" s="3">
        <f t="shared" si="1"/>
        <v>0</v>
      </c>
      <c r="V16" s="1"/>
    </row>
    <row r="17" spans="1:21" ht="12.75">
      <c r="A17">
        <v>2004</v>
      </c>
      <c r="B17" s="13">
        <f>ESB!N53</f>
        <v>0.00793200484739082</v>
      </c>
      <c r="C17" s="3">
        <f>ESB!$P53</f>
        <v>0.038688094843362504</v>
      </c>
      <c r="I17">
        <v>2004</v>
      </c>
      <c r="J17" s="3">
        <f t="shared" si="0"/>
        <v>0</v>
      </c>
      <c r="K17" s="3"/>
      <c r="R17">
        <v>2004</v>
      </c>
      <c r="S17" s="3">
        <v>0</v>
      </c>
      <c r="T17" s="3">
        <v>0.8</v>
      </c>
      <c r="U17" s="3">
        <f t="shared" si="1"/>
        <v>0</v>
      </c>
    </row>
    <row r="18" spans="1:21" ht="12.75">
      <c r="A18">
        <v>2005</v>
      </c>
      <c r="B18" s="13">
        <f>ESB!N54</f>
        <v>0.008257947403314475</v>
      </c>
      <c r="C18" s="3">
        <f>ESB!$P54</f>
        <v>0.046449551394787826</v>
      </c>
      <c r="I18">
        <v>2005</v>
      </c>
      <c r="J18" s="3">
        <f t="shared" si="0"/>
        <v>0</v>
      </c>
      <c r="K18" s="3"/>
      <c r="R18">
        <v>2005</v>
      </c>
      <c r="S18" s="3">
        <v>0</v>
      </c>
      <c r="T18" s="3">
        <v>0.8</v>
      </c>
      <c r="U18" s="3">
        <f t="shared" si="1"/>
        <v>0</v>
      </c>
    </row>
    <row r="19" spans="1:21" ht="12.75">
      <c r="A19">
        <v>2006</v>
      </c>
      <c r="B19" s="13">
        <f>ESB!N55</f>
        <v>0.008751359243464686</v>
      </c>
      <c r="C19" s="3">
        <f>ESB!$P55</f>
        <v>0.054604815704262157</v>
      </c>
      <c r="I19">
        <v>2006</v>
      </c>
      <c r="J19" s="3">
        <f t="shared" si="0"/>
        <v>0</v>
      </c>
      <c r="K19" s="3"/>
      <c r="R19">
        <v>2006</v>
      </c>
      <c r="S19" s="3">
        <v>0</v>
      </c>
      <c r="T19" s="3">
        <v>0.8</v>
      </c>
      <c r="U19" s="3">
        <f t="shared" si="1"/>
        <v>0</v>
      </c>
    </row>
    <row r="20" spans="1:21" ht="12.75">
      <c r="A20">
        <v>2007</v>
      </c>
      <c r="B20" s="13">
        <f>ESB!N56</f>
        <v>0.009363741906153605</v>
      </c>
      <c r="C20" s="3">
        <f>ESB!$P56</f>
        <v>0.06326780479288821</v>
      </c>
      <c r="I20">
        <v>2007</v>
      </c>
      <c r="J20" s="3">
        <f t="shared" si="0"/>
        <v>0</v>
      </c>
      <c r="K20" s="3"/>
      <c r="R20">
        <v>2007</v>
      </c>
      <c r="S20" s="3">
        <v>0</v>
      </c>
      <c r="T20" s="3">
        <v>0.8</v>
      </c>
      <c r="U20" s="3">
        <f t="shared" si="1"/>
        <v>0</v>
      </c>
    </row>
    <row r="21" spans="1:21" ht="12.75">
      <c r="A21">
        <v>2008</v>
      </c>
      <c r="B21" s="13">
        <f>ESB!N57</f>
        <v>0.009811470146660707</v>
      </c>
      <c r="C21" s="3">
        <f>ESB!$P57</f>
        <v>0.07226734852068659</v>
      </c>
      <c r="I21">
        <v>2008</v>
      </c>
      <c r="J21" s="3">
        <f t="shared" si="0"/>
        <v>0</v>
      </c>
      <c r="K21" s="3"/>
      <c r="R21">
        <v>2008</v>
      </c>
      <c r="S21" s="3">
        <v>0</v>
      </c>
      <c r="T21" s="3">
        <v>0.8</v>
      </c>
      <c r="U21" s="3">
        <f t="shared" si="1"/>
        <v>0</v>
      </c>
    </row>
    <row r="22" spans="1:21" ht="12.75">
      <c r="A22">
        <v>2009</v>
      </c>
      <c r="B22" s="13">
        <f>ESB!N58</f>
        <v>0.010485911044199181</v>
      </c>
      <c r="C22" s="3">
        <f>ESB!$P58</f>
        <v>0.08182584048219187</v>
      </c>
      <c r="I22">
        <v>2009</v>
      </c>
      <c r="J22" s="3">
        <f t="shared" si="0"/>
        <v>0</v>
      </c>
      <c r="K22" s="3"/>
      <c r="R22">
        <v>2009</v>
      </c>
      <c r="S22" s="3">
        <v>0</v>
      </c>
      <c r="T22" s="3">
        <v>0.8</v>
      </c>
      <c r="U22" s="3">
        <f t="shared" si="1"/>
        <v>0</v>
      </c>
    </row>
    <row r="23" spans="1:21" ht="12.75">
      <c r="A23">
        <v>2010</v>
      </c>
      <c r="B23" s="13">
        <f>ESB!N59</f>
        <v>0.0108337989723019</v>
      </c>
      <c r="C23" s="3">
        <f>ESB!$P59</f>
        <v>0.09160955463093161</v>
      </c>
      <c r="I23">
        <v>2010</v>
      </c>
      <c r="J23" s="3">
        <f t="shared" si="0"/>
        <v>0</v>
      </c>
      <c r="K23" s="3"/>
      <c r="R23">
        <v>2010</v>
      </c>
      <c r="S23" s="3">
        <v>0.03</v>
      </c>
      <c r="T23" s="3">
        <v>0.8</v>
      </c>
      <c r="U23" s="3">
        <f t="shared" si="1"/>
        <v>0.024</v>
      </c>
    </row>
    <row r="24" spans="1:21" ht="12.75">
      <c r="A24">
        <v>2011</v>
      </c>
      <c r="B24" s="13">
        <f>ESB!N60</f>
        <v>0.011169028384536164</v>
      </c>
      <c r="C24" s="3">
        <f>ESB!$P60</f>
        <v>0.10160294213668979</v>
      </c>
      <c r="I24">
        <v>2011</v>
      </c>
      <c r="J24" s="3">
        <f t="shared" si="0"/>
        <v>0</v>
      </c>
      <c r="K24" s="3"/>
      <c r="R24">
        <v>2011</v>
      </c>
      <c r="S24" s="3">
        <f>S23+(S$28-S$23)/(R$28-R$23)</f>
        <v>0.044</v>
      </c>
      <c r="T24" s="3">
        <v>0.8</v>
      </c>
      <c r="U24" s="3">
        <f t="shared" si="1"/>
        <v>0.0352</v>
      </c>
    </row>
    <row r="25" spans="1:21" ht="12.75">
      <c r="A25">
        <v>2012</v>
      </c>
      <c r="B25" s="13">
        <f>ESB!N61</f>
        <v>0.011541327049406252</v>
      </c>
      <c r="C25" s="3">
        <f>ESB!$P61</f>
        <v>0.11184038147851759</v>
      </c>
      <c r="I25">
        <v>2012</v>
      </c>
      <c r="J25" s="3">
        <f t="shared" si="0"/>
        <v>0</v>
      </c>
      <c r="K25" s="3"/>
      <c r="R25">
        <v>2012</v>
      </c>
      <c r="S25" s="3">
        <f>S24+(S$28-S$23)/(R$28-R$23)</f>
        <v>0.057999999999999996</v>
      </c>
      <c r="T25" s="3">
        <v>0.8</v>
      </c>
      <c r="U25" s="3">
        <f t="shared" si="1"/>
        <v>0.0464</v>
      </c>
    </row>
    <row r="26" spans="1:21" ht="12.75">
      <c r="A26">
        <v>2013</v>
      </c>
      <c r="B26" s="13">
        <f>ESB!N62</f>
        <v>0.011446879175726577</v>
      </c>
      <c r="C26" s="3">
        <f>ESB!$P62</f>
        <v>0.12185199415945569</v>
      </c>
      <c r="I26">
        <v>2013</v>
      </c>
      <c r="J26" s="3">
        <f t="shared" si="0"/>
        <v>0</v>
      </c>
      <c r="K26" s="3"/>
      <c r="R26">
        <v>2013</v>
      </c>
      <c r="S26" s="3">
        <f>S25+(S$28-S$23)/(R$28-R$23)</f>
        <v>0.072</v>
      </c>
      <c r="T26" s="3">
        <v>0.8</v>
      </c>
      <c r="U26" s="3">
        <f t="shared" si="1"/>
        <v>0.0576</v>
      </c>
    </row>
    <row r="27" spans="1:21" ht="12.75">
      <c r="A27">
        <v>2014</v>
      </c>
      <c r="B27" s="13">
        <f>ESB!N63</f>
        <v>0.011392944941472189</v>
      </c>
      <c r="C27" s="3">
        <f>ESB!$P63</f>
        <v>0.13168119189058936</v>
      </c>
      <c r="I27">
        <v>2014</v>
      </c>
      <c r="J27" s="3">
        <f t="shared" si="0"/>
        <v>0</v>
      </c>
      <c r="K27" s="3"/>
      <c r="R27">
        <v>2014</v>
      </c>
      <c r="S27" s="3">
        <f>S26+(S$28-S$23)/(R$28-R$23)</f>
        <v>0.086</v>
      </c>
      <c r="T27" s="3">
        <v>0.8</v>
      </c>
      <c r="U27" s="3">
        <f t="shared" si="1"/>
        <v>0.0688</v>
      </c>
    </row>
    <row r="28" spans="1:21" ht="12.75">
      <c r="A28">
        <v>2015</v>
      </c>
      <c r="B28" s="13">
        <f>ESB!N64</f>
        <v>0.011189922949071103</v>
      </c>
      <c r="C28" s="3">
        <f>ESB!$P64</f>
        <v>0.14118122787561538</v>
      </c>
      <c r="I28">
        <v>2015</v>
      </c>
      <c r="J28" s="3">
        <f t="shared" si="0"/>
        <v>0</v>
      </c>
      <c r="K28" s="3"/>
      <c r="R28">
        <v>2015</v>
      </c>
      <c r="S28" s="3">
        <v>0.1</v>
      </c>
      <c r="T28" s="3">
        <v>0.8</v>
      </c>
      <c r="U28" s="3">
        <f t="shared" si="1"/>
        <v>0.08000000000000002</v>
      </c>
    </row>
    <row r="29" spans="1:21" ht="12.75">
      <c r="A29">
        <v>2016</v>
      </c>
      <c r="B29" s="13">
        <f>ESB!N65</f>
        <v>0.011006784211233989</v>
      </c>
      <c r="C29" s="3">
        <f>ESB!$P65</f>
        <v>0.15037620955734987</v>
      </c>
      <c r="I29">
        <v>2016</v>
      </c>
      <c r="J29" s="3">
        <f t="shared" si="0"/>
        <v>0</v>
      </c>
      <c r="K29" s="3"/>
      <c r="R29">
        <v>2016</v>
      </c>
      <c r="S29" s="3">
        <f>S28+(S$33-S$28)/(R$33-R$28)</f>
        <v>0.11</v>
      </c>
      <c r="T29" s="3">
        <v>0.8</v>
      </c>
      <c r="U29" s="3">
        <f t="shared" si="1"/>
        <v>0.08800000000000001</v>
      </c>
    </row>
    <row r="30" spans="1:21" ht="12.75">
      <c r="A30">
        <v>2017</v>
      </c>
      <c r="B30" s="13">
        <f>ESB!N66</f>
        <v>0.010675577839022132</v>
      </c>
      <c r="C30" s="3">
        <f>ESB!$P66</f>
        <v>0.15912198411478706</v>
      </c>
      <c r="I30">
        <v>2017</v>
      </c>
      <c r="J30" s="3">
        <f t="shared" si="0"/>
        <v>0</v>
      </c>
      <c r="K30" s="3"/>
      <c r="R30">
        <v>2017</v>
      </c>
      <c r="S30" s="3">
        <f>S29+(S$33-S$28)/(R$33-R$28)</f>
        <v>0.12</v>
      </c>
      <c r="T30" s="3">
        <v>0.8</v>
      </c>
      <c r="U30" s="3">
        <f t="shared" si="1"/>
        <v>0.096</v>
      </c>
    </row>
    <row r="31" spans="1:21" ht="12.75">
      <c r="A31">
        <v>2018</v>
      </c>
      <c r="B31" s="13">
        <f>ESB!N67</f>
        <v>0.009820332840352339</v>
      </c>
      <c r="C31" s="3">
        <f>ESB!$P67</f>
        <v>0.1669002776723238</v>
      </c>
      <c r="I31">
        <v>2018</v>
      </c>
      <c r="J31" s="3">
        <f t="shared" si="0"/>
        <v>0</v>
      </c>
      <c r="K31" s="3"/>
      <c r="R31">
        <v>2018</v>
      </c>
      <c r="S31" s="3">
        <f>S30+(S$33-S$28)/(R$33-R$28)</f>
        <v>0.13</v>
      </c>
      <c r="T31" s="3">
        <v>0.8</v>
      </c>
      <c r="U31" s="3">
        <f t="shared" si="1"/>
        <v>0.10400000000000001</v>
      </c>
    </row>
    <row r="32" spans="1:21" ht="12.75">
      <c r="A32">
        <v>2019</v>
      </c>
      <c r="B32" s="13">
        <f>ESB!N68</f>
        <v>0.009223249632754544</v>
      </c>
      <c r="C32" s="3">
        <f>ESB!$P68</f>
        <v>0.17398166786801988</v>
      </c>
      <c r="I32">
        <v>2019</v>
      </c>
      <c r="J32" s="3">
        <f t="shared" si="0"/>
        <v>0</v>
      </c>
      <c r="K32" s="3"/>
      <c r="R32">
        <v>2019</v>
      </c>
      <c r="S32" s="3">
        <f>S31+(S$33-S$28)/(R$33-R$28)</f>
        <v>0.14</v>
      </c>
      <c r="T32" s="3">
        <v>0.8</v>
      </c>
      <c r="U32" s="3">
        <f t="shared" si="1"/>
        <v>0.11200000000000002</v>
      </c>
    </row>
    <row r="33" spans="1:21" ht="12.75">
      <c r="A33">
        <v>2020</v>
      </c>
      <c r="B33" s="13">
        <f>ESB!N69</f>
        <v>0.008645504569830898</v>
      </c>
      <c r="C33" s="3">
        <f>ESB!$P69</f>
        <v>0.1803944363250332</v>
      </c>
      <c r="I33">
        <v>2020</v>
      </c>
      <c r="J33" s="3">
        <f t="shared" si="0"/>
        <v>0</v>
      </c>
      <c r="K33" s="3"/>
      <c r="R33">
        <v>2020</v>
      </c>
      <c r="S33" s="3">
        <v>0.15</v>
      </c>
      <c r="T33" s="3">
        <v>0.8</v>
      </c>
      <c r="U33" s="3">
        <f t="shared" si="1"/>
        <v>0.12</v>
      </c>
    </row>
    <row r="34" ht="12.75">
      <c r="S34" s="3"/>
    </row>
    <row r="35" ht="12.75">
      <c r="S35" s="3"/>
    </row>
    <row r="36" spans="19:20" ht="12.75">
      <c r="S36" s="3"/>
      <c r="T36" s="3"/>
    </row>
    <row r="37" spans="19:20" ht="12.75">
      <c r="S37" s="3"/>
      <c r="T37" s="3"/>
    </row>
    <row r="38" spans="19:20" ht="12.75">
      <c r="S38" s="3"/>
      <c r="T38" s="3"/>
    </row>
    <row r="39" spans="19:20" ht="12.75">
      <c r="S39" s="3"/>
      <c r="T39" s="3"/>
    </row>
    <row r="40" spans="19:20" ht="12.75">
      <c r="S40" s="3"/>
      <c r="T40" s="3"/>
    </row>
    <row r="41" spans="19:20" ht="12.75">
      <c r="S41" s="3"/>
      <c r="T41" s="3"/>
    </row>
    <row r="42" spans="19:20" ht="12.75">
      <c r="S42" s="3"/>
      <c r="T42" s="3"/>
    </row>
    <row r="43" spans="19:20" ht="12.75">
      <c r="S43" s="3"/>
      <c r="T43" s="3"/>
    </row>
    <row r="44" spans="19:20" ht="12.75">
      <c r="S44" s="3"/>
      <c r="T44" s="3"/>
    </row>
    <row r="45" spans="19:20" ht="12.75">
      <c r="S45" s="3"/>
      <c r="T45" s="3"/>
    </row>
    <row r="46" spans="19:20" ht="12.75">
      <c r="S46" s="3"/>
      <c r="T46" s="3"/>
    </row>
    <row r="47" spans="19:20" ht="12.75">
      <c r="S47" s="3"/>
      <c r="T47" s="3"/>
    </row>
    <row r="48" spans="19:20" ht="12.75">
      <c r="S48" s="3"/>
      <c r="T48" s="3"/>
    </row>
    <row r="49" spans="19:20" ht="12.75">
      <c r="S49" s="3"/>
      <c r="T49" s="3"/>
    </row>
    <row r="50" spans="19:20" ht="12.75">
      <c r="S50" s="3"/>
      <c r="T50" s="3"/>
    </row>
    <row r="51" spans="19:20" ht="12.75">
      <c r="S51" s="3"/>
      <c r="T51" s="3"/>
    </row>
    <row r="52" spans="19:20" ht="12.75">
      <c r="S52" s="3"/>
      <c r="T52" s="3"/>
    </row>
    <row r="53" spans="19:20" ht="12.75">
      <c r="S53" s="3"/>
      <c r="T53" s="3"/>
    </row>
    <row r="54" spans="19:20" ht="12.75">
      <c r="S54" s="3"/>
      <c r="T54" s="3"/>
    </row>
    <row r="55" spans="19:20" ht="12.75">
      <c r="S55" s="3"/>
      <c r="T55" s="3"/>
    </row>
    <row r="56" spans="19:20" ht="12.75">
      <c r="S56" s="3"/>
      <c r="T56" s="3"/>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V33"/>
  <sheetViews>
    <sheetView tabSelected="1" workbookViewId="0" topLeftCell="I1">
      <selection activeCell="T7" sqref="T7"/>
    </sheetView>
  </sheetViews>
  <sheetFormatPr defaultColWidth="9.33203125" defaultRowHeight="12.75"/>
  <cols>
    <col min="1" max="16384" width="9" style="0" customWidth="1"/>
  </cols>
  <sheetData>
    <row r="1" spans="1:18" ht="18.75">
      <c r="A1" s="4" t="s">
        <v>122</v>
      </c>
      <c r="I1" s="4" t="s">
        <v>125</v>
      </c>
      <c r="R1" s="4" t="s">
        <v>70</v>
      </c>
    </row>
    <row r="2" spans="9:15" ht="12.75">
      <c r="I2" t="s">
        <v>218</v>
      </c>
      <c r="K2">
        <v>10.3</v>
      </c>
      <c r="L2">
        <v>11</v>
      </c>
      <c r="M2" t="s">
        <v>229</v>
      </c>
      <c r="N2" t="s">
        <v>95</v>
      </c>
      <c r="O2" t="s">
        <v>233</v>
      </c>
    </row>
    <row r="3" spans="1:20" ht="12.75">
      <c r="A3" t="s">
        <v>234</v>
      </c>
      <c r="I3" t="s">
        <v>218</v>
      </c>
      <c r="K3" s="7">
        <v>14788</v>
      </c>
      <c r="L3">
        <v>13750</v>
      </c>
      <c r="M3" t="s">
        <v>220</v>
      </c>
      <c r="N3" t="s">
        <v>95</v>
      </c>
      <c r="O3" t="s">
        <v>233</v>
      </c>
      <c r="T3" s="7"/>
    </row>
    <row r="4" spans="1:20" ht="12.75">
      <c r="A4" t="s">
        <v>219</v>
      </c>
      <c r="I4" t="s">
        <v>219</v>
      </c>
      <c r="K4" s="10">
        <f>16500-K3</f>
        <v>1712</v>
      </c>
      <c r="L4" s="10">
        <f>16500-L3</f>
        <v>2750</v>
      </c>
      <c r="M4" t="s">
        <v>220</v>
      </c>
      <c r="N4" t="s">
        <v>95</v>
      </c>
      <c r="O4" t="s">
        <v>233</v>
      </c>
      <c r="R4" t="s">
        <v>239</v>
      </c>
      <c r="T4" s="2">
        <f>Heating!T4</f>
        <v>0.1</v>
      </c>
    </row>
    <row r="5" spans="1:21" ht="12.75">
      <c r="A5" t="s">
        <v>239</v>
      </c>
      <c r="C5" s="2">
        <f>'[3]Data'!$G$182</f>
        <v>0.49843562500000005</v>
      </c>
      <c r="D5" s="2">
        <f>C5-(K4/(K3+K4))*K9</f>
        <v>0.45693259469696973</v>
      </c>
      <c r="E5" s="2">
        <f>C5-(L4/(L3+L4))*L9</f>
        <v>0.4317689583333334</v>
      </c>
      <c r="F5" t="s">
        <v>123</v>
      </c>
      <c r="I5" t="s">
        <v>224</v>
      </c>
      <c r="K5">
        <v>15</v>
      </c>
      <c r="L5">
        <v>15</v>
      </c>
      <c r="M5" t="s">
        <v>225</v>
      </c>
      <c r="N5" t="s">
        <v>95</v>
      </c>
      <c r="O5" t="s">
        <v>233</v>
      </c>
      <c r="R5" t="s">
        <v>224</v>
      </c>
      <c r="T5">
        <f>Heating!T5</f>
        <v>50</v>
      </c>
      <c r="U5" t="s">
        <v>225</v>
      </c>
    </row>
    <row r="6" spans="1:20" ht="12.75">
      <c r="A6" t="s">
        <v>224</v>
      </c>
      <c r="C6">
        <v>50</v>
      </c>
      <c r="D6">
        <f>C6</f>
        <v>50</v>
      </c>
      <c r="E6">
        <f>D6</f>
        <v>50</v>
      </c>
      <c r="F6" t="s">
        <v>225</v>
      </c>
      <c r="I6" t="s">
        <v>223</v>
      </c>
      <c r="K6" s="11">
        <f>500/('[7]Sheet1'!$B$77/'[7]Sheet1'!$B$76)</f>
        <v>490.19607843137254</v>
      </c>
      <c r="L6" s="11">
        <f>625/('[7]Sheet1'!$B$77/'[7]Sheet1'!$B$76)+K6</f>
        <v>1102.9411764705883</v>
      </c>
      <c r="M6" t="s">
        <v>226</v>
      </c>
      <c r="N6" t="s">
        <v>95</v>
      </c>
      <c r="O6" t="s">
        <v>233</v>
      </c>
      <c r="R6" t="s">
        <v>223</v>
      </c>
      <c r="T6" s="11"/>
    </row>
    <row r="7" spans="1:21" ht="12.75">
      <c r="A7" t="s">
        <v>223</v>
      </c>
      <c r="F7" t="s">
        <v>226</v>
      </c>
      <c r="I7" t="s">
        <v>230</v>
      </c>
      <c r="K7" s="8">
        <f>-PMT(discount_rate,K5,K6)/K4</f>
        <v>0.03143743835355006</v>
      </c>
      <c r="L7" s="8">
        <f>-PMT(discount_rate,L5,L6)/L4</f>
        <v>0.044035277286499946</v>
      </c>
      <c r="O7" t="s">
        <v>233</v>
      </c>
      <c r="R7" t="s">
        <v>230</v>
      </c>
      <c r="T7" s="8">
        <f>(T4/C5)*C8</f>
        <v>0.793069481031762</v>
      </c>
      <c r="U7" t="s">
        <v>71</v>
      </c>
    </row>
    <row r="8" spans="1:20" ht="12.75">
      <c r="A8" t="s">
        <v>230</v>
      </c>
      <c r="C8" s="8">
        <f>'[2]HVAC'!$Q$37</f>
        <v>3.95294082446492</v>
      </c>
      <c r="D8" s="8">
        <f>'[2]HVAC'!$Q$37</f>
        <v>3.95294082446492</v>
      </c>
      <c r="E8" s="8">
        <f>'[2]HVAC'!$Q$37</f>
        <v>3.95294082446492</v>
      </c>
      <c r="F8" t="s">
        <v>141</v>
      </c>
      <c r="I8" t="s">
        <v>231</v>
      </c>
      <c r="K8">
        <v>2005</v>
      </c>
      <c r="L8" s="81" t="s">
        <v>155</v>
      </c>
      <c r="N8" t="s">
        <v>95</v>
      </c>
      <c r="O8" t="s">
        <v>233</v>
      </c>
      <c r="R8" t="s">
        <v>231</v>
      </c>
      <c r="T8" s="81">
        <f>Heating!T8</f>
        <v>2010</v>
      </c>
    </row>
    <row r="9" spans="1:20" ht="12.75">
      <c r="A9" t="s">
        <v>236</v>
      </c>
      <c r="C9">
        <v>1997</v>
      </c>
      <c r="I9" t="s">
        <v>126</v>
      </c>
      <c r="K9" s="2">
        <v>0.4</v>
      </c>
      <c r="L9" s="2">
        <v>0.4</v>
      </c>
      <c r="M9" t="s">
        <v>127</v>
      </c>
      <c r="N9" t="s">
        <v>95</v>
      </c>
      <c r="O9" t="s">
        <v>233</v>
      </c>
      <c r="T9" s="2"/>
    </row>
    <row r="10" spans="2:21" ht="12.75">
      <c r="B10" t="s">
        <v>11</v>
      </c>
      <c r="C10" s="6" t="s">
        <v>107</v>
      </c>
      <c r="D10" s="6" t="s">
        <v>107</v>
      </c>
      <c r="E10" s="6" t="s">
        <v>107</v>
      </c>
      <c r="S10" s="6">
        <f>T8</f>
        <v>2010</v>
      </c>
      <c r="T10" s="6">
        <f>$T8</f>
        <v>2010</v>
      </c>
      <c r="U10" s="6">
        <f>$T8</f>
        <v>2010</v>
      </c>
    </row>
    <row r="11" spans="2:21" ht="12.75">
      <c r="B11" t="s">
        <v>12</v>
      </c>
      <c r="C11" s="6" t="s">
        <v>108</v>
      </c>
      <c r="D11" s="6" t="s">
        <v>108</v>
      </c>
      <c r="E11" s="6" t="s">
        <v>108</v>
      </c>
      <c r="J11" s="6">
        <f>K8</f>
        <v>2005</v>
      </c>
      <c r="K11" t="str">
        <f>L8</f>
        <v>NA</v>
      </c>
      <c r="S11" s="6" t="s">
        <v>74</v>
      </c>
      <c r="T11" s="6" t="s">
        <v>74</v>
      </c>
      <c r="U11" s="6" t="s">
        <v>74</v>
      </c>
    </row>
    <row r="12" spans="2:21" ht="12.75">
      <c r="B12" t="s">
        <v>13</v>
      </c>
      <c r="J12" s="6" t="s">
        <v>222</v>
      </c>
      <c r="K12" s="6" t="s">
        <v>222</v>
      </c>
      <c r="S12" t="s">
        <v>72</v>
      </c>
      <c r="T12" s="6" t="s">
        <v>73</v>
      </c>
      <c r="U12" t="s">
        <v>75</v>
      </c>
    </row>
    <row r="13" spans="1:21" ht="12.75">
      <c r="A13">
        <v>2000</v>
      </c>
      <c r="B13" s="13">
        <f>ESB!J49</f>
        <v>0.005185539638386648</v>
      </c>
      <c r="C13" s="3">
        <f>IF(A13&lt;$K$8,ESB!$L49,C12)</f>
        <v>0.012626330319888733</v>
      </c>
      <c r="D13" s="2">
        <f>IF(A13&lt;$K$8,0,IF($L$8="NA",SUM(ESB!I49:I$54)/ESB!D49,IF(AND(A13&lt;$L$8,A13&gt;=$K$8),SUM(ESB!I49:I$54)/ESB!D49,D12)))</f>
        <v>0</v>
      </c>
      <c r="E13" s="2">
        <f>IF(A13&lt;$L$8,0,IF($L$8="NA",0,SUM(ESB!I49:I$59)/ESB!D49))</f>
        <v>0</v>
      </c>
      <c r="I13">
        <v>2000</v>
      </c>
      <c r="J13" s="3">
        <f>IF(I13&lt;$K$8,0,IF($L$8="NA",1,IF(I13&lt;$L$8,1,0)))</f>
        <v>0</v>
      </c>
      <c r="K13" s="3">
        <f>IF($L$8="NA",0,IF(I13&lt;$L$8,0,1))</f>
        <v>0</v>
      </c>
      <c r="R13">
        <v>2000</v>
      </c>
      <c r="S13" s="3">
        <f>Heating!S13</f>
        <v>0</v>
      </c>
      <c r="T13" s="3">
        <f>Heating!T13</f>
        <v>0.8</v>
      </c>
      <c r="U13" s="3">
        <f>S13*T13</f>
        <v>0</v>
      </c>
    </row>
    <row r="14" spans="1:21" ht="12.75">
      <c r="A14">
        <v>2001</v>
      </c>
      <c r="B14" s="13">
        <f>ESB!J50</f>
        <v>0.006549649883492769</v>
      </c>
      <c r="C14" s="3">
        <f>IF(A14&lt;$K$8,ESB!$L50,C13)</f>
        <v>0.01901394437499201</v>
      </c>
      <c r="D14" s="2">
        <f>IF(A14&lt;$K$8,0,IF($L$8="NA",SUM(ESB!I50:I$54)/ESB!D50,IF(AND(A14&lt;$L$8,A14&gt;=$K$8),SUM(ESB!I50:I$54)/ESB!D50,D13)))</f>
        <v>0</v>
      </c>
      <c r="E14" s="2">
        <f>IF(A14&lt;$L$8,0,IF($L$8="NA",0,SUM(ESB!I50:I$59)/ESB!D50))</f>
        <v>0</v>
      </c>
      <c r="I14">
        <v>2001</v>
      </c>
      <c r="J14" s="3">
        <f aca="true" t="shared" si="0" ref="J14:J33">IF(I14&lt;$K$8,0,IF($L$8="NA",1,IF(I14&lt;$L$8,1,0)))</f>
        <v>0</v>
      </c>
      <c r="K14" s="3">
        <f aca="true" t="shared" si="1" ref="K14:K33">IF($L$8="NA",0,IF(I14&lt;$L$8,0,1))</f>
        <v>0</v>
      </c>
      <c r="R14">
        <v>2001</v>
      </c>
      <c r="S14" s="3">
        <f>Heating!S14</f>
        <v>0</v>
      </c>
      <c r="T14" s="3">
        <f>Heating!T14</f>
        <v>0.8</v>
      </c>
      <c r="U14" s="3">
        <f aca="true" t="shared" si="2" ref="U14:U33">S14*T14</f>
        <v>0</v>
      </c>
    </row>
    <row r="15" spans="1:22" ht="12.75">
      <c r="A15">
        <v>2002</v>
      </c>
      <c r="B15" s="13">
        <f>ESB!J51</f>
        <v>0.007691058141643882</v>
      </c>
      <c r="C15" s="3">
        <f>IF(A15&lt;$K$8,ESB!$L51,C14)</f>
        <v>0.0264609933588127</v>
      </c>
      <c r="D15" s="2">
        <f>IF(A15&lt;$K$8,0,IF($L$8="NA",SUM(ESB!I51:I$54)/ESB!D51,IF(AND(A15&lt;$L$8,A15&gt;=$K$8),SUM(ESB!I51:I$54)/ESB!D51,D14)))</f>
        <v>0</v>
      </c>
      <c r="E15" s="2">
        <f>IF(A15&lt;$L$8,0,IF($L$8="NA",0,SUM(ESB!I51:I$59)/ESB!D51))</f>
        <v>0</v>
      </c>
      <c r="I15">
        <v>2002</v>
      </c>
      <c r="J15" s="3">
        <f t="shared" si="0"/>
        <v>0</v>
      </c>
      <c r="K15" s="3">
        <f t="shared" si="1"/>
        <v>0</v>
      </c>
      <c r="M15" s="1"/>
      <c r="R15">
        <v>2002</v>
      </c>
      <c r="S15" s="3">
        <f>Heating!S15</f>
        <v>0</v>
      </c>
      <c r="T15" s="3">
        <f>Heating!T15</f>
        <v>0.8</v>
      </c>
      <c r="U15" s="3">
        <f t="shared" si="2"/>
        <v>0</v>
      </c>
      <c r="V15" s="1"/>
    </row>
    <row r="16" spans="1:22" ht="12.75">
      <c r="A16">
        <v>2003</v>
      </c>
      <c r="B16" s="13">
        <f>ESB!J52</f>
        <v>0.008349687621939253</v>
      </c>
      <c r="C16" s="3">
        <f>IF(A16&lt;$K$8,ESB!$L52,C15)</f>
        <v>0.03447110258621636</v>
      </c>
      <c r="D16" s="2">
        <f>IF(A16&lt;$K$8,0,IF($L$8="NA",SUM(ESB!I52:I$54)/ESB!D52,IF(AND(A16&lt;$L$8,A16&gt;=$K$8),SUM(ESB!I52:I$54)/ESB!D52,D15)))</f>
        <v>0</v>
      </c>
      <c r="E16" s="2">
        <f>IF(A16&lt;$L$8,0,IF($L$8="NA",0,SUM(ESB!I52:I$59)/ESB!D52))</f>
        <v>0</v>
      </c>
      <c r="I16">
        <v>2003</v>
      </c>
      <c r="J16" s="3">
        <f t="shared" si="0"/>
        <v>0</v>
      </c>
      <c r="K16" s="3">
        <f t="shared" si="1"/>
        <v>0</v>
      </c>
      <c r="L16" s="1"/>
      <c r="M16" s="1"/>
      <c r="R16">
        <v>2003</v>
      </c>
      <c r="S16" s="3">
        <f>Heating!S16</f>
        <v>0</v>
      </c>
      <c r="T16" s="3">
        <f>Heating!T16</f>
        <v>0.8</v>
      </c>
      <c r="U16" s="3">
        <f t="shared" si="2"/>
        <v>0</v>
      </c>
      <c r="V16" s="1"/>
    </row>
    <row r="17" spans="1:21" ht="12.75">
      <c r="A17">
        <v>2004</v>
      </c>
      <c r="B17" s="13">
        <f>ESB!J53</f>
        <v>0.008610973339481505</v>
      </c>
      <c r="C17" s="3">
        <f>IF(A17&lt;$K$8,ESB!$L53,C16)</f>
        <v>0.04263970244729627</v>
      </c>
      <c r="D17" s="2">
        <f>IF(A17&lt;$K$8,0,IF($L$8="NA",SUM(ESB!I53:I$54)/ESB!D53,IF(AND(A17&lt;$L$8,A17&gt;=$K$8),SUM(ESB!I53:I$54)/ESB!D53,D16)))</f>
        <v>0</v>
      </c>
      <c r="E17" s="2">
        <f>IF(A17&lt;$L$8,0,IF($L$8="NA",0,SUM(ESB!I53:I$59)/ESB!D53))</f>
        <v>0</v>
      </c>
      <c r="I17">
        <v>2004</v>
      </c>
      <c r="J17" s="3">
        <f t="shared" si="0"/>
        <v>0</v>
      </c>
      <c r="K17" s="3">
        <f t="shared" si="1"/>
        <v>0</v>
      </c>
      <c r="R17">
        <v>2004</v>
      </c>
      <c r="S17" s="3">
        <f>Heating!S17</f>
        <v>0</v>
      </c>
      <c r="T17" s="3">
        <f>Heating!T17</f>
        <v>0.8</v>
      </c>
      <c r="U17" s="3">
        <f t="shared" si="2"/>
        <v>0</v>
      </c>
    </row>
    <row r="18" spans="1:21" ht="12.75">
      <c r="A18">
        <v>2005</v>
      </c>
      <c r="B18" s="13">
        <f>ESB!J54</f>
        <v>0.008991081165402934</v>
      </c>
      <c r="C18" s="3">
        <f>IF(A18&lt;$K$8,ESB!$L54,C17)</f>
        <v>0.04263970244729627</v>
      </c>
      <c r="D18" s="2">
        <f>IF(A18&lt;$K$8,0,IF($L$8="NA",SUM(ESB!I54:I$54)/ESB!D54,IF(AND(A18&lt;$L$8,A18&gt;=$K$8),SUM(ESB!I54:I$54)/ESB!D54,D17)))</f>
        <v>0.008991081165402934</v>
      </c>
      <c r="E18" s="2">
        <f>IF(A18&lt;$L$8,0,IF($L$8="NA",0,SUM(ESB!I54:I$59)/ESB!D54))</f>
        <v>0</v>
      </c>
      <c r="I18">
        <v>2005</v>
      </c>
      <c r="J18" s="3">
        <f t="shared" si="0"/>
        <v>1</v>
      </c>
      <c r="K18" s="3">
        <f t="shared" si="1"/>
        <v>0</v>
      </c>
      <c r="R18">
        <v>2005</v>
      </c>
      <c r="S18" s="3">
        <f>Heating!S18</f>
        <v>0</v>
      </c>
      <c r="T18" s="3">
        <f>Heating!T18</f>
        <v>0.8</v>
      </c>
      <c r="U18" s="3">
        <f t="shared" si="2"/>
        <v>0</v>
      </c>
    </row>
    <row r="19" spans="1:21" ht="12.75">
      <c r="A19">
        <v>2006</v>
      </c>
      <c r="B19" s="13">
        <f>ESB!J55</f>
        <v>0.009480097848908922</v>
      </c>
      <c r="C19" s="3">
        <f>IF(A19&lt;$K$8,ESB!$L55,C18)</f>
        <v>0.04263970244729627</v>
      </c>
      <c r="D19" s="2">
        <f>IF(A19&lt;$K$8,0,IF($L$8="NA",SUM(ESB!I$54:I55)/ESB!D55,IF(AND(A19&lt;$L$8,A19&gt;=$K$8),SUM(ESB!I$54:I55)/ESB!D55,D18)))</f>
        <v>0.018355794951972038</v>
      </c>
      <c r="E19" s="2">
        <f>IF(A19&lt;$L$8,0,IF($L$8="NA",0,SUM(ESB!I55:I$59)/ESB!D55))</f>
        <v>0</v>
      </c>
      <c r="I19">
        <v>2006</v>
      </c>
      <c r="J19" s="3">
        <f t="shared" si="0"/>
        <v>1</v>
      </c>
      <c r="K19" s="3">
        <f t="shared" si="1"/>
        <v>0</v>
      </c>
      <c r="R19">
        <v>2006</v>
      </c>
      <c r="S19" s="3">
        <f>Heating!S19</f>
        <v>0</v>
      </c>
      <c r="T19" s="3">
        <f>Heating!T19</f>
        <v>0.8</v>
      </c>
      <c r="U19" s="3">
        <f t="shared" si="2"/>
        <v>0</v>
      </c>
    </row>
    <row r="20" spans="1:21" ht="12.75">
      <c r="A20">
        <v>2007</v>
      </c>
      <c r="B20" s="13">
        <f>ESB!J56</f>
        <v>0.010168799067509282</v>
      </c>
      <c r="C20" s="3">
        <f>IF(A20&lt;$K$8,ESB!$L56,C19)</f>
        <v>0.04263970244729627</v>
      </c>
      <c r="D20" s="2">
        <f>IF(A20&lt;$K$8,0,IF($L$8="NA",SUM(ESB!I$54:I56)/ESB!D56,IF(AND(A20&lt;$L$8,A20&gt;=$K$8),SUM(ESB!I$54:I56)/ESB!D56,D19)))</f>
        <v>0.028289031004303</v>
      </c>
      <c r="E20" s="2">
        <f>IF(A20&lt;$L$8,0,IF($L$8="NA",0,SUM(ESB!I56:I$59)/ESB!D56))</f>
        <v>0</v>
      </c>
      <c r="I20">
        <v>2007</v>
      </c>
      <c r="J20" s="3">
        <f t="shared" si="0"/>
        <v>1</v>
      </c>
      <c r="K20" s="3">
        <f t="shared" si="1"/>
        <v>0</v>
      </c>
      <c r="R20">
        <v>2007</v>
      </c>
      <c r="S20" s="3">
        <f>Heating!S20</f>
        <v>0</v>
      </c>
      <c r="T20" s="3">
        <f>Heating!T20</f>
        <v>0.8</v>
      </c>
      <c r="U20" s="3">
        <f t="shared" si="2"/>
        <v>0</v>
      </c>
    </row>
    <row r="21" spans="1:21" ht="12.75">
      <c r="A21">
        <v>2008</v>
      </c>
      <c r="B21" s="13">
        <f>ESB!J57</f>
        <v>0.010731012354798496</v>
      </c>
      <c r="C21" s="3">
        <f>IF(A21&lt;$K$8,ESB!$L57,C20)</f>
        <v>0.04263970244729627</v>
      </c>
      <c r="D21" s="2">
        <f>IF(A21&lt;$K$8,0,IF($L$8="NA",SUM(ESB!I$54:I57)/ESB!D57,IF(AND(A21&lt;$L$8,A21&gt;=$K$8),SUM(ESB!I$54:I57)/ESB!D57,D20)))</f>
        <v>0.03865700544887846</v>
      </c>
      <c r="E21" s="2">
        <f>IF(A21&lt;$L$8,0,IF($L$8="NA",0,SUM(ESB!I57:I$59)/ESB!D57))</f>
        <v>0</v>
      </c>
      <c r="I21">
        <v>2008</v>
      </c>
      <c r="J21" s="3">
        <f t="shared" si="0"/>
        <v>1</v>
      </c>
      <c r="K21" s="3">
        <f t="shared" si="1"/>
        <v>0</v>
      </c>
      <c r="R21">
        <v>2008</v>
      </c>
      <c r="S21" s="3">
        <f>Heating!S21</f>
        <v>0</v>
      </c>
      <c r="T21" s="3">
        <f>Heating!T21</f>
        <v>0.8</v>
      </c>
      <c r="U21" s="3">
        <f t="shared" si="2"/>
        <v>0</v>
      </c>
    </row>
    <row r="22" spans="1:21" ht="12.75">
      <c r="A22">
        <v>2009</v>
      </c>
      <c r="B22" s="13">
        <f>ESB!J58</f>
        <v>0.011473644523883764</v>
      </c>
      <c r="C22" s="3">
        <f>IF(A22&lt;$K$8,ESB!$L58,C21)</f>
        <v>0.04263970244729627</v>
      </c>
      <c r="D22" s="2">
        <f>IF(A22&lt;$K$8,0,IF($L$8="NA",SUM(ESB!I$54:I58)/ESB!D58,IF(AND(A22&lt;$L$8,A22&gt;=$K$8),SUM(ESB!I$54:I58)/ESB!D58,D21)))</f>
        <v>0.04963455809632055</v>
      </c>
      <c r="E22" s="2">
        <f>IF(A22&lt;$L$8,0,IF($L$8="NA",0,SUM(ESB!I58:I$59)/ESB!D58))</f>
        <v>0</v>
      </c>
      <c r="I22">
        <v>2009</v>
      </c>
      <c r="J22" s="3">
        <f t="shared" si="0"/>
        <v>1</v>
      </c>
      <c r="K22" s="3">
        <f t="shared" si="1"/>
        <v>0</v>
      </c>
      <c r="R22">
        <v>2009</v>
      </c>
      <c r="S22" s="3">
        <f>Heating!S22</f>
        <v>0</v>
      </c>
      <c r="T22" s="3">
        <f>Heating!T22</f>
        <v>0.8</v>
      </c>
      <c r="U22" s="3">
        <f t="shared" si="2"/>
        <v>0</v>
      </c>
    </row>
    <row r="23" spans="1:21" ht="12.75">
      <c r="A23">
        <v>2010</v>
      </c>
      <c r="B23" s="13">
        <f>ESB!J59</f>
        <v>0.011852159070707465</v>
      </c>
      <c r="C23" s="3">
        <f>IF(A23&lt;$K$8,ESB!$L59,C22)</f>
        <v>0.04263970244729627</v>
      </c>
      <c r="D23" s="2">
        <f>IF(A23&lt;$K$8,0,IF($L$8="NA",SUM(ESB!I$54:I59)/ESB!D59,IF(AND(A23&lt;$L$8,A23&gt;=$K$8),SUM(ESB!I$54:I59)/ESB!D59,D22)))</f>
        <v>0.06084974850439015</v>
      </c>
      <c r="E23" s="2">
        <f>IF(A23&lt;$L$8,0,IF($L$8="NA",0,SUM(ESB!I$59:I59)/ESB!D59))</f>
        <v>0</v>
      </c>
      <c r="I23">
        <v>2010</v>
      </c>
      <c r="J23" s="3">
        <f t="shared" si="0"/>
        <v>1</v>
      </c>
      <c r="K23" s="3">
        <f t="shared" si="1"/>
        <v>0</v>
      </c>
      <c r="R23">
        <v>2010</v>
      </c>
      <c r="S23" s="3">
        <f>Heating!S23</f>
        <v>0.03</v>
      </c>
      <c r="T23" s="3">
        <f>Heating!T23</f>
        <v>0.8</v>
      </c>
      <c r="U23" s="3">
        <f t="shared" si="2"/>
        <v>0.024</v>
      </c>
    </row>
    <row r="24" spans="1:21" ht="12.75">
      <c r="A24">
        <v>2011</v>
      </c>
      <c r="B24" s="13">
        <f>ESB!J60</f>
        <v>0.01216471325096206</v>
      </c>
      <c r="C24" s="3">
        <f>IF(A24&lt;$K$8,ESB!$L60,C23)</f>
        <v>0.04263970244729627</v>
      </c>
      <c r="D24" s="2">
        <f>IF(A24&lt;$K$8,0,IF($L$8="NA",SUM(ESB!I$54:I60)/ESB!D60,IF(AND(A24&lt;$L$8,A24&gt;=$K$8),SUM(ESB!I$54:I60)/ESB!D60,D23)))</f>
        <v>0.07223356666102144</v>
      </c>
      <c r="E24" s="2">
        <f>IF(A24&lt;$L$8,0,IF($L$8="NA",0,SUM(ESB!I$59:I60)/ESB!D60))</f>
        <v>0</v>
      </c>
      <c r="I24">
        <v>2011</v>
      </c>
      <c r="J24" s="3">
        <f t="shared" si="0"/>
        <v>1</v>
      </c>
      <c r="K24" s="3">
        <f t="shared" si="1"/>
        <v>0</v>
      </c>
      <c r="R24">
        <v>2011</v>
      </c>
      <c r="S24" s="3">
        <f>Heating!S24</f>
        <v>0.044</v>
      </c>
      <c r="T24" s="3">
        <f>Heating!T24</f>
        <v>0.8</v>
      </c>
      <c r="U24" s="3">
        <f t="shared" si="2"/>
        <v>0.0352</v>
      </c>
    </row>
    <row r="25" spans="1:21" ht="12.75">
      <c r="A25">
        <v>2012</v>
      </c>
      <c r="B25" s="13">
        <f>ESB!J61</f>
        <v>0.012524693561659033</v>
      </c>
      <c r="C25" s="3">
        <f>IF(A25&lt;$K$8,ESB!$L61,C24)</f>
        <v>0.04263970244729627</v>
      </c>
      <c r="D25" s="2">
        <f>IF(A25&lt;$K$8,0,IF($L$8="NA",SUM(ESB!I$54:I61)/ESB!D61,IF(AND(A25&lt;$L$8,A25&gt;=$K$8),SUM(ESB!I$54:I61)/ESB!D61,D24)))</f>
        <v>0.08383127466829424</v>
      </c>
      <c r="E25" s="2">
        <f>IF(A25&lt;$L$8,0,IF($L$8="NA",0,SUM(ESB!I$59:I61)/ESB!D61))</f>
        <v>0</v>
      </c>
      <c r="I25">
        <v>2012</v>
      </c>
      <c r="J25" s="3">
        <f t="shared" si="0"/>
        <v>1</v>
      </c>
      <c r="K25" s="3">
        <f t="shared" si="1"/>
        <v>0</v>
      </c>
      <c r="R25">
        <v>2012</v>
      </c>
      <c r="S25" s="3">
        <f>Heating!S25</f>
        <v>0.057999999999999996</v>
      </c>
      <c r="T25" s="3">
        <f>Heating!T25</f>
        <v>0.8</v>
      </c>
      <c r="U25" s="3">
        <f t="shared" si="2"/>
        <v>0.0464</v>
      </c>
    </row>
    <row r="26" spans="1:21" ht="12.75">
      <c r="A26">
        <v>2013</v>
      </c>
      <c r="B26" s="13">
        <f>ESB!J62</f>
        <v>0.012428157881367185</v>
      </c>
      <c r="C26" s="3">
        <f>IF(A26&lt;$K$8,ESB!$L62,C25)</f>
        <v>0.04263970244729627</v>
      </c>
      <c r="D26" s="2">
        <f>IF(A26&lt;$K$8,0,IF($L$8="NA",SUM(ESB!I$54:I62)/ESB!D62,IF(AND(A26&lt;$L$8,A26&gt;=$K$8),SUM(ESB!I$54:I62)/ESB!D62,D25)))</f>
        <v>0.0951836116506606</v>
      </c>
      <c r="E26" s="2">
        <f>IF(A26&lt;$L$8,0,IF($L$8="NA",0,SUM(ESB!I$59:I62)/ESB!D62))</f>
        <v>0</v>
      </c>
      <c r="I26">
        <v>2013</v>
      </c>
      <c r="J26" s="3">
        <f t="shared" si="0"/>
        <v>1</v>
      </c>
      <c r="K26" s="3">
        <f t="shared" si="1"/>
        <v>0</v>
      </c>
      <c r="R26">
        <v>2013</v>
      </c>
      <c r="S26" s="3">
        <f>Heating!S26</f>
        <v>0.072</v>
      </c>
      <c r="T26" s="3">
        <f>Heating!T26</f>
        <v>0.8</v>
      </c>
      <c r="U26" s="3">
        <f t="shared" si="2"/>
        <v>0.0576</v>
      </c>
    </row>
    <row r="27" spans="1:21" ht="12.75">
      <c r="A27">
        <v>2014</v>
      </c>
      <c r="B27" s="13">
        <f>ESB!J63</f>
        <v>0.012347138802901177</v>
      </c>
      <c r="C27" s="3">
        <f>IF(A27&lt;$K$8,ESB!$L63,C26)</f>
        <v>0.04263970244729627</v>
      </c>
      <c r="D27" s="2">
        <f>IF(A27&lt;$K$8,0,IF($L$8="NA",SUM(ESB!I$54:I63)/ESB!D63,IF(AND(A27&lt;$L$8,A27&gt;=$K$8),SUM(ESB!I$54:I63)/ESB!D63,D26)))</f>
        <v>0.10630924309772902</v>
      </c>
      <c r="E27" s="2">
        <f>IF(A27&lt;$L$8,0,IF($L$8="NA",0,SUM(ESB!I$59:I63)/ESB!D63))</f>
        <v>0</v>
      </c>
      <c r="I27">
        <v>2014</v>
      </c>
      <c r="J27" s="3">
        <f t="shared" si="0"/>
        <v>1</v>
      </c>
      <c r="K27" s="3">
        <f t="shared" si="1"/>
        <v>0</v>
      </c>
      <c r="R27">
        <v>2014</v>
      </c>
      <c r="S27" s="3">
        <f>Heating!S27</f>
        <v>0.086</v>
      </c>
      <c r="T27" s="3">
        <f>Heating!T27</f>
        <v>0.8</v>
      </c>
      <c r="U27" s="3">
        <f t="shared" si="2"/>
        <v>0.0688</v>
      </c>
    </row>
    <row r="28" spans="1:21" ht="12.75">
      <c r="A28">
        <v>2015</v>
      </c>
      <c r="B28" s="13">
        <f>ESB!J64</f>
        <v>0.012197342670432154</v>
      </c>
      <c r="C28" s="3">
        <f>IF(A28&lt;$K$8,ESB!$L64,C27)</f>
        <v>0.04263970244729627</v>
      </c>
      <c r="D28" s="2">
        <f>IF(A28&lt;$K$8,0,IF($L$8="NA",SUM(ESB!I$54:I64)/ESB!D64,IF(AND(A28&lt;$L$8,A28&gt;=$K$8),SUM(ESB!I$54:I64)/ESB!D64,D27)))</f>
        <v>0.11714230130590012</v>
      </c>
      <c r="E28" s="2">
        <f>IF(A28&lt;$L$8,0,IF($L$8="NA",0,SUM(ESB!I$59:I64)/ESB!D64))</f>
        <v>0</v>
      </c>
      <c r="I28">
        <v>2015</v>
      </c>
      <c r="J28" s="3">
        <f t="shared" si="0"/>
        <v>1</v>
      </c>
      <c r="K28" s="3">
        <f t="shared" si="1"/>
        <v>0</v>
      </c>
      <c r="R28">
        <v>2015</v>
      </c>
      <c r="S28" s="3">
        <f>Heating!S28</f>
        <v>0.1</v>
      </c>
      <c r="T28" s="3">
        <f>Heating!T28</f>
        <v>0.8</v>
      </c>
      <c r="U28" s="3">
        <f t="shared" si="2"/>
        <v>0.08000000000000002</v>
      </c>
    </row>
    <row r="29" spans="1:21" ht="12.75">
      <c r="A29">
        <v>2016</v>
      </c>
      <c r="B29" s="13">
        <f>ESB!J65</f>
        <v>0.011926780233730646</v>
      </c>
      <c r="C29" s="3">
        <f>IF(A29&lt;$K$8,ESB!$L65,C28)</f>
        <v>0.04263970244729627</v>
      </c>
      <c r="D29" s="2">
        <f>IF(A29&lt;$K$8,0,IF($L$8="NA",SUM(ESB!I$54:I65)/ESB!D65,IF(AND(A29&lt;$L$8,A29&gt;=$K$8),SUM(ESB!I$54:I65)/ESB!D65,D28)))</f>
        <v>0.1275657746127041</v>
      </c>
      <c r="E29" s="2">
        <f>IF(A29&lt;$L$8,0,IF($L$8="NA",0,SUM(ESB!I$59:I65)/ESB!D65))</f>
        <v>0</v>
      </c>
      <c r="I29">
        <v>2016</v>
      </c>
      <c r="J29" s="3">
        <f t="shared" si="0"/>
        <v>1</v>
      </c>
      <c r="K29" s="3">
        <f t="shared" si="1"/>
        <v>0</v>
      </c>
      <c r="R29">
        <v>2016</v>
      </c>
      <c r="S29" s="3">
        <f>Heating!S29</f>
        <v>0.11</v>
      </c>
      <c r="T29" s="3">
        <f>Heating!T29</f>
        <v>0.8</v>
      </c>
      <c r="U29" s="3">
        <f t="shared" si="2"/>
        <v>0.08800000000000001</v>
      </c>
    </row>
    <row r="30" spans="1:21" ht="12.75">
      <c r="A30">
        <v>2017</v>
      </c>
      <c r="B30" s="13">
        <f>ESB!J66</f>
        <v>0.011545568020363</v>
      </c>
      <c r="C30" s="3">
        <f>IF(A30&lt;$K$8,ESB!$L66,C29)</f>
        <v>0.04263970244729627</v>
      </c>
      <c r="D30" s="2">
        <f>IF(A30&lt;$K$8,0,IF($L$8="NA",SUM(ESB!I$54:I66)/ESB!D66,IF(AND(A30&lt;$L$8,A30&gt;=$K$8),SUM(ESB!I$54:I66)/ESB!D66,D29)))</f>
        <v>0.13747426951365432</v>
      </c>
      <c r="E30" s="2">
        <f>IF(A30&lt;$L$8,0,IF($L$8="NA",0,SUM(ESB!I$59:I66)/ESB!D66))</f>
        <v>0</v>
      </c>
      <c r="I30">
        <v>2017</v>
      </c>
      <c r="J30" s="3">
        <f t="shared" si="0"/>
        <v>1</v>
      </c>
      <c r="K30" s="3">
        <f t="shared" si="1"/>
        <v>0</v>
      </c>
      <c r="R30">
        <v>2017</v>
      </c>
      <c r="S30" s="3">
        <f>Heating!S30</f>
        <v>0.12</v>
      </c>
      <c r="T30" s="3">
        <f>Heating!T30</f>
        <v>0.8</v>
      </c>
      <c r="U30" s="3">
        <f t="shared" si="2"/>
        <v>0.096</v>
      </c>
    </row>
    <row r="31" spans="1:21" ht="12.75">
      <c r="A31">
        <v>2018</v>
      </c>
      <c r="B31" s="13">
        <f>ESB!J67</f>
        <v>0.010653770674289034</v>
      </c>
      <c r="C31" s="3">
        <f>IF(A31&lt;$K$8,ESB!$L67,C30)</f>
        <v>0.04263970244729627</v>
      </c>
      <c r="D31" s="2">
        <f>IF(A31&lt;$K$8,0,IF($L$8="NA",SUM(ESB!I$54:I67)/ESB!D67,IF(AND(A31&lt;$L$8,A31&gt;=$K$8),SUM(ESB!I$54:I67)/ESB!D67,D30)))</f>
        <v>0.14636380968085796</v>
      </c>
      <c r="E31" s="2">
        <f>IF(A31&lt;$L$8,0,IF($L$8="NA",0,SUM(ESB!I$59:I67)/ESB!D67))</f>
        <v>0</v>
      </c>
      <c r="I31">
        <v>2018</v>
      </c>
      <c r="J31" s="3">
        <f t="shared" si="0"/>
        <v>1</v>
      </c>
      <c r="K31" s="3">
        <f t="shared" si="1"/>
        <v>0</v>
      </c>
      <c r="R31">
        <v>2018</v>
      </c>
      <c r="S31" s="3">
        <f>Heating!S31</f>
        <v>0.13</v>
      </c>
      <c r="T31" s="3">
        <f>Heating!T31</f>
        <v>0.8</v>
      </c>
      <c r="U31" s="3">
        <f t="shared" si="2"/>
        <v>0.10400000000000001</v>
      </c>
    </row>
    <row r="32" spans="1:21" ht="12.75">
      <c r="A32">
        <v>2019</v>
      </c>
      <c r="B32" s="13">
        <f>ESB!J68</f>
        <v>0.009962445343214197</v>
      </c>
      <c r="C32" s="3">
        <f>IF(A32&lt;$K$8,ESB!$L68,C31)</f>
        <v>0.04263970244729627</v>
      </c>
      <c r="D32" s="2">
        <f>IF(A32&lt;$K$8,0,IF($L$8="NA",SUM(ESB!I$54:I68)/ESB!D68,IF(AND(A32&lt;$L$8,A32&gt;=$K$8),SUM(ESB!I$54:I68)/ESB!D68,D31)))</f>
        <v>0.15444794354741753</v>
      </c>
      <c r="E32" s="2">
        <f>IF(A32&lt;$L$8,0,IF($L$8="NA",0,SUM(ESB!I$59:I68)/ESB!D68))</f>
        <v>0</v>
      </c>
      <c r="I32">
        <v>2019</v>
      </c>
      <c r="J32" s="3">
        <f t="shared" si="0"/>
        <v>1</v>
      </c>
      <c r="K32" s="3">
        <f t="shared" si="1"/>
        <v>0</v>
      </c>
      <c r="R32">
        <v>2019</v>
      </c>
      <c r="S32" s="3">
        <f>Heating!S32</f>
        <v>0.14</v>
      </c>
      <c r="T32" s="3">
        <f>Heating!T32</f>
        <v>0.8</v>
      </c>
      <c r="U32" s="3">
        <f t="shared" si="2"/>
        <v>0.11200000000000002</v>
      </c>
    </row>
    <row r="33" spans="1:21" ht="12.75">
      <c r="A33">
        <v>2020</v>
      </c>
      <c r="B33" s="13">
        <f>ESB!J69</f>
        <v>0.009297752954572521</v>
      </c>
      <c r="C33" s="3">
        <f>IF(A33&lt;$K$8,ESB!$L69,C32)</f>
        <v>0.04263970244729627</v>
      </c>
      <c r="D33" s="2">
        <f>IF(A33&lt;$K$8,0,IF($L$8="NA",SUM(ESB!I$54:I69)/ESB!D69,IF(AND(A33&lt;$L$8,A33&gt;=$K$8),SUM(ESB!I$54:I69)/ESB!D69,D32)))</f>
        <v>0.1617636399707794</v>
      </c>
      <c r="E33" s="2">
        <f>IF(A33&lt;$L$8,0,IF($L$8="NA",0,SUM(ESB!I$59:I69)/ESB!D69))</f>
        <v>0</v>
      </c>
      <c r="I33">
        <v>2020</v>
      </c>
      <c r="J33" s="3">
        <f t="shared" si="0"/>
        <v>1</v>
      </c>
      <c r="K33" s="3">
        <f t="shared" si="1"/>
        <v>0</v>
      </c>
      <c r="R33">
        <v>2020</v>
      </c>
      <c r="S33" s="3">
        <f>Heating!S33</f>
        <v>0.15</v>
      </c>
      <c r="T33" s="3">
        <f>Heating!T33</f>
        <v>0.8</v>
      </c>
      <c r="U33" s="3">
        <f t="shared" si="2"/>
        <v>0.12</v>
      </c>
    </row>
  </sheetData>
  <printOptions/>
  <pageMargins left="0.75" right="0.75" top="1" bottom="1" header="0.5" footer="0.5"/>
  <pageSetup horizontalDpi="600" verticalDpi="600" orientation="portrait"/>
</worksheet>
</file>

<file path=xl/worksheets/sheet15.xml><?xml version="1.0" encoding="utf-8"?>
<worksheet xmlns="http://schemas.openxmlformats.org/spreadsheetml/2006/main" xmlns:r="http://schemas.openxmlformats.org/officeDocument/2006/relationships">
  <sheetPr>
    <pageSetUpPr fitToPage="1"/>
  </sheetPr>
  <dimension ref="A1:Z35"/>
  <sheetViews>
    <sheetView workbookViewId="0" topLeftCell="A1">
      <pane xSplit="1" ySplit="12" topLeftCell="B13" activePane="bottomRight" state="frozen"/>
      <selection pane="topLeft" activeCell="A1" sqref="A1"/>
      <selection pane="topRight" activeCell="B1" sqref="B1"/>
      <selection pane="bottomLeft" activeCell="A13" sqref="A13"/>
      <selection pane="bottomRight" activeCell="I5" sqref="I5"/>
    </sheetView>
  </sheetViews>
  <sheetFormatPr defaultColWidth="9.33203125" defaultRowHeight="12.75"/>
  <cols>
    <col min="1" max="16384" width="9" style="0" customWidth="1"/>
  </cols>
  <sheetData>
    <row r="1" ht="18.75">
      <c r="A1" s="4" t="s">
        <v>51</v>
      </c>
    </row>
    <row r="2" spans="3:9" ht="12.75">
      <c r="C2" t="s">
        <v>254</v>
      </c>
      <c r="D2" t="s">
        <v>274</v>
      </c>
      <c r="E2" t="s">
        <v>255</v>
      </c>
      <c r="F2" t="s">
        <v>104</v>
      </c>
      <c r="G2" t="s">
        <v>176</v>
      </c>
      <c r="H2" t="s">
        <v>275</v>
      </c>
      <c r="I2" t="s">
        <v>276</v>
      </c>
    </row>
    <row r="3" spans="1:10" ht="12.75">
      <c r="A3" t="s">
        <v>224</v>
      </c>
      <c r="C3">
        <v>50</v>
      </c>
      <c r="D3">
        <v>50</v>
      </c>
      <c r="E3">
        <v>50</v>
      </c>
      <c r="F3">
        <v>50</v>
      </c>
      <c r="G3">
        <v>50</v>
      </c>
      <c r="H3">
        <v>50</v>
      </c>
      <c r="I3">
        <v>50</v>
      </c>
      <c r="J3" t="s">
        <v>225</v>
      </c>
    </row>
    <row r="4" spans="1:9" ht="12.75">
      <c r="A4" t="s">
        <v>52</v>
      </c>
      <c r="C4" s="2">
        <f>'[8]Heating'!C5</f>
        <v>0.44888125</v>
      </c>
      <c r="D4" s="2">
        <f>'[8]Cooling'!C5</f>
        <v>0.49843562500000005</v>
      </c>
      <c r="E4" s="2">
        <f>'[8]Ventilation'!D5</f>
        <v>0.5725</v>
      </c>
      <c r="F4" s="2">
        <f>'[8]WH-Gas'!D5</f>
        <v>0.31599999999999995</v>
      </c>
      <c r="G4" s="2">
        <f>Lighting!M5</f>
        <v>0.24333333333333332</v>
      </c>
      <c r="H4" s="2">
        <f>'[8]Cooling'!D5</f>
        <v>0.45693259469696973</v>
      </c>
      <c r="I4" s="2">
        <f>'[8]Cooling'!E5</f>
        <v>0.4317689583333334</v>
      </c>
    </row>
    <row r="5" spans="1:9" ht="12.75">
      <c r="A5" t="s">
        <v>66</v>
      </c>
      <c r="C5" s="98">
        <f>'[2]HVAC'!$Q$38</f>
        <v>1.3487434093074306</v>
      </c>
      <c r="D5" s="101">
        <f>Cooling!C8</f>
        <v>3.95294082446492</v>
      </c>
      <c r="E5" s="98">
        <f>'[2]HVAC'!$Q$38</f>
        <v>1.3487434093074306</v>
      </c>
      <c r="F5" s="101">
        <f>'WH-Gas'!C8</f>
        <v>2.1946196188966396</v>
      </c>
      <c r="G5" s="103">
        <f>Lighting!$L$8</f>
        <v>0.02492767598842816</v>
      </c>
      <c r="H5" s="101">
        <f>Cooling!D8</f>
        <v>3.95294082446492</v>
      </c>
      <c r="I5" s="101">
        <f>Cooling!E8</f>
        <v>3.95294082446492</v>
      </c>
    </row>
    <row r="6" spans="1:9" ht="12.75">
      <c r="A6" t="s">
        <v>67</v>
      </c>
      <c r="C6" s="101">
        <f aca="true" t="shared" si="0" ref="C6:I6">C5*(1-$C$7)</f>
        <v>1.2138690683766875</v>
      </c>
      <c r="D6" s="101">
        <f t="shared" si="0"/>
        <v>3.5576467420184277</v>
      </c>
      <c r="E6" s="101">
        <f t="shared" si="0"/>
        <v>1.2138690683766875</v>
      </c>
      <c r="F6" s="101">
        <f t="shared" si="0"/>
        <v>1.9751576570069758</v>
      </c>
      <c r="G6" s="101">
        <f t="shared" si="0"/>
        <v>0.022434908389585343</v>
      </c>
      <c r="H6" s="101">
        <f t="shared" si="0"/>
        <v>3.5576467420184277</v>
      </c>
      <c r="I6" s="101">
        <f t="shared" si="0"/>
        <v>3.5576467420184277</v>
      </c>
    </row>
    <row r="7" spans="1:22" ht="12.75">
      <c r="A7" t="s">
        <v>69</v>
      </c>
      <c r="C7" s="104">
        <v>0.1</v>
      </c>
      <c r="D7" s="8"/>
      <c r="O7" s="109" t="s">
        <v>271</v>
      </c>
      <c r="P7" s="109"/>
      <c r="Q7" s="109"/>
      <c r="R7" s="109"/>
      <c r="S7" s="110" t="s">
        <v>272</v>
      </c>
      <c r="T7" s="110"/>
      <c r="U7" s="110"/>
      <c r="V7" s="110"/>
    </row>
    <row r="8" spans="1:22" ht="12.75">
      <c r="A8" t="s">
        <v>68</v>
      </c>
      <c r="C8">
        <v>2010</v>
      </c>
      <c r="D8">
        <v>2010</v>
      </c>
      <c r="E8">
        <v>2010</v>
      </c>
      <c r="F8">
        <v>2010</v>
      </c>
      <c r="G8">
        <v>2010</v>
      </c>
      <c r="H8">
        <v>2010</v>
      </c>
      <c r="I8">
        <v>2010</v>
      </c>
      <c r="P8" t="s">
        <v>250</v>
      </c>
      <c r="R8" t="s">
        <v>251</v>
      </c>
      <c r="T8" t="s">
        <v>250</v>
      </c>
      <c r="V8" t="s">
        <v>251</v>
      </c>
    </row>
    <row r="9" spans="3:22" ht="12.75">
      <c r="C9" s="2"/>
      <c r="D9" s="2"/>
      <c r="I9" t="s">
        <v>273</v>
      </c>
      <c r="J9" t="s">
        <v>273</v>
      </c>
      <c r="K9" t="s">
        <v>55</v>
      </c>
      <c r="L9" t="s">
        <v>55</v>
      </c>
      <c r="M9" t="s">
        <v>56</v>
      </c>
      <c r="N9" t="s">
        <v>56</v>
      </c>
      <c r="O9" t="s">
        <v>56</v>
      </c>
      <c r="P9" t="s">
        <v>59</v>
      </c>
      <c r="R9" t="s">
        <v>59</v>
      </c>
      <c r="S9" t="s">
        <v>56</v>
      </c>
      <c r="T9" t="s">
        <v>59</v>
      </c>
      <c r="V9" t="s">
        <v>59</v>
      </c>
    </row>
    <row r="10" spans="2:22" ht="12.75">
      <c r="B10" s="6"/>
      <c r="C10" s="6"/>
      <c r="D10" t="s">
        <v>53</v>
      </c>
      <c r="E10" t="s">
        <v>253</v>
      </c>
      <c r="F10" t="s">
        <v>25</v>
      </c>
      <c r="G10" t="s">
        <v>176</v>
      </c>
      <c r="I10" t="s">
        <v>12</v>
      </c>
      <c r="J10" t="s">
        <v>12</v>
      </c>
      <c r="K10" t="s">
        <v>12</v>
      </c>
      <c r="L10" t="s">
        <v>12</v>
      </c>
      <c r="M10" t="s">
        <v>57</v>
      </c>
      <c r="N10" t="s">
        <v>58</v>
      </c>
      <c r="O10" t="s">
        <v>62</v>
      </c>
      <c r="P10" t="s">
        <v>77</v>
      </c>
      <c r="Q10" t="s">
        <v>56</v>
      </c>
      <c r="R10" t="s">
        <v>81</v>
      </c>
      <c r="S10" t="s">
        <v>62</v>
      </c>
      <c r="T10" t="s">
        <v>79</v>
      </c>
      <c r="U10" t="s">
        <v>56</v>
      </c>
      <c r="V10" t="s">
        <v>80</v>
      </c>
    </row>
    <row r="11" spans="2:22" ht="12.75">
      <c r="B11" s="6" t="s">
        <v>250</v>
      </c>
      <c r="C11" s="6" t="s">
        <v>251</v>
      </c>
      <c r="D11" t="s">
        <v>230</v>
      </c>
      <c r="E11" t="s">
        <v>230</v>
      </c>
      <c r="F11" t="s">
        <v>230</v>
      </c>
      <c r="G11" t="s">
        <v>230</v>
      </c>
      <c r="I11" t="s">
        <v>250</v>
      </c>
      <c r="J11" t="s">
        <v>258</v>
      </c>
      <c r="K11" t="s">
        <v>80</v>
      </c>
      <c r="L11" t="s">
        <v>81</v>
      </c>
      <c r="M11" t="s">
        <v>60</v>
      </c>
      <c r="N11" t="s">
        <v>61</v>
      </c>
      <c r="O11" t="s">
        <v>76</v>
      </c>
      <c r="P11" t="s">
        <v>108</v>
      </c>
      <c r="Q11" t="s">
        <v>63</v>
      </c>
      <c r="R11" t="s">
        <v>108</v>
      </c>
      <c r="S11" t="s">
        <v>78</v>
      </c>
      <c r="T11" t="s">
        <v>108</v>
      </c>
      <c r="U11" t="s">
        <v>63</v>
      </c>
      <c r="V11" t="s">
        <v>108</v>
      </c>
    </row>
    <row r="12" spans="2:26" ht="12.75">
      <c r="B12" t="s">
        <v>65</v>
      </c>
      <c r="C12" t="s">
        <v>65</v>
      </c>
      <c r="D12" t="s">
        <v>54</v>
      </c>
      <c r="E12" t="s">
        <v>54</v>
      </c>
      <c r="F12" t="s">
        <v>141</v>
      </c>
      <c r="G12" t="s">
        <v>141</v>
      </c>
      <c r="I12" t="s">
        <v>64</v>
      </c>
      <c r="J12" t="s">
        <v>64</v>
      </c>
      <c r="K12" t="s">
        <v>64</v>
      </c>
      <c r="L12" t="s">
        <v>64</v>
      </c>
      <c r="M12" t="s">
        <v>108</v>
      </c>
      <c r="N12" t="s">
        <v>108</v>
      </c>
      <c r="O12" t="s">
        <v>64</v>
      </c>
      <c r="Q12" t="s">
        <v>64</v>
      </c>
      <c r="S12" t="s">
        <v>64</v>
      </c>
      <c r="U12" t="s">
        <v>64</v>
      </c>
      <c r="Y12" t="s">
        <v>206</v>
      </c>
      <c r="Z12" t="s">
        <v>77</v>
      </c>
    </row>
    <row r="13" spans="1:26" ht="12.75">
      <c r="A13">
        <v>2000</v>
      </c>
      <c r="B13" s="3">
        <f>P13</f>
        <v>0</v>
      </c>
      <c r="C13" s="3">
        <f>R13</f>
        <v>0</v>
      </c>
      <c r="D13" s="98">
        <f>C5</f>
        <v>1.3487434093074306</v>
      </c>
      <c r="E13" s="98">
        <f>D5</f>
        <v>3.95294082446492</v>
      </c>
      <c r="F13" s="98">
        <f>F5</f>
        <v>2.1946196188966396</v>
      </c>
      <c r="G13" s="98">
        <f>G5</f>
        <v>0.02492767598842816</v>
      </c>
      <c r="I13" s="100">
        <v>1.6</v>
      </c>
      <c r="J13" s="100">
        <v>62.9</v>
      </c>
      <c r="K13" s="100">
        <f>J13-L13</f>
        <v>61.3</v>
      </c>
      <c r="L13" s="100">
        <f>I13</f>
        <v>1.6</v>
      </c>
      <c r="M13" s="2">
        <v>0</v>
      </c>
      <c r="N13" s="13">
        <v>0</v>
      </c>
      <c r="O13" s="86">
        <f>M13*I13</f>
        <v>0</v>
      </c>
      <c r="P13" s="13">
        <f>O13/I13</f>
        <v>0</v>
      </c>
      <c r="Q13" s="86">
        <f>O13</f>
        <v>0</v>
      </c>
      <c r="R13" s="2">
        <f>Q13/L13</f>
        <v>0</v>
      </c>
      <c r="S13" s="106">
        <f>N13*K13</f>
        <v>0</v>
      </c>
      <c r="T13" s="105">
        <f>S13/(J13-I13)</f>
        <v>0</v>
      </c>
      <c r="U13" s="86">
        <f>S13</f>
        <v>0</v>
      </c>
      <c r="V13" s="2">
        <f>U13/K13</f>
        <v>0</v>
      </c>
      <c r="X13" s="2">
        <v>0.011433755215577188</v>
      </c>
      <c r="Y13" s="3">
        <v>0.011433755215577188</v>
      </c>
      <c r="Z13" s="3">
        <v>0.011433755215577188</v>
      </c>
    </row>
    <row r="14" spans="1:26" ht="12.75">
      <c r="A14">
        <v>2001</v>
      </c>
      <c r="B14" s="3">
        <f aca="true" t="shared" si="1" ref="B14:B33">P14</f>
        <v>0</v>
      </c>
      <c r="C14" s="3">
        <f aca="true" t="shared" si="2" ref="C14:C33">R14</f>
        <v>0</v>
      </c>
      <c r="D14" s="98">
        <f aca="true" t="shared" si="3" ref="D14:G22">D13</f>
        <v>1.3487434093074306</v>
      </c>
      <c r="E14" s="98">
        <f t="shared" si="3"/>
        <v>3.95294082446492</v>
      </c>
      <c r="F14" s="98">
        <f t="shared" si="3"/>
        <v>2.1946196188966396</v>
      </c>
      <c r="G14" s="98">
        <f t="shared" si="3"/>
        <v>0.02492767598842816</v>
      </c>
      <c r="I14" s="100">
        <v>1.5</v>
      </c>
      <c r="J14" s="100">
        <v>63.6</v>
      </c>
      <c r="K14" s="100">
        <f aca="true" t="shared" si="4" ref="K14:K33">J14-L14</f>
        <v>60.5</v>
      </c>
      <c r="L14" s="100">
        <f>L13+I14</f>
        <v>3.1</v>
      </c>
      <c r="M14" s="2">
        <v>0</v>
      </c>
      <c r="N14" s="13">
        <v>0</v>
      </c>
      <c r="O14" s="86">
        <f aca="true" t="shared" si="5" ref="O14:O33">M14*I14</f>
        <v>0</v>
      </c>
      <c r="P14" s="13">
        <f aca="true" t="shared" si="6" ref="P14:P33">O14/I14</f>
        <v>0</v>
      </c>
      <c r="Q14" s="86">
        <f>Q13+O14</f>
        <v>0</v>
      </c>
      <c r="R14" s="2">
        <f aca="true" t="shared" si="7" ref="R14:R33">Q14/L14</f>
        <v>0</v>
      </c>
      <c r="S14" s="106">
        <f aca="true" t="shared" si="8" ref="S14:S33">N14*K14</f>
        <v>0</v>
      </c>
      <c r="T14" s="105">
        <f aca="true" t="shared" si="9" ref="T14:T33">S14/(J14-I14)</f>
        <v>0</v>
      </c>
      <c r="U14" s="86">
        <f>U13+S14</f>
        <v>0</v>
      </c>
      <c r="V14" s="2">
        <f aca="true" t="shared" si="10" ref="V14:V33">U14/K14</f>
        <v>0</v>
      </c>
      <c r="X14" s="2">
        <v>0.017078340771637692</v>
      </c>
      <c r="Y14" s="3">
        <v>0.017078340771637692</v>
      </c>
      <c r="Z14" s="3">
        <v>0.017078340771637692</v>
      </c>
    </row>
    <row r="15" spans="1:26" ht="12.75">
      <c r="A15">
        <v>2002</v>
      </c>
      <c r="B15" s="3">
        <f t="shared" si="1"/>
        <v>0</v>
      </c>
      <c r="C15" s="3">
        <f t="shared" si="2"/>
        <v>0</v>
      </c>
      <c r="D15" s="98">
        <f t="shared" si="3"/>
        <v>1.3487434093074306</v>
      </c>
      <c r="E15" s="98">
        <f t="shared" si="3"/>
        <v>3.95294082446492</v>
      </c>
      <c r="F15" s="98">
        <f t="shared" si="3"/>
        <v>2.1946196188966396</v>
      </c>
      <c r="G15" s="98">
        <f t="shared" si="3"/>
        <v>0.02492767598842816</v>
      </c>
      <c r="I15" s="100">
        <v>1.4</v>
      </c>
      <c r="J15" s="100">
        <v>64.3</v>
      </c>
      <c r="K15" s="100">
        <f t="shared" si="4"/>
        <v>59.8</v>
      </c>
      <c r="L15" s="100">
        <f aca="true" t="shared" si="11" ref="L15:L33">L14+I15</f>
        <v>4.5</v>
      </c>
      <c r="M15" s="2">
        <v>0</v>
      </c>
      <c r="N15" s="13">
        <v>0</v>
      </c>
      <c r="O15" s="86">
        <f t="shared" si="5"/>
        <v>0</v>
      </c>
      <c r="P15" s="13">
        <f t="shared" si="6"/>
        <v>0</v>
      </c>
      <c r="Q15" s="86">
        <f aca="true" t="shared" si="12" ref="Q15:Q33">Q14+O15</f>
        <v>0</v>
      </c>
      <c r="R15" s="2">
        <f t="shared" si="7"/>
        <v>0</v>
      </c>
      <c r="S15" s="106">
        <f t="shared" si="8"/>
        <v>0</v>
      </c>
      <c r="T15" s="105">
        <f t="shared" si="9"/>
        <v>0</v>
      </c>
      <c r="U15" s="86">
        <f aca="true" t="shared" si="13" ref="U15:U33">U14+S15</f>
        <v>0</v>
      </c>
      <c r="V15" s="2">
        <f t="shared" si="10"/>
        <v>0</v>
      </c>
      <c r="X15" s="2">
        <v>0.023816687706241093</v>
      </c>
      <c r="Y15" s="3">
        <v>0.023816687706241093</v>
      </c>
      <c r="Z15" s="3">
        <v>0.023816687706241093</v>
      </c>
    </row>
    <row r="16" spans="1:26" ht="12.75">
      <c r="A16">
        <v>2003</v>
      </c>
      <c r="B16" s="3">
        <f t="shared" si="1"/>
        <v>0</v>
      </c>
      <c r="C16" s="3">
        <f t="shared" si="2"/>
        <v>0</v>
      </c>
      <c r="D16" s="98">
        <f t="shared" si="3"/>
        <v>1.3487434093074306</v>
      </c>
      <c r="E16" s="98">
        <f t="shared" si="3"/>
        <v>3.95294082446492</v>
      </c>
      <c r="F16" s="98">
        <f t="shared" si="3"/>
        <v>2.1946196188966396</v>
      </c>
      <c r="G16" s="98">
        <f t="shared" si="3"/>
        <v>0.02492767598842816</v>
      </c>
      <c r="I16" s="100">
        <v>1.5</v>
      </c>
      <c r="J16" s="100">
        <v>64.9</v>
      </c>
      <c r="K16" s="100">
        <f t="shared" si="4"/>
        <v>58.900000000000006</v>
      </c>
      <c r="L16" s="100">
        <f t="shared" si="11"/>
        <v>6</v>
      </c>
      <c r="M16" s="2">
        <v>0</v>
      </c>
      <c r="N16" s="2">
        <v>0</v>
      </c>
      <c r="O16" s="86">
        <f t="shared" si="5"/>
        <v>0</v>
      </c>
      <c r="P16" s="13">
        <f t="shared" si="6"/>
        <v>0</v>
      </c>
      <c r="Q16" s="86">
        <f t="shared" si="12"/>
        <v>0</v>
      </c>
      <c r="R16" s="2">
        <f t="shared" si="7"/>
        <v>0</v>
      </c>
      <c r="S16" s="106">
        <f t="shared" si="8"/>
        <v>0</v>
      </c>
      <c r="T16" s="105">
        <f t="shared" si="9"/>
        <v>0</v>
      </c>
      <c r="U16" s="86">
        <f t="shared" si="13"/>
        <v>0</v>
      </c>
      <c r="V16" s="2">
        <f t="shared" si="10"/>
        <v>0</v>
      </c>
      <c r="X16" s="2">
        <v>0.03115591916591932</v>
      </c>
      <c r="Y16" s="3">
        <v>0.03115591916591932</v>
      </c>
      <c r="Z16" s="3">
        <v>0.03115591916591932</v>
      </c>
    </row>
    <row r="17" spans="1:26" ht="12.75">
      <c r="A17">
        <v>2004</v>
      </c>
      <c r="B17" s="3">
        <f t="shared" si="1"/>
        <v>0</v>
      </c>
      <c r="C17" s="3">
        <f t="shared" si="2"/>
        <v>0</v>
      </c>
      <c r="D17" s="98">
        <f t="shared" si="3"/>
        <v>1.3487434093074306</v>
      </c>
      <c r="E17" s="98">
        <f t="shared" si="3"/>
        <v>3.95294082446492</v>
      </c>
      <c r="F17" s="98">
        <f t="shared" si="3"/>
        <v>2.1946196188966396</v>
      </c>
      <c r="G17" s="102">
        <f>'[8]Lighting'!$M$8</f>
        <v>0.032047930283224405</v>
      </c>
      <c r="I17" s="100">
        <v>1.5</v>
      </c>
      <c r="J17" s="100">
        <v>65.6</v>
      </c>
      <c r="K17" s="100">
        <f t="shared" si="4"/>
        <v>58.099999999999994</v>
      </c>
      <c r="L17" s="100">
        <f t="shared" si="11"/>
        <v>7.5</v>
      </c>
      <c r="M17" s="2">
        <v>0</v>
      </c>
      <c r="N17" s="2">
        <v>0</v>
      </c>
      <c r="O17" s="86">
        <f t="shared" si="5"/>
        <v>0</v>
      </c>
      <c r="P17" s="13">
        <f t="shared" si="6"/>
        <v>0</v>
      </c>
      <c r="Q17" s="86">
        <f t="shared" si="12"/>
        <v>0</v>
      </c>
      <c r="R17" s="2">
        <f t="shared" si="7"/>
        <v>0</v>
      </c>
      <c r="S17" s="106">
        <f t="shared" si="8"/>
        <v>0</v>
      </c>
      <c r="T17" s="105">
        <f t="shared" si="9"/>
        <v>0</v>
      </c>
      <c r="U17" s="86">
        <f t="shared" si="13"/>
        <v>0</v>
      </c>
      <c r="V17" s="2">
        <f t="shared" si="10"/>
        <v>0</v>
      </c>
      <c r="X17" s="2">
        <v>0.038688094843362504</v>
      </c>
      <c r="Y17" s="3">
        <v>0.038688094843362504</v>
      </c>
      <c r="Z17" s="3">
        <v>0.038688094843362504</v>
      </c>
    </row>
    <row r="18" spans="1:26" ht="12.75">
      <c r="A18">
        <v>2005</v>
      </c>
      <c r="B18" s="3">
        <f t="shared" si="1"/>
        <v>0.001</v>
      </c>
      <c r="C18" s="3">
        <f t="shared" si="2"/>
        <v>0.00016666666666666666</v>
      </c>
      <c r="D18" s="98">
        <f t="shared" si="3"/>
        <v>1.3487434093074306</v>
      </c>
      <c r="E18" s="98">
        <f t="shared" si="3"/>
        <v>3.95294082446492</v>
      </c>
      <c r="F18" s="98">
        <f t="shared" si="3"/>
        <v>2.1946196188966396</v>
      </c>
      <c r="G18" s="102">
        <f>'[8]Lighting'!$M$8</f>
        <v>0.032047930283224405</v>
      </c>
      <c r="I18" s="100">
        <v>1.5</v>
      </c>
      <c r="J18" s="100">
        <v>66.3</v>
      </c>
      <c r="K18" s="100">
        <f t="shared" si="4"/>
        <v>57.3</v>
      </c>
      <c r="L18" s="100">
        <f t="shared" si="11"/>
        <v>9</v>
      </c>
      <c r="M18" s="2">
        <v>0.001</v>
      </c>
      <c r="N18" s="2">
        <v>0.001</v>
      </c>
      <c r="O18" s="86">
        <f t="shared" si="5"/>
        <v>0.0015</v>
      </c>
      <c r="P18" s="13">
        <f t="shared" si="6"/>
        <v>0.001</v>
      </c>
      <c r="Q18" s="86">
        <f t="shared" si="12"/>
        <v>0.0015</v>
      </c>
      <c r="R18" s="2">
        <f t="shared" si="7"/>
        <v>0.00016666666666666666</v>
      </c>
      <c r="S18" s="106">
        <f t="shared" si="8"/>
        <v>0.0573</v>
      </c>
      <c r="T18" s="105">
        <f t="shared" si="9"/>
        <v>0.0008842592592592592</v>
      </c>
      <c r="U18" s="86">
        <f t="shared" si="13"/>
        <v>0.0573</v>
      </c>
      <c r="V18" s="2">
        <f t="shared" si="10"/>
        <v>0.001</v>
      </c>
      <c r="X18" s="2">
        <v>0.046449551394787826</v>
      </c>
      <c r="Y18" s="3">
        <v>0.046449551394787826</v>
      </c>
      <c r="Z18" s="3">
        <v>0.046449551394787826</v>
      </c>
    </row>
    <row r="19" spans="1:26" ht="12.75">
      <c r="A19">
        <v>2006</v>
      </c>
      <c r="B19" s="3">
        <f t="shared" si="1"/>
        <v>0.04</v>
      </c>
      <c r="C19" s="3">
        <f t="shared" si="2"/>
        <v>0.005528846153846153</v>
      </c>
      <c r="D19" s="98">
        <f t="shared" si="3"/>
        <v>1.3487434093074306</v>
      </c>
      <c r="E19" s="98">
        <f t="shared" si="3"/>
        <v>3.95294082446492</v>
      </c>
      <c r="F19" s="98">
        <f t="shared" si="3"/>
        <v>2.1946196188966396</v>
      </c>
      <c r="G19" s="102">
        <f>'[8]Lighting'!$M$8</f>
        <v>0.032047930283224405</v>
      </c>
      <c r="I19" s="100">
        <v>1.4</v>
      </c>
      <c r="J19" s="100">
        <v>66.9</v>
      </c>
      <c r="K19" s="100">
        <f t="shared" si="4"/>
        <v>56.50000000000001</v>
      </c>
      <c r="L19" s="100">
        <f t="shared" si="11"/>
        <v>10.4</v>
      </c>
      <c r="M19" s="2">
        <v>0.04</v>
      </c>
      <c r="N19" s="2">
        <v>0.002</v>
      </c>
      <c r="O19" s="86">
        <f t="shared" si="5"/>
        <v>0.055999999999999994</v>
      </c>
      <c r="P19" s="13">
        <f t="shared" si="6"/>
        <v>0.04</v>
      </c>
      <c r="Q19" s="86">
        <f t="shared" si="12"/>
        <v>0.057499999999999996</v>
      </c>
      <c r="R19" s="2">
        <f t="shared" si="7"/>
        <v>0.005528846153846153</v>
      </c>
      <c r="S19" s="106">
        <f t="shared" si="8"/>
        <v>0.11300000000000002</v>
      </c>
      <c r="T19" s="105">
        <f t="shared" si="9"/>
        <v>0.0017251908396946568</v>
      </c>
      <c r="U19" s="86">
        <f t="shared" si="13"/>
        <v>0.1703</v>
      </c>
      <c r="V19" s="2">
        <f t="shared" si="10"/>
        <v>0.003014159292035398</v>
      </c>
      <c r="X19" s="2">
        <v>0.054604815704262157</v>
      </c>
      <c r="Y19" s="3">
        <v>0.054604815704262157</v>
      </c>
      <c r="Z19" s="3">
        <v>0.054604815704262157</v>
      </c>
    </row>
    <row r="20" spans="1:26" ht="12.75">
      <c r="A20">
        <v>2007</v>
      </c>
      <c r="B20" s="3">
        <f t="shared" si="1"/>
        <v>0.08</v>
      </c>
      <c r="C20" s="3">
        <f t="shared" si="2"/>
        <v>0.014915966386554621</v>
      </c>
      <c r="D20" s="98">
        <f t="shared" si="3"/>
        <v>1.3487434093074306</v>
      </c>
      <c r="E20" s="98">
        <f t="shared" si="3"/>
        <v>3.95294082446492</v>
      </c>
      <c r="F20" s="98">
        <f t="shared" si="3"/>
        <v>2.1946196188966396</v>
      </c>
      <c r="G20" s="102">
        <f>'[8]Lighting'!$M$8</f>
        <v>0.032047930283224405</v>
      </c>
      <c r="I20" s="100">
        <v>1.5</v>
      </c>
      <c r="J20" s="100">
        <v>67.6</v>
      </c>
      <c r="K20" s="100">
        <f t="shared" si="4"/>
        <v>55.699999999999996</v>
      </c>
      <c r="L20" s="100">
        <f t="shared" si="11"/>
        <v>11.9</v>
      </c>
      <c r="M20" s="2">
        <v>0.08</v>
      </c>
      <c r="N20" s="2">
        <v>0.003</v>
      </c>
      <c r="O20" s="86">
        <f t="shared" si="5"/>
        <v>0.12</v>
      </c>
      <c r="P20" s="13">
        <f t="shared" si="6"/>
        <v>0.08</v>
      </c>
      <c r="Q20" s="86">
        <f t="shared" si="12"/>
        <v>0.1775</v>
      </c>
      <c r="R20" s="13">
        <f t="shared" si="7"/>
        <v>0.014915966386554621</v>
      </c>
      <c r="S20" s="106">
        <f t="shared" si="8"/>
        <v>0.1671</v>
      </c>
      <c r="T20" s="105">
        <f t="shared" si="9"/>
        <v>0.0025279878971255676</v>
      </c>
      <c r="U20" s="86">
        <f t="shared" si="13"/>
        <v>0.33740000000000003</v>
      </c>
      <c r="V20" s="2">
        <f t="shared" si="10"/>
        <v>0.006057450628366249</v>
      </c>
      <c r="X20" s="2">
        <v>0.06326780479288821</v>
      </c>
      <c r="Y20" s="3">
        <v>0.06326780479288821</v>
      </c>
      <c r="Z20" s="3">
        <v>0.06326780479288821</v>
      </c>
    </row>
    <row r="21" spans="1:26" ht="12.75">
      <c r="A21">
        <v>2008</v>
      </c>
      <c r="B21" s="3">
        <f t="shared" si="1"/>
        <v>0.10000000000000002</v>
      </c>
      <c r="C21" s="3">
        <f t="shared" si="2"/>
        <v>0.024440298507462686</v>
      </c>
      <c r="D21" s="98">
        <f t="shared" si="3"/>
        <v>1.3487434093074306</v>
      </c>
      <c r="E21" s="98">
        <f t="shared" si="3"/>
        <v>3.95294082446492</v>
      </c>
      <c r="F21" s="98">
        <f t="shared" si="3"/>
        <v>2.1946196188966396</v>
      </c>
      <c r="G21" s="102">
        <f>'[8]Lighting'!$M$8</f>
        <v>0.032047930283224405</v>
      </c>
      <c r="I21" s="100">
        <v>1.5</v>
      </c>
      <c r="J21" s="100">
        <v>68.2</v>
      </c>
      <c r="K21" s="100">
        <f t="shared" si="4"/>
        <v>54.800000000000004</v>
      </c>
      <c r="L21" s="100">
        <f t="shared" si="11"/>
        <v>13.4</v>
      </c>
      <c r="M21" s="2">
        <v>0.1</v>
      </c>
      <c r="N21" s="2">
        <v>0.004</v>
      </c>
      <c r="O21" s="86">
        <f t="shared" si="5"/>
        <v>0.15000000000000002</v>
      </c>
      <c r="P21" s="13">
        <f t="shared" si="6"/>
        <v>0.10000000000000002</v>
      </c>
      <c r="Q21" s="86">
        <f t="shared" si="12"/>
        <v>0.3275</v>
      </c>
      <c r="R21" s="13">
        <f t="shared" si="7"/>
        <v>0.024440298507462686</v>
      </c>
      <c r="S21" s="106">
        <f t="shared" si="8"/>
        <v>0.21920000000000003</v>
      </c>
      <c r="T21" s="105">
        <f t="shared" si="9"/>
        <v>0.0032863568215892058</v>
      </c>
      <c r="U21" s="86">
        <f t="shared" si="13"/>
        <v>0.5566000000000001</v>
      </c>
      <c r="V21" s="2">
        <f t="shared" si="10"/>
        <v>0.010156934306569344</v>
      </c>
      <c r="X21" s="2">
        <v>0.07226734852068659</v>
      </c>
      <c r="Y21" s="3">
        <v>0.07226734852068659</v>
      </c>
      <c r="Z21" s="3">
        <v>0.07226734852068659</v>
      </c>
    </row>
    <row r="22" spans="1:26" ht="12.75">
      <c r="A22">
        <v>2009</v>
      </c>
      <c r="B22" s="3">
        <f t="shared" si="1"/>
        <v>0.12</v>
      </c>
      <c r="C22" s="3">
        <f t="shared" si="2"/>
        <v>0.03406040268456376</v>
      </c>
      <c r="D22" s="98">
        <f t="shared" si="3"/>
        <v>1.3487434093074306</v>
      </c>
      <c r="E22" s="98">
        <f t="shared" si="3"/>
        <v>3.95294082446492</v>
      </c>
      <c r="F22" s="98">
        <f t="shared" si="3"/>
        <v>2.1946196188966396</v>
      </c>
      <c r="G22" s="102">
        <f>'[8]Lighting'!$M$8</f>
        <v>0.032047930283224405</v>
      </c>
      <c r="I22" s="100">
        <v>1.5</v>
      </c>
      <c r="J22" s="100">
        <v>68.9</v>
      </c>
      <c r="K22" s="100">
        <f t="shared" si="4"/>
        <v>54.00000000000001</v>
      </c>
      <c r="L22" s="100">
        <f t="shared" si="11"/>
        <v>14.9</v>
      </c>
      <c r="M22" s="2">
        <v>0.12</v>
      </c>
      <c r="N22" s="2">
        <v>0.005</v>
      </c>
      <c r="O22" s="86">
        <f t="shared" si="5"/>
        <v>0.18</v>
      </c>
      <c r="P22" s="13">
        <f t="shared" si="6"/>
        <v>0.12</v>
      </c>
      <c r="Q22" s="86">
        <f t="shared" si="12"/>
        <v>0.5075000000000001</v>
      </c>
      <c r="R22" s="13">
        <f t="shared" si="7"/>
        <v>0.03406040268456376</v>
      </c>
      <c r="S22" s="106">
        <f t="shared" si="8"/>
        <v>0.27</v>
      </c>
      <c r="T22" s="105">
        <f t="shared" si="9"/>
        <v>0.0040059347181008904</v>
      </c>
      <c r="U22" s="86">
        <f t="shared" si="13"/>
        <v>0.8266000000000001</v>
      </c>
      <c r="V22" s="2">
        <f t="shared" si="10"/>
        <v>0.015307407407407407</v>
      </c>
      <c r="X22" s="2">
        <v>0.08182584048219187</v>
      </c>
      <c r="Y22" s="3">
        <v>0.08182584048219187</v>
      </c>
      <c r="Z22" s="3">
        <v>0.08182584048219187</v>
      </c>
    </row>
    <row r="23" spans="1:26" ht="12.75">
      <c r="A23">
        <v>2010</v>
      </c>
      <c r="B23" s="3">
        <f t="shared" si="1"/>
        <v>0.14</v>
      </c>
      <c r="C23" s="3">
        <f t="shared" si="2"/>
        <v>0.043750000000000004</v>
      </c>
      <c r="D23" s="98">
        <f aca="true" t="shared" si="14" ref="D23:G33">D$22*(1-$C$7)</f>
        <v>1.2138690683766875</v>
      </c>
      <c r="E23" s="98">
        <f t="shared" si="14"/>
        <v>3.5576467420184277</v>
      </c>
      <c r="F23" s="98">
        <f t="shared" si="14"/>
        <v>1.9751576570069758</v>
      </c>
      <c r="G23" s="98">
        <f t="shared" si="14"/>
        <v>0.028843137254901965</v>
      </c>
      <c r="I23" s="100">
        <v>1.5</v>
      </c>
      <c r="J23" s="100">
        <v>69.5</v>
      </c>
      <c r="K23" s="100">
        <f t="shared" si="4"/>
        <v>53.1</v>
      </c>
      <c r="L23" s="100">
        <f t="shared" si="11"/>
        <v>16.4</v>
      </c>
      <c r="M23" s="2">
        <v>0.14</v>
      </c>
      <c r="N23" s="105">
        <v>0.006</v>
      </c>
      <c r="O23" s="86">
        <f t="shared" si="5"/>
        <v>0.21000000000000002</v>
      </c>
      <c r="P23" s="13">
        <f t="shared" si="6"/>
        <v>0.14</v>
      </c>
      <c r="Q23" s="86">
        <f t="shared" si="12"/>
        <v>0.7175</v>
      </c>
      <c r="R23" s="13">
        <f t="shared" si="7"/>
        <v>0.043750000000000004</v>
      </c>
      <c r="S23" s="106">
        <f t="shared" si="8"/>
        <v>0.3186</v>
      </c>
      <c r="T23" s="105">
        <f t="shared" si="9"/>
        <v>0.004685294117647058</v>
      </c>
      <c r="U23" s="86">
        <f t="shared" si="13"/>
        <v>1.1452</v>
      </c>
      <c r="V23" s="2">
        <f t="shared" si="10"/>
        <v>0.021566854990583802</v>
      </c>
      <c r="X23" s="2">
        <v>0.09160955463093161</v>
      </c>
      <c r="Y23" s="3">
        <v>0.09410955463093161</v>
      </c>
      <c r="Z23" s="3">
        <v>0.09618272536263893</v>
      </c>
    </row>
    <row r="24" spans="1:26" ht="12.75">
      <c r="A24">
        <v>2011</v>
      </c>
      <c r="B24" s="3">
        <f t="shared" si="1"/>
        <v>0.16</v>
      </c>
      <c r="C24" s="3">
        <f t="shared" si="2"/>
        <v>0.05349162011173185</v>
      </c>
      <c r="D24" s="98">
        <f t="shared" si="14"/>
        <v>1.2138690683766875</v>
      </c>
      <c r="E24" s="98">
        <f t="shared" si="14"/>
        <v>3.5576467420184277</v>
      </c>
      <c r="F24" s="98">
        <f t="shared" si="14"/>
        <v>1.9751576570069758</v>
      </c>
      <c r="G24" s="98">
        <f t="shared" si="14"/>
        <v>0.028843137254901965</v>
      </c>
      <c r="I24" s="100">
        <v>1.5</v>
      </c>
      <c r="J24" s="100">
        <v>70.1</v>
      </c>
      <c r="K24" s="100">
        <f t="shared" si="4"/>
        <v>52.199999999999996</v>
      </c>
      <c r="L24" s="100">
        <f t="shared" si="11"/>
        <v>17.9</v>
      </c>
      <c r="M24" s="2">
        <v>0.16</v>
      </c>
      <c r="N24" s="105">
        <v>0.006</v>
      </c>
      <c r="O24" s="86">
        <f t="shared" si="5"/>
        <v>0.24</v>
      </c>
      <c r="P24" s="13">
        <f t="shared" si="6"/>
        <v>0.16</v>
      </c>
      <c r="Q24" s="86">
        <f t="shared" si="12"/>
        <v>0.9575</v>
      </c>
      <c r="R24" s="13">
        <f t="shared" si="7"/>
        <v>0.05349162011173185</v>
      </c>
      <c r="S24" s="106">
        <f t="shared" si="8"/>
        <v>0.3132</v>
      </c>
      <c r="T24" s="105">
        <f t="shared" si="9"/>
        <v>0.004565597667638484</v>
      </c>
      <c r="U24" s="86">
        <f t="shared" si="13"/>
        <v>1.4584</v>
      </c>
      <c r="V24" s="2">
        <f t="shared" si="10"/>
        <v>0.027938697318007664</v>
      </c>
      <c r="X24" s="2">
        <v>0.10160294213668979</v>
      </c>
      <c r="Y24" s="3">
        <v>0.10664604558496565</v>
      </c>
      <c r="Z24" s="3">
        <v>0.10998283040484622</v>
      </c>
    </row>
    <row r="25" spans="1:26" ht="12.75">
      <c r="A25">
        <v>2012</v>
      </c>
      <c r="B25" s="3">
        <f t="shared" si="1"/>
        <v>0.18000000000000002</v>
      </c>
      <c r="C25" s="3">
        <f t="shared" si="2"/>
        <v>0.06266839378238342</v>
      </c>
      <c r="D25" s="98">
        <f t="shared" si="14"/>
        <v>1.2138690683766875</v>
      </c>
      <c r="E25" s="98">
        <f t="shared" si="14"/>
        <v>3.5576467420184277</v>
      </c>
      <c r="F25" s="98">
        <f t="shared" si="14"/>
        <v>1.9751576570069758</v>
      </c>
      <c r="G25" s="98">
        <f t="shared" si="14"/>
        <v>0.028843137254901965</v>
      </c>
      <c r="I25" s="100">
        <v>1.4</v>
      </c>
      <c r="J25" s="100">
        <v>70.7</v>
      </c>
      <c r="K25" s="100">
        <f t="shared" si="4"/>
        <v>51.400000000000006</v>
      </c>
      <c r="L25" s="100">
        <f t="shared" si="11"/>
        <v>19.299999999999997</v>
      </c>
      <c r="M25" s="2">
        <v>0.18</v>
      </c>
      <c r="N25" s="105">
        <v>0.006</v>
      </c>
      <c r="O25" s="86">
        <f t="shared" si="5"/>
        <v>0.252</v>
      </c>
      <c r="P25" s="13">
        <f t="shared" si="6"/>
        <v>0.18000000000000002</v>
      </c>
      <c r="Q25" s="86">
        <f t="shared" si="12"/>
        <v>1.2095</v>
      </c>
      <c r="R25" s="13">
        <f t="shared" si="7"/>
        <v>0.06266839378238342</v>
      </c>
      <c r="S25" s="106">
        <f t="shared" si="8"/>
        <v>0.30840000000000006</v>
      </c>
      <c r="T25" s="105">
        <f t="shared" si="9"/>
        <v>0.004450216450216452</v>
      </c>
      <c r="U25" s="86">
        <f t="shared" si="13"/>
        <v>1.7668</v>
      </c>
      <c r="V25" s="2">
        <f t="shared" si="10"/>
        <v>0.03437354085603112</v>
      </c>
      <c r="X25" s="2">
        <v>0.11184038147851759</v>
      </c>
      <c r="Y25" s="3">
        <v>0.11946197680925688</v>
      </c>
      <c r="Z25" s="3">
        <v>0.12323934520908754</v>
      </c>
    </row>
    <row r="26" spans="1:26" ht="12.75">
      <c r="A26">
        <v>2013</v>
      </c>
      <c r="B26" s="3">
        <f t="shared" si="1"/>
        <v>0.19999999999999998</v>
      </c>
      <c r="C26" s="3">
        <f t="shared" si="2"/>
        <v>0.07195652173913045</v>
      </c>
      <c r="D26" s="98">
        <f t="shared" si="14"/>
        <v>1.2138690683766875</v>
      </c>
      <c r="E26" s="98">
        <f t="shared" si="14"/>
        <v>3.5576467420184277</v>
      </c>
      <c r="F26" s="98">
        <f t="shared" si="14"/>
        <v>1.9751576570069758</v>
      </c>
      <c r="G26" s="98">
        <f t="shared" si="14"/>
        <v>0.028843137254901965</v>
      </c>
      <c r="I26" s="100">
        <v>1.4</v>
      </c>
      <c r="J26" s="100">
        <v>71.2</v>
      </c>
      <c r="K26" s="100">
        <f t="shared" si="4"/>
        <v>50.50000000000001</v>
      </c>
      <c r="L26" s="100">
        <f t="shared" si="11"/>
        <v>20.699999999999996</v>
      </c>
      <c r="M26" s="2">
        <v>0.2</v>
      </c>
      <c r="N26" s="105">
        <v>0.006</v>
      </c>
      <c r="O26" s="86">
        <f t="shared" si="5"/>
        <v>0.27999999999999997</v>
      </c>
      <c r="P26" s="13">
        <f t="shared" si="6"/>
        <v>0.19999999999999998</v>
      </c>
      <c r="Q26" s="86">
        <f t="shared" si="12"/>
        <v>1.4895</v>
      </c>
      <c r="R26" s="13">
        <f t="shared" si="7"/>
        <v>0.07195652173913045</v>
      </c>
      <c r="S26" s="106">
        <f t="shared" si="8"/>
        <v>0.30300000000000005</v>
      </c>
      <c r="T26" s="105">
        <f t="shared" si="9"/>
        <v>0.004340974212034385</v>
      </c>
      <c r="U26" s="86">
        <f t="shared" si="13"/>
        <v>2.0698</v>
      </c>
      <c r="V26" s="2">
        <f t="shared" si="10"/>
        <v>0.04098613861386138</v>
      </c>
      <c r="X26" s="2">
        <v>0.12185199415945569</v>
      </c>
      <c r="Y26" s="3">
        <v>0.13210941990202996</v>
      </c>
      <c r="Z26" s="3">
        <v>0.1358616559952045</v>
      </c>
    </row>
    <row r="27" spans="1:26" ht="12.75">
      <c r="A27">
        <v>2014</v>
      </c>
      <c r="B27" s="3">
        <f t="shared" si="1"/>
        <v>0.2</v>
      </c>
      <c r="C27" s="3">
        <f t="shared" si="2"/>
        <v>0.07952272727272729</v>
      </c>
      <c r="D27" s="98">
        <f t="shared" si="14"/>
        <v>1.2138690683766875</v>
      </c>
      <c r="E27" s="98">
        <f t="shared" si="14"/>
        <v>3.5576467420184277</v>
      </c>
      <c r="F27" s="98">
        <f t="shared" si="14"/>
        <v>1.9751576570069758</v>
      </c>
      <c r="G27" s="98">
        <f t="shared" si="14"/>
        <v>0.028843137254901965</v>
      </c>
      <c r="I27" s="100">
        <v>1.3</v>
      </c>
      <c r="J27" s="100">
        <v>71.6</v>
      </c>
      <c r="K27" s="100">
        <f t="shared" si="4"/>
        <v>49.599999999999994</v>
      </c>
      <c r="L27" s="100">
        <f t="shared" si="11"/>
        <v>21.999999999999996</v>
      </c>
      <c r="M27" s="2">
        <v>0.2</v>
      </c>
      <c r="N27" s="105">
        <v>0.006</v>
      </c>
      <c r="O27" s="86">
        <f t="shared" si="5"/>
        <v>0.26</v>
      </c>
      <c r="P27" s="13">
        <f t="shared" si="6"/>
        <v>0.2</v>
      </c>
      <c r="Q27" s="86">
        <f t="shared" si="12"/>
        <v>1.7495</v>
      </c>
      <c r="R27" s="13">
        <f t="shared" si="7"/>
        <v>0.07952272727272729</v>
      </c>
      <c r="S27" s="106">
        <f t="shared" si="8"/>
        <v>0.2976</v>
      </c>
      <c r="T27" s="105">
        <f t="shared" si="9"/>
        <v>0.004233285917496443</v>
      </c>
      <c r="U27" s="86">
        <f t="shared" si="13"/>
        <v>2.3674</v>
      </c>
      <c r="V27" s="2">
        <f t="shared" si="10"/>
        <v>0.047729838709677425</v>
      </c>
      <c r="X27" s="2">
        <v>0.13168119189058936</v>
      </c>
      <c r="Y27" s="3">
        <v>0.14462474027768613</v>
      </c>
      <c r="Z27" s="3">
        <v>0.147817555526953</v>
      </c>
    </row>
    <row r="28" spans="1:26" ht="12.75">
      <c r="A28">
        <v>2015</v>
      </c>
      <c r="B28" s="3">
        <f t="shared" si="1"/>
        <v>0.2</v>
      </c>
      <c r="C28" s="3">
        <f t="shared" si="2"/>
        <v>0.08624463519313307</v>
      </c>
      <c r="D28" s="98">
        <f t="shared" si="14"/>
        <v>1.2138690683766875</v>
      </c>
      <c r="E28" s="98">
        <f t="shared" si="14"/>
        <v>3.5576467420184277</v>
      </c>
      <c r="F28" s="98">
        <f t="shared" si="14"/>
        <v>1.9751576570069758</v>
      </c>
      <c r="G28" s="98">
        <f t="shared" si="14"/>
        <v>0.028843137254901965</v>
      </c>
      <c r="I28" s="100">
        <v>1.3</v>
      </c>
      <c r="J28" s="100">
        <v>72</v>
      </c>
      <c r="K28" s="100">
        <f t="shared" si="4"/>
        <v>48.7</v>
      </c>
      <c r="L28" s="100">
        <f t="shared" si="11"/>
        <v>23.299999999999997</v>
      </c>
      <c r="M28" s="2">
        <v>0.2</v>
      </c>
      <c r="N28" s="105">
        <v>0.006</v>
      </c>
      <c r="O28" s="86">
        <f t="shared" si="5"/>
        <v>0.26</v>
      </c>
      <c r="P28" s="13">
        <f t="shared" si="6"/>
        <v>0.2</v>
      </c>
      <c r="Q28" s="86">
        <f t="shared" si="12"/>
        <v>2.0095</v>
      </c>
      <c r="R28" s="13">
        <f t="shared" si="7"/>
        <v>0.08624463519313307</v>
      </c>
      <c r="S28" s="106">
        <f t="shared" si="8"/>
        <v>0.2922</v>
      </c>
      <c r="T28" s="105">
        <f t="shared" si="9"/>
        <v>0.004132956152758133</v>
      </c>
      <c r="U28" s="86">
        <f t="shared" si="13"/>
        <v>2.6596</v>
      </c>
      <c r="V28" s="2">
        <f t="shared" si="10"/>
        <v>0.05461190965092402</v>
      </c>
      <c r="X28" s="2">
        <v>0.14118122787561538</v>
      </c>
      <c r="Y28" s="3">
        <v>0.15686397941565644</v>
      </c>
      <c r="Z28" s="3">
        <v>0.15920697894857674</v>
      </c>
    </row>
    <row r="29" spans="1:26" ht="12.75">
      <c r="A29">
        <v>2016</v>
      </c>
      <c r="B29" s="3">
        <f t="shared" si="1"/>
        <v>0.2</v>
      </c>
      <c r="C29" s="3">
        <f t="shared" si="2"/>
        <v>0.09181632653061227</v>
      </c>
      <c r="D29" s="98">
        <f t="shared" si="14"/>
        <v>1.2138690683766875</v>
      </c>
      <c r="E29" s="98">
        <f t="shared" si="14"/>
        <v>3.5576467420184277</v>
      </c>
      <c r="F29" s="98">
        <f t="shared" si="14"/>
        <v>1.9751576570069758</v>
      </c>
      <c r="G29" s="98">
        <f t="shared" si="14"/>
        <v>0.028843137254901965</v>
      </c>
      <c r="I29" s="100">
        <v>1.2</v>
      </c>
      <c r="J29" s="100">
        <v>72.3</v>
      </c>
      <c r="K29" s="100">
        <f t="shared" si="4"/>
        <v>47.8</v>
      </c>
      <c r="L29" s="100">
        <f t="shared" si="11"/>
        <v>24.499999999999996</v>
      </c>
      <c r="M29" s="2">
        <v>0.2</v>
      </c>
      <c r="N29" s="105">
        <v>0.006</v>
      </c>
      <c r="O29" s="86">
        <f t="shared" si="5"/>
        <v>0.24</v>
      </c>
      <c r="P29" s="13">
        <f t="shared" si="6"/>
        <v>0.2</v>
      </c>
      <c r="Q29" s="86">
        <f t="shared" si="12"/>
        <v>2.2495000000000003</v>
      </c>
      <c r="R29" s="13">
        <f t="shared" si="7"/>
        <v>0.09181632653061227</v>
      </c>
      <c r="S29" s="106">
        <f t="shared" si="8"/>
        <v>0.2868</v>
      </c>
      <c r="T29" s="105">
        <f t="shared" si="9"/>
        <v>0.004033755274261604</v>
      </c>
      <c r="U29" s="86">
        <f t="shared" si="13"/>
        <v>2.9464</v>
      </c>
      <c r="V29" s="2">
        <f t="shared" si="10"/>
        <v>0.06164016736401674</v>
      </c>
      <c r="X29" s="2">
        <v>0.15037620955734987</v>
      </c>
      <c r="Y29" s="3">
        <v>0.16885424303015323</v>
      </c>
      <c r="Z29" s="3">
        <v>0.16996804629204376</v>
      </c>
    </row>
    <row r="30" spans="1:26" ht="12.75">
      <c r="A30">
        <v>2017</v>
      </c>
      <c r="B30" s="3">
        <f t="shared" si="1"/>
        <v>0.2</v>
      </c>
      <c r="C30" s="3">
        <f t="shared" si="2"/>
        <v>0.09686770428015568</v>
      </c>
      <c r="D30" s="98">
        <f t="shared" si="14"/>
        <v>1.2138690683766875</v>
      </c>
      <c r="E30" s="98">
        <f t="shared" si="14"/>
        <v>3.5576467420184277</v>
      </c>
      <c r="F30" s="98">
        <f t="shared" si="14"/>
        <v>1.9751576570069758</v>
      </c>
      <c r="G30" s="98">
        <f t="shared" si="14"/>
        <v>0.028843137254901965</v>
      </c>
      <c r="I30" s="100">
        <v>1.2</v>
      </c>
      <c r="J30" s="100">
        <v>72.6</v>
      </c>
      <c r="K30" s="100">
        <f t="shared" si="4"/>
        <v>46.9</v>
      </c>
      <c r="L30" s="100">
        <f t="shared" si="11"/>
        <v>25.699999999999996</v>
      </c>
      <c r="M30" s="2">
        <v>0.2</v>
      </c>
      <c r="N30" s="105">
        <v>0.006</v>
      </c>
      <c r="O30" s="86">
        <f t="shared" si="5"/>
        <v>0.24</v>
      </c>
      <c r="P30" s="13">
        <f t="shared" si="6"/>
        <v>0.2</v>
      </c>
      <c r="Q30" s="86">
        <f t="shared" si="12"/>
        <v>2.4895000000000005</v>
      </c>
      <c r="R30" s="13">
        <f t="shared" si="7"/>
        <v>0.09686770428015568</v>
      </c>
      <c r="S30" s="106">
        <f t="shared" si="8"/>
        <v>0.2814</v>
      </c>
      <c r="T30" s="105">
        <f t="shared" si="9"/>
        <v>0.003941176470588235</v>
      </c>
      <c r="U30" s="86">
        <f t="shared" si="13"/>
        <v>3.2278000000000002</v>
      </c>
      <c r="V30" s="2">
        <f t="shared" si="10"/>
        <v>0.06882302771855012</v>
      </c>
      <c r="X30" s="2">
        <v>0.15912198411478706</v>
      </c>
      <c r="Y30" s="3">
        <v>0.1804546067160664</v>
      </c>
      <c r="Z30" s="3">
        <v>0.18013365726653804</v>
      </c>
    </row>
    <row r="31" spans="1:26" ht="12.75">
      <c r="A31">
        <v>2018</v>
      </c>
      <c r="B31" s="3">
        <f t="shared" si="1"/>
        <v>0.2</v>
      </c>
      <c r="C31" s="3">
        <f t="shared" si="2"/>
        <v>0.10110074626865675</v>
      </c>
      <c r="D31" s="98">
        <f t="shared" si="14"/>
        <v>1.2138690683766875</v>
      </c>
      <c r="E31" s="98">
        <f t="shared" si="14"/>
        <v>3.5576467420184277</v>
      </c>
      <c r="F31" s="98">
        <f t="shared" si="14"/>
        <v>1.9751576570069758</v>
      </c>
      <c r="G31" s="98">
        <f t="shared" si="14"/>
        <v>0.028843137254901965</v>
      </c>
      <c r="I31" s="100">
        <v>1.1</v>
      </c>
      <c r="J31" s="100">
        <v>72.7</v>
      </c>
      <c r="K31" s="100">
        <f t="shared" si="4"/>
        <v>45.900000000000006</v>
      </c>
      <c r="L31" s="100">
        <f t="shared" si="11"/>
        <v>26.799999999999997</v>
      </c>
      <c r="M31" s="2">
        <v>0.2</v>
      </c>
      <c r="N31" s="105">
        <v>0.006</v>
      </c>
      <c r="O31" s="86">
        <f t="shared" si="5"/>
        <v>0.22000000000000003</v>
      </c>
      <c r="P31" s="13">
        <f t="shared" si="6"/>
        <v>0.2</v>
      </c>
      <c r="Q31" s="86">
        <f t="shared" si="12"/>
        <v>2.7095000000000007</v>
      </c>
      <c r="R31" s="13">
        <f t="shared" si="7"/>
        <v>0.10110074626865675</v>
      </c>
      <c r="S31" s="106">
        <f t="shared" si="8"/>
        <v>0.27540000000000003</v>
      </c>
      <c r="T31" s="105">
        <f t="shared" si="9"/>
        <v>0.0038463687150837988</v>
      </c>
      <c r="U31" s="86">
        <f t="shared" si="13"/>
        <v>3.5032</v>
      </c>
      <c r="V31" s="2">
        <f t="shared" si="10"/>
        <v>0.07632244008714596</v>
      </c>
      <c r="X31" s="2">
        <v>0.1669002776723238</v>
      </c>
      <c r="Y31" s="3">
        <v>0.19119766329323884</v>
      </c>
      <c r="Z31" s="3">
        <v>0.18910177020963723</v>
      </c>
    </row>
    <row r="32" spans="1:26" ht="12.75">
      <c r="A32">
        <v>2019</v>
      </c>
      <c r="B32" s="3">
        <f t="shared" si="1"/>
        <v>0.2</v>
      </c>
      <c r="C32" s="3">
        <f t="shared" si="2"/>
        <v>0.104658273381295</v>
      </c>
      <c r="D32" s="98">
        <f t="shared" si="14"/>
        <v>1.2138690683766875</v>
      </c>
      <c r="E32" s="98">
        <f t="shared" si="14"/>
        <v>3.5576467420184277</v>
      </c>
      <c r="F32" s="98">
        <f t="shared" si="14"/>
        <v>1.9751576570069758</v>
      </c>
      <c r="G32" s="98">
        <f t="shared" si="14"/>
        <v>0.028843137254901965</v>
      </c>
      <c r="I32" s="100">
        <v>1</v>
      </c>
      <c r="J32" s="100">
        <v>72.9</v>
      </c>
      <c r="K32" s="100">
        <f t="shared" si="4"/>
        <v>45.10000000000001</v>
      </c>
      <c r="L32" s="100">
        <f t="shared" si="11"/>
        <v>27.799999999999997</v>
      </c>
      <c r="M32" s="2">
        <v>0.2</v>
      </c>
      <c r="N32" s="105">
        <v>0.006</v>
      </c>
      <c r="O32" s="86">
        <f t="shared" si="5"/>
        <v>0.2</v>
      </c>
      <c r="P32" s="13">
        <f t="shared" si="6"/>
        <v>0.2</v>
      </c>
      <c r="Q32" s="86">
        <f t="shared" si="12"/>
        <v>2.909500000000001</v>
      </c>
      <c r="R32" s="13">
        <f t="shared" si="7"/>
        <v>0.104658273381295</v>
      </c>
      <c r="S32" s="106">
        <f t="shared" si="8"/>
        <v>0.27060000000000006</v>
      </c>
      <c r="T32" s="105">
        <f t="shared" si="9"/>
        <v>0.003763560500695411</v>
      </c>
      <c r="U32" s="86">
        <f t="shared" si="13"/>
        <v>3.7738</v>
      </c>
      <c r="V32" s="2">
        <f t="shared" si="10"/>
        <v>0.08367627494456761</v>
      </c>
      <c r="X32" s="2">
        <v>0.17398166786801988</v>
      </c>
      <c r="Y32" s="3">
        <v>0.20121004924274272</v>
      </c>
      <c r="Z32" s="3">
        <v>0.19718310671694075</v>
      </c>
    </row>
    <row r="33" spans="1:26" ht="12.75">
      <c r="A33">
        <v>2020</v>
      </c>
      <c r="B33" s="3">
        <f t="shared" si="1"/>
        <v>0.2</v>
      </c>
      <c r="C33" s="3">
        <f t="shared" si="2"/>
        <v>0.10796875000000004</v>
      </c>
      <c r="D33" s="98">
        <f t="shared" si="14"/>
        <v>1.2138690683766875</v>
      </c>
      <c r="E33" s="98">
        <f t="shared" si="14"/>
        <v>3.5576467420184277</v>
      </c>
      <c r="F33" s="98">
        <f t="shared" si="14"/>
        <v>1.9751576570069758</v>
      </c>
      <c r="G33" s="98">
        <f t="shared" si="14"/>
        <v>0.028843137254901965</v>
      </c>
      <c r="I33" s="100">
        <v>1</v>
      </c>
      <c r="J33" s="100">
        <v>72.9</v>
      </c>
      <c r="K33" s="100">
        <f t="shared" si="4"/>
        <v>44.10000000000001</v>
      </c>
      <c r="L33" s="100">
        <f t="shared" si="11"/>
        <v>28.799999999999997</v>
      </c>
      <c r="M33" s="2">
        <v>0.2</v>
      </c>
      <c r="N33" s="105">
        <v>0.006</v>
      </c>
      <c r="O33" s="86">
        <f t="shared" si="5"/>
        <v>0.2</v>
      </c>
      <c r="P33" s="13">
        <f t="shared" si="6"/>
        <v>0.2</v>
      </c>
      <c r="Q33" s="86">
        <f t="shared" si="12"/>
        <v>3.109500000000001</v>
      </c>
      <c r="R33" s="13">
        <f t="shared" si="7"/>
        <v>0.10796875000000004</v>
      </c>
      <c r="S33" s="106">
        <f t="shared" si="8"/>
        <v>0.26460000000000006</v>
      </c>
      <c r="T33" s="105">
        <f t="shared" si="9"/>
        <v>0.0036801112656467323</v>
      </c>
      <c r="U33" s="86">
        <f t="shared" si="13"/>
        <v>4.0384</v>
      </c>
      <c r="V33" s="2">
        <f t="shared" si="10"/>
        <v>0.0915736961451247</v>
      </c>
      <c r="X33" s="2">
        <v>0.1803944363250332</v>
      </c>
      <c r="Y33" s="3">
        <v>0.21074024131369531</v>
      </c>
      <c r="Z33" s="3">
        <v>0.20452638076947763</v>
      </c>
    </row>
    <row r="34" spans="9:15" ht="12.75">
      <c r="I34" s="86"/>
      <c r="O34" s="86"/>
    </row>
    <row r="35" spans="13:14" ht="12.75">
      <c r="M35" s="2">
        <v>0.05</v>
      </c>
      <c r="N35" s="105">
        <v>0.0025</v>
      </c>
    </row>
  </sheetData>
  <mergeCells count="2">
    <mergeCell ref="O7:R7"/>
    <mergeCell ref="S7:V7"/>
  </mergeCells>
  <printOptions/>
  <pageMargins left="0.75" right="0.75" top="1" bottom="1" header="0.5" footer="0.5"/>
  <pageSetup fitToHeight="1" fitToWidth="1" horizontalDpi="600" verticalDpi="600" orientation="landscape" scale="90"/>
</worksheet>
</file>

<file path=xl/worksheets/sheet16.xml><?xml version="1.0" encoding="utf-8"?>
<worksheet xmlns="http://schemas.openxmlformats.org/spreadsheetml/2006/main" xmlns:r="http://schemas.openxmlformats.org/officeDocument/2006/relationships">
  <dimension ref="A1:CG327"/>
  <sheetViews>
    <sheetView showGridLines="0" workbookViewId="0" topLeftCell="A39">
      <selection activeCell="L43" sqref="L43"/>
    </sheetView>
  </sheetViews>
  <sheetFormatPr defaultColWidth="9.33203125" defaultRowHeight="12.75"/>
  <cols>
    <col min="1" max="1" width="11.33203125" style="0" customWidth="1"/>
    <col min="2" max="4" width="16.66015625" style="0" customWidth="1"/>
    <col min="5" max="7" width="17.83203125" style="0" customWidth="1"/>
    <col min="8" max="8" width="12.33203125" style="0" customWidth="1"/>
    <col min="9" max="12" width="15.66015625" style="0" customWidth="1"/>
    <col min="13" max="23" width="12.83203125" style="0" customWidth="1"/>
    <col min="24" max="24" width="14" style="0" customWidth="1"/>
    <col min="25" max="28" width="12.83203125" style="0" customWidth="1"/>
    <col min="29" max="16384" width="9" style="0" customWidth="1"/>
  </cols>
  <sheetData>
    <row r="1" spans="5:8" s="64" customFormat="1" ht="12.75">
      <c r="E1" s="64" t="s">
        <v>153</v>
      </c>
      <c r="G1" s="76">
        <v>0.7</v>
      </c>
      <c r="H1" s="77" t="s">
        <v>154</v>
      </c>
    </row>
    <row r="2" spans="1:16" s="64" customFormat="1" ht="12.75">
      <c r="A2" s="78" t="s">
        <v>241</v>
      </c>
      <c r="M2" s="79"/>
      <c r="N2" s="79"/>
      <c r="O2" s="79"/>
      <c r="P2" s="79"/>
    </row>
    <row r="3" spans="1:24" s="64" customFormat="1" ht="12.75">
      <c r="A3" s="62"/>
      <c r="B3" s="63"/>
      <c r="C3" s="63"/>
      <c r="D3" s="63"/>
      <c r="E3" s="111" t="s">
        <v>245</v>
      </c>
      <c r="F3" s="112"/>
      <c r="G3" s="112"/>
      <c r="H3" s="113"/>
      <c r="I3" s="111" t="s">
        <v>246</v>
      </c>
      <c r="J3" s="112"/>
      <c r="K3" s="112"/>
      <c r="L3" s="113"/>
      <c r="M3" s="114" t="s">
        <v>247</v>
      </c>
      <c r="N3" s="115"/>
      <c r="O3" s="115"/>
      <c r="P3" s="116"/>
      <c r="Q3" s="111" t="s">
        <v>248</v>
      </c>
      <c r="R3" s="112"/>
      <c r="S3" s="112"/>
      <c r="T3" s="113"/>
      <c r="U3" s="111" t="s">
        <v>249</v>
      </c>
      <c r="V3" s="112"/>
      <c r="W3" s="112"/>
      <c r="X3" s="113"/>
    </row>
    <row r="4" spans="1:24" s="64" customFormat="1" ht="38.25">
      <c r="A4" s="65" t="s">
        <v>243</v>
      </c>
      <c r="B4" s="65" t="s">
        <v>242</v>
      </c>
      <c r="C4" s="65" t="s">
        <v>244</v>
      </c>
      <c r="D4" s="66" t="s">
        <v>116</v>
      </c>
      <c r="E4" s="66" t="s">
        <v>250</v>
      </c>
      <c r="F4" s="67" t="s">
        <v>10</v>
      </c>
      <c r="G4" s="67" t="s">
        <v>251</v>
      </c>
      <c r="H4" s="67" t="s">
        <v>252</v>
      </c>
      <c r="I4" s="66" t="s">
        <v>250</v>
      </c>
      <c r="J4" s="67" t="s">
        <v>10</v>
      </c>
      <c r="K4" s="67" t="s">
        <v>251</v>
      </c>
      <c r="L4" s="67" t="s">
        <v>252</v>
      </c>
      <c r="M4" s="66" t="s">
        <v>250</v>
      </c>
      <c r="N4" s="67" t="s">
        <v>10</v>
      </c>
      <c r="O4" s="67" t="s">
        <v>251</v>
      </c>
      <c r="P4" s="67" t="s">
        <v>252</v>
      </c>
      <c r="Q4" s="66" t="s">
        <v>250</v>
      </c>
      <c r="R4" s="67" t="s">
        <v>10</v>
      </c>
      <c r="S4" s="67" t="s">
        <v>251</v>
      </c>
      <c r="T4" s="67" t="s">
        <v>252</v>
      </c>
      <c r="U4" s="66" t="s">
        <v>250</v>
      </c>
      <c r="V4" s="67" t="s">
        <v>10</v>
      </c>
      <c r="W4" s="67" t="s">
        <v>251</v>
      </c>
      <c r="X4" s="68" t="s">
        <v>252</v>
      </c>
    </row>
    <row r="5" spans="1:30" s="64" customFormat="1" ht="12.75">
      <c r="A5" s="69">
        <v>1995</v>
      </c>
      <c r="B5" s="69">
        <v>1</v>
      </c>
      <c r="C5" s="70"/>
      <c r="D5" s="53"/>
      <c r="E5" s="71">
        <f>(0)*($G$1)</f>
        <v>0</v>
      </c>
      <c r="F5" s="53"/>
      <c r="G5" s="53">
        <f>E5</f>
        <v>0</v>
      </c>
      <c r="H5" s="53"/>
      <c r="I5" s="71">
        <f>0*($G$1)</f>
        <v>0</v>
      </c>
      <c r="J5" s="53"/>
      <c r="K5" s="53">
        <f>I5</f>
        <v>0</v>
      </c>
      <c r="L5" s="53"/>
      <c r="M5" s="71">
        <f>0*($G$1)</f>
        <v>0</v>
      </c>
      <c r="N5" s="53"/>
      <c r="O5" s="53">
        <f>M5</f>
        <v>0</v>
      </c>
      <c r="P5" s="53"/>
      <c r="Q5" s="71">
        <f>0*($G$1)</f>
        <v>0</v>
      </c>
      <c r="R5" s="53"/>
      <c r="S5" s="53">
        <f>Q5</f>
        <v>0</v>
      </c>
      <c r="T5" s="53"/>
      <c r="U5" s="71">
        <f>0*($G$1)</f>
        <v>0</v>
      </c>
      <c r="V5" s="53"/>
      <c r="W5" s="53">
        <f>U5</f>
        <v>0</v>
      </c>
      <c r="X5" s="70"/>
      <c r="Y5" s="80"/>
      <c r="Z5" s="80"/>
      <c r="AA5" s="80"/>
      <c r="AB5" s="80"/>
      <c r="AC5" s="80"/>
      <c r="AD5" s="80"/>
    </row>
    <row r="6" spans="1:30" s="64" customFormat="1" ht="12.75">
      <c r="A6" s="69">
        <v>1996</v>
      </c>
      <c r="B6" s="69">
        <v>2</v>
      </c>
      <c r="C6" s="70">
        <v>59500</v>
      </c>
      <c r="D6" s="53">
        <v>68279.62212140251</v>
      </c>
      <c r="E6" s="71">
        <f>36*($G$1)</f>
        <v>25.2</v>
      </c>
      <c r="F6" s="72">
        <f aca="true" t="shared" si="0" ref="F6:F30">E6/$D6</f>
        <v>0.00036907058382944626</v>
      </c>
      <c r="G6" s="53">
        <f aca="true" t="shared" si="1" ref="G6:G30">G5+E6</f>
        <v>25.2</v>
      </c>
      <c r="H6" s="73">
        <f aca="true" t="shared" si="2" ref="H6:H30">G6/$D6</f>
        <v>0.00036907058382944626</v>
      </c>
      <c r="I6" s="71">
        <f>108*($G$1)</f>
        <v>75.6</v>
      </c>
      <c r="J6" s="72">
        <f aca="true" t="shared" si="3" ref="J6:J30">I6/$D6</f>
        <v>0.0011072117514883387</v>
      </c>
      <c r="K6" s="53">
        <f aca="true" t="shared" si="4" ref="K6:K30">K5+I6</f>
        <v>75.6</v>
      </c>
      <c r="L6" s="73">
        <f aca="true" t="shared" si="5" ref="L6:L30">K6/$D6</f>
        <v>0.0011072117514883387</v>
      </c>
      <c r="M6" s="71">
        <f>90*($G$1)</f>
        <v>62.99999999999999</v>
      </c>
      <c r="N6" s="72">
        <f aca="true" t="shared" si="6" ref="N6:N30">M6/$D6</f>
        <v>0.0009226764595736156</v>
      </c>
      <c r="O6" s="53">
        <f aca="true" t="shared" si="7" ref="O6:O30">O5+M6</f>
        <v>62.99999999999999</v>
      </c>
      <c r="P6" s="73">
        <f aca="true" t="shared" si="8" ref="P6:P30">O6/$D6</f>
        <v>0.0009226764595736156</v>
      </c>
      <c r="Q6" s="71">
        <f>72*($G$1)</f>
        <v>50.4</v>
      </c>
      <c r="R6" s="72">
        <f aca="true" t="shared" si="9" ref="R6:R30">Q6/$D6</f>
        <v>0.0007381411676588925</v>
      </c>
      <c r="S6" s="53">
        <f aca="true" t="shared" si="10" ref="S6:S30">S5+Q6</f>
        <v>50.4</v>
      </c>
      <c r="T6" s="73">
        <f aca="true" t="shared" si="11" ref="T6:T30">S6/$D6</f>
        <v>0.0007381411676588925</v>
      </c>
      <c r="U6" s="71">
        <f>36*($G$1)</f>
        <v>25.2</v>
      </c>
      <c r="V6" s="72">
        <f aca="true" t="shared" si="12" ref="V6:V30">U6/$D6</f>
        <v>0.00036907058382944626</v>
      </c>
      <c r="W6" s="53">
        <f aca="true" t="shared" si="13" ref="W6:W30">W5+U6</f>
        <v>25.2</v>
      </c>
      <c r="X6" s="74">
        <f aca="true" t="shared" si="14" ref="X6:X30">W6/$D6</f>
        <v>0.00036907058382944626</v>
      </c>
      <c r="Y6" s="80"/>
      <c r="Z6" s="80"/>
      <c r="AA6" s="80"/>
      <c r="AB6" s="80"/>
      <c r="AC6" s="80"/>
      <c r="AD6" s="80"/>
    </row>
    <row r="7" spans="1:30" s="64" customFormat="1" ht="12.75">
      <c r="A7" s="69">
        <v>1997</v>
      </c>
      <c r="B7" s="69">
        <v>3</v>
      </c>
      <c r="C7" s="70">
        <v>60300</v>
      </c>
      <c r="D7" s="53">
        <v>69167.25720898074</v>
      </c>
      <c r="E7" s="71">
        <f>183.375*($G$1)</f>
        <v>128.36249999999998</v>
      </c>
      <c r="F7" s="72">
        <f t="shared" si="0"/>
        <v>0.001855827528510604</v>
      </c>
      <c r="G7" s="53">
        <f t="shared" si="1"/>
        <v>153.56249999999997</v>
      </c>
      <c r="H7" s="73">
        <f t="shared" si="2"/>
        <v>0.002220161767236612</v>
      </c>
      <c r="I7" s="71">
        <f>165.7125*($G$1)</f>
        <v>115.99875</v>
      </c>
      <c r="J7" s="72">
        <f t="shared" si="3"/>
        <v>0.0016770760426356565</v>
      </c>
      <c r="K7" s="53">
        <f t="shared" si="4"/>
        <v>191.59875</v>
      </c>
      <c r="L7" s="73">
        <f t="shared" si="5"/>
        <v>0.002770078758813681</v>
      </c>
      <c r="M7" s="71">
        <f>117.9*($G$1)</f>
        <v>82.53</v>
      </c>
      <c r="N7" s="72">
        <f t="shared" si="6"/>
        <v>0.0011931946318276768</v>
      </c>
      <c r="O7" s="53">
        <f t="shared" si="7"/>
        <v>145.53</v>
      </c>
      <c r="P7" s="73">
        <f t="shared" si="8"/>
        <v>0.0021040302286426974</v>
      </c>
      <c r="Q7" s="71">
        <f>73.6875*($G$1)</f>
        <v>51.58125</v>
      </c>
      <c r="R7" s="72">
        <f t="shared" si="9"/>
        <v>0.000745746644892298</v>
      </c>
      <c r="S7" s="53">
        <f t="shared" si="10"/>
        <v>101.98124999999999</v>
      </c>
      <c r="T7" s="73">
        <f t="shared" si="11"/>
        <v>0.0014744151223443143</v>
      </c>
      <c r="U7" s="71">
        <f>51.4125*($G$1)</f>
        <v>35.988749999999996</v>
      </c>
      <c r="V7" s="72">
        <f t="shared" si="12"/>
        <v>0.0005203148346805804</v>
      </c>
      <c r="W7" s="53">
        <f t="shared" si="13"/>
        <v>61.18875</v>
      </c>
      <c r="X7" s="74">
        <f t="shared" si="14"/>
        <v>0.0008846490734065887</v>
      </c>
      <c r="Y7" s="80"/>
      <c r="Z7" s="80"/>
      <c r="AA7" s="80"/>
      <c r="AB7" s="80"/>
      <c r="AC7" s="80"/>
      <c r="AD7" s="80"/>
    </row>
    <row r="8" spans="1:30" s="64" customFormat="1" ht="12.75">
      <c r="A8" s="69">
        <v>1998</v>
      </c>
      <c r="B8" s="69">
        <v>4</v>
      </c>
      <c r="C8" s="70">
        <f>C7+(C$10-C$7)/(A$10-A$7)</f>
        <v>61166.666666666664</v>
      </c>
      <c r="D8" s="53">
        <v>70066.43155269748</v>
      </c>
      <c r="E8" s="71">
        <f>429.75*($G$1)</f>
        <v>300.825</v>
      </c>
      <c r="F8" s="72">
        <f t="shared" si="0"/>
        <v>0.00429342544401947</v>
      </c>
      <c r="G8" s="53">
        <f t="shared" si="1"/>
        <v>454.38749999999993</v>
      </c>
      <c r="H8" s="73">
        <f t="shared" si="2"/>
        <v>0.0064850955005215545</v>
      </c>
      <c r="I8" s="71">
        <f>388.9125*($G$1)</f>
        <v>272.23875</v>
      </c>
      <c r="J8" s="72">
        <f t="shared" si="3"/>
        <v>0.003885437633501389</v>
      </c>
      <c r="K8" s="53">
        <f t="shared" si="4"/>
        <v>463.8375</v>
      </c>
      <c r="L8" s="73">
        <f t="shared" si="5"/>
        <v>0.006619967503998607</v>
      </c>
      <c r="M8" s="71">
        <f>303.8625*($G$1)</f>
        <v>212.70374999999999</v>
      </c>
      <c r="N8" s="72">
        <f t="shared" si="6"/>
        <v>0.0030357440115959654</v>
      </c>
      <c r="O8" s="53">
        <f t="shared" si="7"/>
        <v>358.23375</v>
      </c>
      <c r="P8" s="73">
        <f t="shared" si="8"/>
        <v>0.005112772865142557</v>
      </c>
      <c r="Q8" s="71">
        <f>196.875*($G$1)</f>
        <v>137.8125</v>
      </c>
      <c r="R8" s="72">
        <f t="shared" si="9"/>
        <v>0.0019668833840403334</v>
      </c>
      <c r="S8" s="53">
        <f t="shared" si="10"/>
        <v>239.79375</v>
      </c>
      <c r="T8" s="73">
        <f t="shared" si="11"/>
        <v>0.0034223770882301796</v>
      </c>
      <c r="U8" s="71">
        <f>162*($G$1)</f>
        <v>113.39999999999999</v>
      </c>
      <c r="V8" s="72">
        <f t="shared" si="12"/>
        <v>0.0016184640417246168</v>
      </c>
      <c r="W8" s="53">
        <f t="shared" si="13"/>
        <v>174.58875</v>
      </c>
      <c r="X8" s="74">
        <f t="shared" si="14"/>
        <v>0.002491760264238525</v>
      </c>
      <c r="Y8" s="80"/>
      <c r="Z8" s="80"/>
      <c r="AA8" s="80"/>
      <c r="AB8" s="80"/>
      <c r="AC8" s="80"/>
      <c r="AD8" s="80"/>
    </row>
    <row r="9" spans="1:30" s="64" customFormat="1" ht="12.75">
      <c r="A9" s="69">
        <v>1999</v>
      </c>
      <c r="B9" s="69">
        <v>5</v>
      </c>
      <c r="C9" s="70">
        <f>C8+(C$10-C$7)/(A$10-A$7)</f>
        <v>62033.33333333333</v>
      </c>
      <c r="D9" s="53">
        <v>70977.29516288254</v>
      </c>
      <c r="E9" s="71">
        <f>713.25*($G$1)</f>
        <v>499.275</v>
      </c>
      <c r="F9" s="72">
        <f t="shared" si="0"/>
        <v>0.007034291724617523</v>
      </c>
      <c r="G9" s="53">
        <f t="shared" si="1"/>
        <v>953.6624999999999</v>
      </c>
      <c r="H9" s="73">
        <f t="shared" si="2"/>
        <v>0.013436162899860915</v>
      </c>
      <c r="I9" s="71">
        <f>556.425*($G$1)</f>
        <v>389.49749999999995</v>
      </c>
      <c r="J9" s="72">
        <f t="shared" si="3"/>
        <v>0.005487635152990262</v>
      </c>
      <c r="K9" s="53">
        <f t="shared" si="4"/>
        <v>853.3349999999999</v>
      </c>
      <c r="L9" s="73">
        <f t="shared" si="5"/>
        <v>0.012022647496522945</v>
      </c>
      <c r="M9" s="71">
        <f>494.8875*($G$1)</f>
        <v>346.42125</v>
      </c>
      <c r="N9" s="72">
        <f t="shared" si="6"/>
        <v>0.0048807333275382465</v>
      </c>
      <c r="O9" s="53">
        <f t="shared" si="7"/>
        <v>704.655</v>
      </c>
      <c r="P9" s="73">
        <f t="shared" si="8"/>
        <v>0.009927893115438107</v>
      </c>
      <c r="Q9" s="71">
        <f>349.425*($G$1)</f>
        <v>244.5975</v>
      </c>
      <c r="R9" s="72">
        <f t="shared" si="9"/>
        <v>0.00344613723922114</v>
      </c>
      <c r="S9" s="53">
        <f t="shared" si="10"/>
        <v>484.39125</v>
      </c>
      <c r="T9" s="73">
        <f t="shared" si="11"/>
        <v>0.006824594384561891</v>
      </c>
      <c r="U9" s="71">
        <f>288.7875*($G$1)</f>
        <v>202.15125</v>
      </c>
      <c r="V9" s="72">
        <f t="shared" si="12"/>
        <v>0.002848111491655076</v>
      </c>
      <c r="W9" s="53">
        <f t="shared" si="13"/>
        <v>376.74</v>
      </c>
      <c r="X9" s="74">
        <f t="shared" si="14"/>
        <v>0.005307894575799721</v>
      </c>
      <c r="Y9" s="80"/>
      <c r="Z9" s="80"/>
      <c r="AA9" s="80"/>
      <c r="AB9" s="80"/>
      <c r="AC9" s="80"/>
      <c r="AD9" s="80"/>
    </row>
    <row r="10" spans="1:30" s="64" customFormat="1" ht="12.75">
      <c r="A10" s="69">
        <v>2000</v>
      </c>
      <c r="B10" s="69">
        <v>6</v>
      </c>
      <c r="C10" s="70">
        <v>62900</v>
      </c>
      <c r="D10" s="53">
        <v>71900</v>
      </c>
      <c r="E10" s="71">
        <f>990*($G$1)</f>
        <v>693</v>
      </c>
      <c r="F10" s="72">
        <f t="shared" si="0"/>
        <v>0.009638386648122391</v>
      </c>
      <c r="G10" s="53">
        <f t="shared" si="1"/>
        <v>1646.6625</v>
      </c>
      <c r="H10" s="73">
        <f t="shared" si="2"/>
        <v>0.02290212100139082</v>
      </c>
      <c r="I10" s="71">
        <f>680.4*($G$1)</f>
        <v>476.28</v>
      </c>
      <c r="J10" s="72">
        <f t="shared" si="3"/>
        <v>0.006624200278164116</v>
      </c>
      <c r="K10" s="53">
        <f t="shared" si="4"/>
        <v>1329.6149999999998</v>
      </c>
      <c r="L10" s="73">
        <f t="shared" si="5"/>
        <v>0.018492559109874823</v>
      </c>
      <c r="M10" s="71">
        <f>641.025*($G$1)</f>
        <v>448.7175</v>
      </c>
      <c r="N10" s="72">
        <f t="shared" si="6"/>
        <v>0.006240855354659248</v>
      </c>
      <c r="O10" s="53">
        <f t="shared" si="7"/>
        <v>1153.3725</v>
      </c>
      <c r="P10" s="73">
        <f t="shared" si="8"/>
        <v>0.016041342141863698</v>
      </c>
      <c r="Q10" s="71">
        <f>491.4*($G$1)</f>
        <v>343.97999999999996</v>
      </c>
      <c r="R10" s="72">
        <f t="shared" si="9"/>
        <v>0.00478414464534075</v>
      </c>
      <c r="S10" s="53">
        <f t="shared" si="10"/>
        <v>828.3712499999999</v>
      </c>
      <c r="T10" s="73">
        <f t="shared" si="11"/>
        <v>0.011521157858136299</v>
      </c>
      <c r="U10" s="71">
        <f>426.15*($G$1)</f>
        <v>298.30499999999995</v>
      </c>
      <c r="V10" s="72">
        <f t="shared" si="12"/>
        <v>0.004148887343532684</v>
      </c>
      <c r="W10" s="53">
        <f t="shared" si="13"/>
        <v>675.045</v>
      </c>
      <c r="X10" s="74">
        <f t="shared" si="14"/>
        <v>0.00938866481223922</v>
      </c>
      <c r="Y10" s="80"/>
      <c r="Z10" s="80"/>
      <c r="AA10" s="80"/>
      <c r="AB10" s="80"/>
      <c r="AC10" s="80"/>
      <c r="AD10" s="80"/>
    </row>
    <row r="11" spans="1:30" s="64" customFormat="1" ht="12.75">
      <c r="A11" s="69">
        <v>2001</v>
      </c>
      <c r="B11" s="69">
        <v>7</v>
      </c>
      <c r="C11" s="70">
        <f>C10+(C$15-C$10)/(A$15-A$10)</f>
        <v>63580</v>
      </c>
      <c r="D11" s="53">
        <v>72834.7</v>
      </c>
      <c r="E11" s="71">
        <f>1218.28901538462*($G$1)</f>
        <v>852.8023107692308</v>
      </c>
      <c r="F11" s="72">
        <f t="shared" si="0"/>
        <v>0.01170873650566599</v>
      </c>
      <c r="G11" s="53">
        <f t="shared" si="1"/>
        <v>2499.4648107692306</v>
      </c>
      <c r="H11" s="73">
        <f t="shared" si="2"/>
        <v>0.03431695072224133</v>
      </c>
      <c r="I11" s="71">
        <f>827.792916923077*($G$1)</f>
        <v>579.4550418461538</v>
      </c>
      <c r="J11" s="72">
        <f t="shared" si="3"/>
        <v>0.007955755180513599</v>
      </c>
      <c r="K11" s="53">
        <f t="shared" si="4"/>
        <v>1909.0700418461536</v>
      </c>
      <c r="L11" s="73">
        <f t="shared" si="5"/>
        <v>0.02621099615768519</v>
      </c>
      <c r="M11" s="71">
        <f>769.093712307692*($G$1)</f>
        <v>538.3655986153844</v>
      </c>
      <c r="N11" s="72">
        <f t="shared" si="6"/>
        <v>0.0073916086510328795</v>
      </c>
      <c r="O11" s="53">
        <f t="shared" si="7"/>
        <v>1691.7380986153844</v>
      </c>
      <c r="P11" s="73">
        <f t="shared" si="8"/>
        <v>0.02322708954132281</v>
      </c>
      <c r="Q11" s="71">
        <f>637.944507692308*($G$1)</f>
        <v>446.56115538461535</v>
      </c>
      <c r="R11" s="72">
        <f t="shared" si="9"/>
        <v>0.006131159397713114</v>
      </c>
      <c r="S11" s="53">
        <f t="shared" si="10"/>
        <v>1274.9324053846153</v>
      </c>
      <c r="T11" s="73">
        <f t="shared" si="11"/>
        <v>0.017504464292220814</v>
      </c>
      <c r="U11" s="71">
        <f>570.236704615385*($G$1)</f>
        <v>399.1656932307692</v>
      </c>
      <c r="V11" s="72">
        <f t="shared" si="12"/>
        <v>0.005480432997331893</v>
      </c>
      <c r="W11" s="53">
        <f t="shared" si="13"/>
        <v>1074.2106932307693</v>
      </c>
      <c r="X11" s="74">
        <f t="shared" si="14"/>
        <v>0.014748611489177128</v>
      </c>
      <c r="Y11" s="80"/>
      <c r="Z11" s="80"/>
      <c r="AA11" s="80"/>
      <c r="AB11" s="80"/>
      <c r="AC11" s="80"/>
      <c r="AD11" s="80"/>
    </row>
    <row r="12" spans="1:30" s="64" customFormat="1" ht="12.75">
      <c r="A12" s="69">
        <v>2002</v>
      </c>
      <c r="B12" s="69">
        <v>8</v>
      </c>
      <c r="C12" s="70">
        <f>C11+(C$15-C$10)/(A$15-A$10)</f>
        <v>64260</v>
      </c>
      <c r="D12" s="53">
        <v>73781.5511</v>
      </c>
      <c r="E12" s="71">
        <f>1315.64146153846*($G$1)</f>
        <v>920.949023076923</v>
      </c>
      <c r="F12" s="72">
        <f t="shared" si="0"/>
        <v>0.012482104392583352</v>
      </c>
      <c r="G12" s="53">
        <f t="shared" si="1"/>
        <v>3420.4138338461535</v>
      </c>
      <c r="H12" s="73">
        <f t="shared" si="2"/>
        <v>0.04635865989331517</v>
      </c>
      <c r="I12" s="71">
        <f>901.493903076923*($G$1)</f>
        <v>631.0457321538461</v>
      </c>
      <c r="J12" s="72">
        <f t="shared" si="3"/>
        <v>0.008552893274072767</v>
      </c>
      <c r="K12" s="53">
        <f t="shared" si="4"/>
        <v>2540.115774</v>
      </c>
      <c r="L12" s="73">
        <f t="shared" si="5"/>
        <v>0.034427519293505335</v>
      </c>
      <c r="M12" s="71">
        <f>868.921767692308*($G$1)</f>
        <v>608.2452373846153</v>
      </c>
      <c r="N12" s="72">
        <f t="shared" si="6"/>
        <v>0.008243866228296403</v>
      </c>
      <c r="O12" s="53">
        <f t="shared" si="7"/>
        <v>2299.983336</v>
      </c>
      <c r="P12" s="73">
        <f t="shared" si="8"/>
        <v>0.031172878608674303</v>
      </c>
      <c r="Q12" s="71">
        <f>776.058230769231*($G$1)</f>
        <v>543.2407615384615</v>
      </c>
      <c r="R12" s="72">
        <f t="shared" si="9"/>
        <v>0.007362826525592812</v>
      </c>
      <c r="S12" s="53">
        <f t="shared" si="10"/>
        <v>1818.1731669230767</v>
      </c>
      <c r="T12" s="73">
        <f t="shared" si="11"/>
        <v>0.024642653072701217</v>
      </c>
      <c r="U12" s="71">
        <f>725.087741538462*($G$1)</f>
        <v>507.5614190769231</v>
      </c>
      <c r="V12" s="72">
        <f t="shared" si="12"/>
        <v>0.006879245712644324</v>
      </c>
      <c r="W12" s="53">
        <f t="shared" si="13"/>
        <v>1581.7721123076924</v>
      </c>
      <c r="X12" s="74">
        <f t="shared" si="14"/>
        <v>0.02143858578093369</v>
      </c>
      <c r="Y12" s="80"/>
      <c r="Z12" s="80"/>
      <c r="AA12" s="80"/>
      <c r="AB12" s="80"/>
      <c r="AC12" s="80"/>
      <c r="AD12" s="80"/>
    </row>
    <row r="13" spans="1:30" s="64" customFormat="1" ht="12.75">
      <c r="A13" s="69">
        <v>2003</v>
      </c>
      <c r="B13" s="69">
        <v>9</v>
      </c>
      <c r="C13" s="70">
        <f>C12+(C$15-C$10)/(A$15-A$10)</f>
        <v>64940</v>
      </c>
      <c r="D13" s="53">
        <v>74740.71126429999</v>
      </c>
      <c r="E13" s="71">
        <f>1347.44275384615*($G$1)</f>
        <v>943.2099276923075</v>
      </c>
      <c r="F13" s="72">
        <f t="shared" si="0"/>
        <v>0.01261976119489825</v>
      </c>
      <c r="G13" s="53">
        <f t="shared" si="1"/>
        <v>4363.623761538461</v>
      </c>
      <c r="H13" s="73">
        <f t="shared" si="2"/>
        <v>0.05838349258020444</v>
      </c>
      <c r="I13" s="71">
        <f>899.221181538461*($G$1)</f>
        <v>629.4548270769229</v>
      </c>
      <c r="J13" s="72">
        <f t="shared" si="3"/>
        <v>0.008421846894807154</v>
      </c>
      <c r="K13" s="53">
        <f t="shared" si="4"/>
        <v>3169.5706010769227</v>
      </c>
      <c r="L13" s="73">
        <f t="shared" si="5"/>
        <v>0.04240755202166337</v>
      </c>
      <c r="M13" s="71">
        <f>898.136155384615*($G$1)</f>
        <v>628.6953087692307</v>
      </c>
      <c r="N13" s="72">
        <f t="shared" si="6"/>
        <v>0.008411684851994818</v>
      </c>
      <c r="O13" s="53">
        <f t="shared" si="7"/>
        <v>2928.6786447692302</v>
      </c>
      <c r="P13" s="73">
        <f t="shared" si="8"/>
        <v>0.03918451664732977</v>
      </c>
      <c r="Q13" s="71">
        <f>862.046376923077*($G$1)</f>
        <v>603.4324638461537</v>
      </c>
      <c r="R13" s="72">
        <f t="shared" si="9"/>
        <v>0.008073678369373295</v>
      </c>
      <c r="S13" s="53">
        <f t="shared" si="10"/>
        <v>2421.6056307692306</v>
      </c>
      <c r="T13" s="73">
        <f t="shared" si="11"/>
        <v>0.03240008811537647</v>
      </c>
      <c r="U13" s="71">
        <f>844.894716923077*($G$1)</f>
        <v>591.4263018461538</v>
      </c>
      <c r="V13" s="72">
        <f t="shared" si="12"/>
        <v>0.007913040856070225</v>
      </c>
      <c r="W13" s="53">
        <f t="shared" si="13"/>
        <v>2173.198414153846</v>
      </c>
      <c r="X13" s="74">
        <f t="shared" si="14"/>
        <v>0.029076501646725397</v>
      </c>
      <c r="Y13" s="80"/>
      <c r="Z13" s="80"/>
      <c r="AA13" s="80"/>
      <c r="AB13" s="80"/>
      <c r="AC13" s="80"/>
      <c r="AD13" s="80"/>
    </row>
    <row r="14" spans="1:30" s="64" customFormat="1" ht="12.75">
      <c r="A14" s="69">
        <v>2004</v>
      </c>
      <c r="B14" s="69">
        <v>10</v>
      </c>
      <c r="C14" s="70">
        <f>C13+(C$15-C$10)/(A$15-A$10)</f>
        <v>65620</v>
      </c>
      <c r="D14" s="53">
        <v>75712.34051073588</v>
      </c>
      <c r="E14" s="71">
        <f>1374.87378461538*($G$1)</f>
        <v>962.4116492307691</v>
      </c>
      <c r="F14" s="72">
        <f t="shared" si="0"/>
        <v>0.01271142382785407</v>
      </c>
      <c r="G14" s="53">
        <f t="shared" si="1"/>
        <v>5326.03541076923</v>
      </c>
      <c r="H14" s="73">
        <f t="shared" si="2"/>
        <v>0.07034567119232045</v>
      </c>
      <c r="I14" s="71">
        <f>928.216869230769*($G$1)</f>
        <v>649.7518084615383</v>
      </c>
      <c r="J14" s="72">
        <f t="shared" si="3"/>
        <v>0.008581848138341524</v>
      </c>
      <c r="K14" s="53">
        <f t="shared" si="4"/>
        <v>3819.322409538461</v>
      </c>
      <c r="L14" s="73">
        <f t="shared" si="5"/>
        <v>0.05044517688628167</v>
      </c>
      <c r="M14" s="71">
        <f>921.357803076923*($G$1)</f>
        <v>644.950462153846</v>
      </c>
      <c r="N14" s="72">
        <f t="shared" si="6"/>
        <v>0.008518432501269633</v>
      </c>
      <c r="O14" s="53">
        <f t="shared" si="7"/>
        <v>3573.6291069230765</v>
      </c>
      <c r="P14" s="73">
        <f t="shared" si="8"/>
        <v>0.04720008763190119</v>
      </c>
      <c r="Q14" s="71">
        <f>902.086892307692*($G$1)</f>
        <v>631.4608246153845</v>
      </c>
      <c r="R14" s="72">
        <f t="shared" si="9"/>
        <v>0.00834026289975601</v>
      </c>
      <c r="S14" s="53">
        <f t="shared" si="10"/>
        <v>3053.066455384615</v>
      </c>
      <c r="T14" s="73">
        <f t="shared" si="11"/>
        <v>0.04032455521503387</v>
      </c>
      <c r="U14" s="71">
        <f>892.594343076923*($G$1)</f>
        <v>624.8160401538462</v>
      </c>
      <c r="V14" s="72">
        <f t="shared" si="12"/>
        <v>0.008252499340781155</v>
      </c>
      <c r="W14" s="53">
        <f t="shared" si="13"/>
        <v>2798.014454307692</v>
      </c>
      <c r="X14" s="74">
        <f t="shared" si="14"/>
        <v>0.036955857333599906</v>
      </c>
      <c r="Y14" s="80"/>
      <c r="Z14" s="80"/>
      <c r="AA14" s="80"/>
      <c r="AB14" s="80"/>
      <c r="AC14" s="80"/>
      <c r="AD14" s="80"/>
    </row>
    <row r="15" spans="1:30" s="64" customFormat="1" ht="12.75">
      <c r="A15" s="69">
        <v>2005</v>
      </c>
      <c r="B15" s="69">
        <v>11</v>
      </c>
      <c r="C15" s="70">
        <v>66300</v>
      </c>
      <c r="D15" s="53">
        <v>76696.60093737545</v>
      </c>
      <c r="E15" s="71">
        <f>1487.41310769231*($G$1)</f>
        <v>1041.1891753846153</v>
      </c>
      <c r="F15" s="72">
        <f t="shared" si="0"/>
        <v>0.013575427889363315</v>
      </c>
      <c r="G15" s="53">
        <f t="shared" si="1"/>
        <v>6367.224586153845</v>
      </c>
      <c r="H15" s="73">
        <f t="shared" si="2"/>
        <v>0.08301834120853453</v>
      </c>
      <c r="I15" s="71">
        <f>1016.33809846154*($G$1)</f>
        <v>711.4366689230768</v>
      </c>
      <c r="J15" s="72">
        <f t="shared" si="3"/>
        <v>0.009275986943723637</v>
      </c>
      <c r="K15" s="53">
        <f t="shared" si="4"/>
        <v>4530.759078461538</v>
      </c>
      <c r="L15" s="73">
        <f t="shared" si="5"/>
        <v>0.05907379235959893</v>
      </c>
      <c r="M15" s="71">
        <f>981.599441538462*($G$1)</f>
        <v>687.119609076923</v>
      </c>
      <c r="N15" s="72">
        <f t="shared" si="6"/>
        <v>0.008958931695525491</v>
      </c>
      <c r="O15" s="53">
        <f t="shared" si="7"/>
        <v>4260.748715999999</v>
      </c>
      <c r="P15" s="73">
        <f t="shared" si="8"/>
        <v>0.05555329263521077</v>
      </c>
      <c r="Q15" s="71">
        <f>948.231553846154*($G$1)</f>
        <v>663.7620876923077</v>
      </c>
      <c r="R15" s="72">
        <f t="shared" si="9"/>
        <v>0.008654387281573075</v>
      </c>
      <c r="S15" s="53">
        <f t="shared" si="10"/>
        <v>3716.828543076923</v>
      </c>
      <c r="T15" s="73">
        <f t="shared" si="11"/>
        <v>0.04846145067252458</v>
      </c>
      <c r="U15" s="71">
        <f>929.249903076923*($G$1)</f>
        <v>650.4749321538461</v>
      </c>
      <c r="V15" s="72">
        <f t="shared" si="12"/>
        <v>0.008481144199401665</v>
      </c>
      <c r="W15" s="53">
        <f t="shared" si="13"/>
        <v>3448.4893864615383</v>
      </c>
      <c r="X15" s="74">
        <f t="shared" si="14"/>
        <v>0.04496274077748647</v>
      </c>
      <c r="Y15" s="80"/>
      <c r="Z15" s="80"/>
      <c r="AA15" s="80"/>
      <c r="AB15" s="80"/>
      <c r="AC15" s="80"/>
      <c r="AD15" s="80"/>
    </row>
    <row r="16" spans="1:30" s="64" customFormat="1" ht="12.75">
      <c r="A16" s="69">
        <v>2006</v>
      </c>
      <c r="B16" s="69">
        <v>12</v>
      </c>
      <c r="C16" s="70">
        <f>C15+(C$20-C$15)/(A$20-A$15)</f>
        <v>66940</v>
      </c>
      <c r="D16" s="53">
        <v>77693.65674956133</v>
      </c>
      <c r="E16" s="71">
        <f>1569.18426923077*($G$1)</f>
        <v>1098.4289884615382</v>
      </c>
      <c r="F16" s="72">
        <f t="shared" si="0"/>
        <v>0.014137949408176623</v>
      </c>
      <c r="G16" s="53">
        <f t="shared" si="1"/>
        <v>7465.653574615383</v>
      </c>
      <c r="H16" s="73">
        <f t="shared" si="2"/>
        <v>0.0960909022300271</v>
      </c>
      <c r="I16" s="71">
        <f>1099.60549615385*($G$1)</f>
        <v>769.7238473076923</v>
      </c>
      <c r="J16" s="72">
        <f t="shared" si="3"/>
        <v>0.00990716461948534</v>
      </c>
      <c r="K16" s="53">
        <f t="shared" si="4"/>
        <v>5300.48292576923</v>
      </c>
      <c r="L16" s="73">
        <f t="shared" si="5"/>
        <v>0.06822285302975081</v>
      </c>
      <c r="M16" s="71">
        <f>1074.43723846154*($G$1)</f>
        <v>752.1060669230769</v>
      </c>
      <c r="N16" s="72">
        <f t="shared" si="6"/>
        <v>0.009680405047060981</v>
      </c>
      <c r="O16" s="53">
        <f t="shared" si="7"/>
        <v>5012.854782923076</v>
      </c>
      <c r="P16" s="73">
        <f t="shared" si="8"/>
        <v>0.06452077290018118</v>
      </c>
      <c r="Q16" s="71">
        <f>1016.37724846154*($G$1)</f>
        <v>711.4640739230769</v>
      </c>
      <c r="R16" s="72">
        <f t="shared" si="9"/>
        <v>0.009157299368935855</v>
      </c>
      <c r="S16" s="53">
        <f t="shared" si="10"/>
        <v>4428.292617</v>
      </c>
      <c r="T16" s="73">
        <f t="shared" si="11"/>
        <v>0.05699683606441916</v>
      </c>
      <c r="U16" s="71">
        <f>987.020896153846*($G$1)</f>
        <v>690.9146273076922</v>
      </c>
      <c r="V16" s="72">
        <f t="shared" si="12"/>
        <v>0.008892806133900928</v>
      </c>
      <c r="W16" s="53">
        <f t="shared" si="13"/>
        <v>4139.40401376923</v>
      </c>
      <c r="X16" s="74">
        <f t="shared" si="14"/>
        <v>0.05327853246903071</v>
      </c>
      <c r="Y16" s="80"/>
      <c r="Z16" s="80"/>
      <c r="AA16" s="80"/>
      <c r="AB16" s="80"/>
      <c r="AC16" s="80"/>
      <c r="AD16" s="80"/>
    </row>
    <row r="17" spans="1:30" s="64" customFormat="1" ht="12.75">
      <c r="A17" s="69">
        <v>2007</v>
      </c>
      <c r="B17" s="69">
        <v>13</v>
      </c>
      <c r="C17" s="70">
        <f>C16+(C$20-C$15)/(A$20-A$15)</f>
        <v>67580</v>
      </c>
      <c r="D17" s="53">
        <v>78703.67428730562</v>
      </c>
      <c r="E17" s="71">
        <f>1724.16267692308*($G$1)</f>
        <v>1206.9138738461536</v>
      </c>
      <c r="F17" s="72">
        <f t="shared" si="0"/>
        <v>0.015334911422818042</v>
      </c>
      <c r="G17" s="53">
        <f t="shared" si="1"/>
        <v>8672.567448461537</v>
      </c>
      <c r="H17" s="73">
        <f t="shared" si="2"/>
        <v>0.11019266288385172</v>
      </c>
      <c r="I17" s="71">
        <f>1200.99541153846*($G$1)</f>
        <v>840.6967880769228</v>
      </c>
      <c r="J17" s="72">
        <f t="shared" si="3"/>
        <v>0.010681798476243714</v>
      </c>
      <c r="K17" s="53">
        <f t="shared" si="4"/>
        <v>6141.1797138461525</v>
      </c>
      <c r="L17" s="73">
        <f t="shared" si="5"/>
        <v>0.078029136116669</v>
      </c>
      <c r="M17" s="71">
        <f>1161.07530230769*($G$1)</f>
        <v>812.7527116153846</v>
      </c>
      <c r="N17" s="72">
        <f t="shared" si="6"/>
        <v>0.01032674419555627</v>
      </c>
      <c r="O17" s="53">
        <f t="shared" si="7"/>
        <v>5825.60749453846</v>
      </c>
      <c r="P17" s="73">
        <f t="shared" si="8"/>
        <v>0.07401951112564628</v>
      </c>
      <c r="Q17" s="71">
        <f>1098.56183538462*($G$1)</f>
        <v>768.9932847692306</v>
      </c>
      <c r="R17" s="72">
        <f t="shared" si="9"/>
        <v>0.00977074185840475</v>
      </c>
      <c r="S17" s="53">
        <f t="shared" si="10"/>
        <v>5197.285901769231</v>
      </c>
      <c r="T17" s="73">
        <f t="shared" si="11"/>
        <v>0.0660361279042282</v>
      </c>
      <c r="U17" s="71">
        <f>1069.73055692308*($G$1)</f>
        <v>748.8113898461539</v>
      </c>
      <c r="V17" s="72">
        <f t="shared" si="12"/>
        <v>0.009514312980009527</v>
      </c>
      <c r="W17" s="53">
        <f t="shared" si="13"/>
        <v>4888.215403615384</v>
      </c>
      <c r="X17" s="74">
        <f t="shared" si="14"/>
        <v>0.062109113048154356</v>
      </c>
      <c r="Y17" s="80"/>
      <c r="Z17" s="80"/>
      <c r="AA17" s="80"/>
      <c r="AB17" s="80"/>
      <c r="AC17" s="80"/>
      <c r="AD17" s="80"/>
    </row>
    <row r="18" spans="1:30" s="64" customFormat="1" ht="12.75">
      <c r="A18" s="69">
        <v>2008</v>
      </c>
      <c r="B18" s="69">
        <v>14</v>
      </c>
      <c r="C18" s="70">
        <f>C17+(C$20-C$15)/(A$20-A$15)</f>
        <v>68220</v>
      </c>
      <c r="D18" s="53">
        <v>79726.82205304058</v>
      </c>
      <c r="E18" s="71">
        <f>1891.37652527472*($G$1)</f>
        <v>1323.9635676923074</v>
      </c>
      <c r="F18" s="72">
        <f t="shared" si="0"/>
        <v>0.016606250363415995</v>
      </c>
      <c r="G18" s="53">
        <f t="shared" si="1"/>
        <v>9996.531016153845</v>
      </c>
      <c r="H18" s="73">
        <f t="shared" si="2"/>
        <v>0.1253847922033486</v>
      </c>
      <c r="I18" s="71">
        <f>1297.58267472527*($G$1)</f>
        <v>908.307872307692</v>
      </c>
      <c r="J18" s="72">
        <f t="shared" si="3"/>
        <v>0.011392751509691604</v>
      </c>
      <c r="K18" s="53">
        <f t="shared" si="4"/>
        <v>7049.487586153845</v>
      </c>
      <c r="L18" s="73">
        <f t="shared" si="5"/>
        <v>0.08842052655082588</v>
      </c>
      <c r="M18" s="71">
        <f>1260.8661056044*($G$1)</f>
        <v>882.6062739230767</v>
      </c>
      <c r="N18" s="72">
        <f t="shared" si="6"/>
        <v>0.011070380722511394</v>
      </c>
      <c r="O18" s="53">
        <f t="shared" si="7"/>
        <v>6708.213768461536</v>
      </c>
      <c r="P18" s="73">
        <f t="shared" si="8"/>
        <v>0.08413998696697961</v>
      </c>
      <c r="Q18" s="71">
        <f>1172.89039648352*($G$1)</f>
        <v>821.0232775384613</v>
      </c>
      <c r="R18" s="72">
        <f t="shared" si="9"/>
        <v>0.010297955649006702</v>
      </c>
      <c r="S18" s="53">
        <f t="shared" si="10"/>
        <v>6018.309179307692</v>
      </c>
      <c r="T18" s="73">
        <f t="shared" si="11"/>
        <v>0.07548663077657651</v>
      </c>
      <c r="U18" s="71">
        <f>1130.36877989011*($G$1)</f>
        <v>791.2581459230767</v>
      </c>
      <c r="V18" s="72">
        <f t="shared" si="12"/>
        <v>0.009924616654062409</v>
      </c>
      <c r="W18" s="53">
        <f t="shared" si="13"/>
        <v>5679.473549538461</v>
      </c>
      <c r="X18" s="74">
        <f t="shared" si="14"/>
        <v>0.07123667297010819</v>
      </c>
      <c r="Y18" s="80"/>
      <c r="Z18" s="80"/>
      <c r="AA18" s="80"/>
      <c r="AB18" s="80"/>
      <c r="AC18" s="80"/>
      <c r="AD18" s="80"/>
    </row>
    <row r="19" spans="1:30" s="64" customFormat="1" ht="12.75">
      <c r="A19" s="69">
        <v>2009</v>
      </c>
      <c r="B19" s="69">
        <v>15</v>
      </c>
      <c r="C19" s="70">
        <f>C18+(C$20-C$15)/(A$20-A$15)</f>
        <v>68860</v>
      </c>
      <c r="D19" s="53">
        <v>80763.2707397301</v>
      </c>
      <c r="E19" s="71">
        <f>2047.7068021978*($G$1)</f>
        <v>1433.3947615384611</v>
      </c>
      <c r="F19" s="72">
        <f t="shared" si="0"/>
        <v>0.01774810193308983</v>
      </c>
      <c r="G19" s="53">
        <f t="shared" si="1"/>
        <v>11429.925777692306</v>
      </c>
      <c r="H19" s="73">
        <f t="shared" si="2"/>
        <v>0.14152380993244681</v>
      </c>
      <c r="I19" s="71">
        <f>1397.80957252747*($G$1)</f>
        <v>978.4667007692306</v>
      </c>
      <c r="J19" s="72">
        <f t="shared" si="3"/>
        <v>0.01211524362259255</v>
      </c>
      <c r="K19" s="53">
        <f t="shared" si="4"/>
        <v>8027.954286923075</v>
      </c>
      <c r="L19" s="73">
        <f t="shared" si="5"/>
        <v>0.09940105463031801</v>
      </c>
      <c r="M19" s="71">
        <f>1355.97849230769*($G$1)</f>
        <v>949.1849446153846</v>
      </c>
      <c r="N19" s="72">
        <f t="shared" si="6"/>
        <v>0.011752680840208337</v>
      </c>
      <c r="O19" s="53">
        <f t="shared" si="7"/>
        <v>7657.398713076921</v>
      </c>
      <c r="P19" s="73">
        <f t="shared" si="8"/>
        <v>0.09481288515114576</v>
      </c>
      <c r="Q19" s="71">
        <f>1269.71997032967*($G$1)</f>
        <v>888.8039792307691</v>
      </c>
      <c r="R19" s="72">
        <f t="shared" si="9"/>
        <v>0.011005051814890619</v>
      </c>
      <c r="S19" s="53">
        <f t="shared" si="10"/>
        <v>6907.113158538461</v>
      </c>
      <c r="T19" s="73">
        <f t="shared" si="11"/>
        <v>0.08552294991615075</v>
      </c>
      <c r="U19" s="71">
        <f>1228.07641648352*($G$1)</f>
        <v>859.6534915384614</v>
      </c>
      <c r="V19" s="72">
        <f t="shared" si="12"/>
        <v>0.010644114381013666</v>
      </c>
      <c r="W19" s="53">
        <f t="shared" si="13"/>
        <v>6539.127041076923</v>
      </c>
      <c r="X19" s="74">
        <f t="shared" si="14"/>
        <v>0.08096659510175226</v>
      </c>
      <c r="Y19" s="80"/>
      <c r="Z19" s="80"/>
      <c r="AA19" s="80"/>
      <c r="AB19" s="80"/>
      <c r="AC19" s="80"/>
      <c r="AD19" s="80"/>
    </row>
    <row r="20" spans="1:30" s="64" customFormat="1" ht="12.75">
      <c r="A20" s="69">
        <v>2010</v>
      </c>
      <c r="B20" s="69">
        <v>16</v>
      </c>
      <c r="C20" s="75">
        <v>69500</v>
      </c>
      <c r="D20" s="71">
        <v>81813.19325934658</v>
      </c>
      <c r="E20" s="71">
        <f>2109.213*($G$1)</f>
        <v>1476.4490999999998</v>
      </c>
      <c r="F20" s="72">
        <f t="shared" si="0"/>
        <v>0.018046589323554192</v>
      </c>
      <c r="G20" s="53">
        <f t="shared" si="1"/>
        <v>12906.374877692306</v>
      </c>
      <c r="H20" s="73">
        <f t="shared" si="2"/>
        <v>0.15775420031313647</v>
      </c>
      <c r="I20" s="71">
        <f>1403.51438571429*($G$1)</f>
        <v>982.4600699999996</v>
      </c>
      <c r="J20" s="72">
        <f t="shared" si="3"/>
        <v>0.012008577478275615</v>
      </c>
      <c r="K20" s="53">
        <f t="shared" si="4"/>
        <v>9010.414356923075</v>
      </c>
      <c r="L20" s="73">
        <f t="shared" si="5"/>
        <v>0.11013400159507523</v>
      </c>
      <c r="M20" s="71">
        <f>1393.14088186813*($G$1)</f>
        <v>975.1986173076922</v>
      </c>
      <c r="N20" s="72">
        <f t="shared" si="6"/>
        <v>0.011919820978217137</v>
      </c>
      <c r="O20" s="53">
        <f t="shared" si="7"/>
        <v>8632.597330384613</v>
      </c>
      <c r="P20" s="73">
        <f t="shared" si="8"/>
        <v>0.10551595636927912</v>
      </c>
      <c r="Q20" s="71">
        <f>1335.53394*($G$1)</f>
        <v>934.873758</v>
      </c>
      <c r="R20" s="72">
        <f t="shared" si="9"/>
        <v>0.011426931534581035</v>
      </c>
      <c r="S20" s="53">
        <f t="shared" si="10"/>
        <v>7841.986916538461</v>
      </c>
      <c r="T20" s="73">
        <f t="shared" si="11"/>
        <v>0.09585235099771111</v>
      </c>
      <c r="U20" s="71">
        <f>1309.66268637363*($G$1)</f>
        <v>916.7638804615382</v>
      </c>
      <c r="V20" s="72">
        <f t="shared" si="12"/>
        <v>0.011205575090504176</v>
      </c>
      <c r="W20" s="53">
        <f t="shared" si="13"/>
        <v>7455.890921538461</v>
      </c>
      <c r="X20" s="74">
        <f t="shared" si="14"/>
        <v>0.09113311220970682</v>
      </c>
      <c r="Y20" s="80"/>
      <c r="Z20" s="80"/>
      <c r="AA20" s="80"/>
      <c r="AB20" s="80"/>
      <c r="AC20" s="80"/>
      <c r="AD20" s="80"/>
    </row>
    <row r="21" spans="1:30" s="64" customFormat="1" ht="12.75">
      <c r="A21" s="69">
        <v>2011</v>
      </c>
      <c r="B21" s="69">
        <v>17</v>
      </c>
      <c r="C21" s="70">
        <f>C20+(C$25-C$20)/(A$25-A$20)</f>
        <v>70000</v>
      </c>
      <c r="D21" s="53">
        <v>82876.76477171807</v>
      </c>
      <c r="E21" s="71">
        <f>2145.14198901099*($G$1)</f>
        <v>1501.599392307692</v>
      </c>
      <c r="F21" s="72">
        <f t="shared" si="0"/>
        <v>0.018118460541308643</v>
      </c>
      <c r="G21" s="53">
        <f t="shared" si="1"/>
        <v>14407.974269999997</v>
      </c>
      <c r="H21" s="73">
        <f t="shared" si="2"/>
        <v>0.17384817457204554</v>
      </c>
      <c r="I21" s="71">
        <f>1430.6028032967*($G$1)</f>
        <v>1001.421962307692</v>
      </c>
      <c r="J21" s="72">
        <f t="shared" si="3"/>
        <v>0.012083265618126905</v>
      </c>
      <c r="K21" s="53">
        <f t="shared" si="4"/>
        <v>10011.836319230766</v>
      </c>
      <c r="L21" s="73">
        <f t="shared" si="5"/>
        <v>0.12080389897950425</v>
      </c>
      <c r="M21" s="71">
        <f>1427.54543901099*($G$1)</f>
        <v>999.281807307692</v>
      </c>
      <c r="N21" s="72">
        <f t="shared" si="6"/>
        <v>0.01205744227661623</v>
      </c>
      <c r="O21" s="53">
        <f t="shared" si="7"/>
        <v>9631.879137692305</v>
      </c>
      <c r="P21" s="73">
        <f t="shared" si="8"/>
        <v>0.11621929456613166</v>
      </c>
      <c r="Q21" s="71">
        <f>1396.33142142857*($G$1)</f>
        <v>977.4319949999997</v>
      </c>
      <c r="R21" s="72">
        <f t="shared" si="9"/>
        <v>0.011793800080062382</v>
      </c>
      <c r="S21" s="53">
        <f t="shared" si="10"/>
        <v>8819.41891153846</v>
      </c>
      <c r="T21" s="73">
        <f t="shared" si="11"/>
        <v>0.10641606167701315</v>
      </c>
      <c r="U21" s="71">
        <f>1378.48593461538*($G$1)</f>
        <v>964.9401542307692</v>
      </c>
      <c r="V21" s="72">
        <f t="shared" si="12"/>
        <v>0.011643072179381908</v>
      </c>
      <c r="W21" s="53">
        <f t="shared" si="13"/>
        <v>8420.83107576923</v>
      </c>
      <c r="X21" s="74">
        <f t="shared" si="14"/>
        <v>0.10160665777632845</v>
      </c>
      <c r="Y21" s="80"/>
      <c r="Z21" s="80"/>
      <c r="AA21" s="80"/>
      <c r="AB21" s="80"/>
      <c r="AC21" s="80"/>
      <c r="AD21" s="80"/>
    </row>
    <row r="22" spans="1:30" s="64" customFormat="1" ht="12.75">
      <c r="A22" s="69">
        <v>2012</v>
      </c>
      <c r="B22" s="69">
        <v>18</v>
      </c>
      <c r="C22" s="70">
        <f>C21+(C$25-C$20)/(A$25-A$20)</f>
        <v>70500</v>
      </c>
      <c r="D22" s="53">
        <v>83954.1627137504</v>
      </c>
      <c r="E22" s="71">
        <f>2224.27265934066*($G$1)</f>
        <v>1556.9908615384613</v>
      </c>
      <c r="F22" s="72">
        <f t="shared" si="0"/>
        <v>0.01854572556273556</v>
      </c>
      <c r="G22" s="53">
        <f t="shared" si="1"/>
        <v>15964.965131538458</v>
      </c>
      <c r="H22" s="73">
        <f t="shared" si="2"/>
        <v>0.19016287716396513</v>
      </c>
      <c r="I22" s="71">
        <f>1511.74715934066*($G$1)</f>
        <v>1058.2230115384614</v>
      </c>
      <c r="J22" s="72">
        <f t="shared" si="3"/>
        <v>0.01260477119099588</v>
      </c>
      <c r="K22" s="53">
        <f t="shared" si="4"/>
        <v>11070.059330769227</v>
      </c>
      <c r="L22" s="73">
        <f t="shared" si="5"/>
        <v>0.1318583733425302</v>
      </c>
      <c r="M22" s="71">
        <f>1476.07318681319*($G$1)</f>
        <v>1033.2512307692305</v>
      </c>
      <c r="N22" s="72">
        <f t="shared" si="6"/>
        <v>0.012307325775997524</v>
      </c>
      <c r="O22" s="53">
        <f t="shared" si="7"/>
        <v>10665.130368461536</v>
      </c>
      <c r="P22" s="73">
        <f t="shared" si="8"/>
        <v>0.12703515851650263</v>
      </c>
      <c r="Q22" s="71">
        <f>1449.88016043956*($G$1)</f>
        <v>1014.9161123076922</v>
      </c>
      <c r="R22" s="72">
        <f t="shared" si="9"/>
        <v>0.012088931382332333</v>
      </c>
      <c r="S22" s="53">
        <f t="shared" si="10"/>
        <v>9834.335023846152</v>
      </c>
      <c r="T22" s="73">
        <f t="shared" si="11"/>
        <v>0.11713933777622487</v>
      </c>
      <c r="U22" s="71">
        <f>1436.42756868132*($G$1)</f>
        <v>1005.4992980769229</v>
      </c>
      <c r="V22" s="72">
        <f t="shared" si="12"/>
        <v>0.011976765243973276</v>
      </c>
      <c r="W22" s="53">
        <f t="shared" si="13"/>
        <v>9426.330373846153</v>
      </c>
      <c r="X22" s="74">
        <f t="shared" si="14"/>
        <v>0.11227948762929256</v>
      </c>
      <c r="Y22" s="80"/>
      <c r="Z22" s="80"/>
      <c r="AA22" s="80"/>
      <c r="AB22" s="80"/>
      <c r="AC22" s="80"/>
      <c r="AD22" s="80"/>
    </row>
    <row r="23" spans="1:30" s="64" customFormat="1" ht="12.75">
      <c r="A23" s="69">
        <v>2013</v>
      </c>
      <c r="B23" s="69">
        <v>19</v>
      </c>
      <c r="C23" s="70">
        <f>C22+(C$25-C$20)/(A$25-A$20)</f>
        <v>71000</v>
      </c>
      <c r="D23" s="53">
        <v>85045.56682902915</v>
      </c>
      <c r="E23" s="71">
        <f>2213.42973626374*($G$1)</f>
        <v>1549.4008153846153</v>
      </c>
      <c r="F23" s="72">
        <f t="shared" si="0"/>
        <v>0.01821847831879872</v>
      </c>
      <c r="G23" s="53">
        <f t="shared" si="1"/>
        <v>17514.365946923073</v>
      </c>
      <c r="H23" s="73">
        <f t="shared" si="2"/>
        <v>0.20594096317957378</v>
      </c>
      <c r="I23" s="71">
        <f>1475.60471208791*($G$1)</f>
        <v>1032.9232984615385</v>
      </c>
      <c r="J23" s="72">
        <f t="shared" si="3"/>
        <v>0.01214552782672458</v>
      </c>
      <c r="K23" s="53">
        <f t="shared" si="4"/>
        <v>12102.982629230766</v>
      </c>
      <c r="L23" s="73">
        <f t="shared" si="5"/>
        <v>0.14231174040572775</v>
      </c>
      <c r="M23" s="71">
        <f>1488.19874835165*($G$1)</f>
        <v>1041.739123846154</v>
      </c>
      <c r="N23" s="72">
        <f t="shared" si="6"/>
        <v>0.012249187849384413</v>
      </c>
      <c r="O23" s="53">
        <f t="shared" si="7"/>
        <v>11706.86949230769</v>
      </c>
      <c r="P23" s="73">
        <f t="shared" si="8"/>
        <v>0.13765408273240773</v>
      </c>
      <c r="Q23" s="71">
        <f>1466.85481318681*($G$1)</f>
        <v>1026.7983692307691</v>
      </c>
      <c r="R23" s="72">
        <f t="shared" si="9"/>
        <v>0.012073508443949667</v>
      </c>
      <c r="S23" s="53">
        <f t="shared" si="10"/>
        <v>10861.133393076921</v>
      </c>
      <c r="T23" s="73">
        <f t="shared" si="11"/>
        <v>0.1277095773247245</v>
      </c>
      <c r="U23" s="71">
        <f>1457.95001538462*($G$1)</f>
        <v>1020.5650107692305</v>
      </c>
      <c r="V23" s="72">
        <f t="shared" si="12"/>
        <v>0.012000214106643764</v>
      </c>
      <c r="W23" s="53">
        <f t="shared" si="13"/>
        <v>10446.895384615384</v>
      </c>
      <c r="X23" s="74">
        <f t="shared" si="14"/>
        <v>0.12283880011779141</v>
      </c>
      <c r="Y23" s="80"/>
      <c r="Z23" s="80"/>
      <c r="AA23" s="80"/>
      <c r="AB23" s="80"/>
      <c r="AC23" s="80"/>
      <c r="AD23" s="80"/>
    </row>
    <row r="24" spans="1:30" s="64" customFormat="1" ht="12.75">
      <c r="A24" s="69">
        <v>2014</v>
      </c>
      <c r="B24" s="69">
        <v>20</v>
      </c>
      <c r="C24" s="70">
        <f>C23+(C$25-C$20)/(A$25-A$20)</f>
        <v>71500</v>
      </c>
      <c r="D24" s="53">
        <v>86151.15919780653</v>
      </c>
      <c r="E24" s="71">
        <f>2206.28927472527*($G$1)</f>
        <v>1544.4024923076925</v>
      </c>
      <c r="F24" s="72">
        <f t="shared" si="0"/>
        <v>0.0179266594516933</v>
      </c>
      <c r="G24" s="53">
        <f t="shared" si="1"/>
        <v>19058.768439230767</v>
      </c>
      <c r="H24" s="73">
        <f t="shared" si="2"/>
        <v>0.2212247474868106</v>
      </c>
      <c r="I24" s="71">
        <f>1468.12422857143*($G$1)</f>
        <v>1027.6869599999998</v>
      </c>
      <c r="J24" s="72">
        <f t="shared" si="3"/>
        <v>0.011928881393695344</v>
      </c>
      <c r="K24" s="53">
        <f t="shared" si="4"/>
        <v>13130.669589230765</v>
      </c>
      <c r="L24" s="73">
        <f t="shared" si="5"/>
        <v>0.15241431121178786</v>
      </c>
      <c r="M24" s="71">
        <f>1474.10105934066*($G$1)</f>
        <v>1031.8707415384615</v>
      </c>
      <c r="N24" s="72">
        <f t="shared" si="6"/>
        <v>0.011977444658280741</v>
      </c>
      <c r="O24" s="53">
        <f t="shared" si="7"/>
        <v>12738.74023384615</v>
      </c>
      <c r="P24" s="73">
        <f t="shared" si="8"/>
        <v>0.14786498931021336</v>
      </c>
      <c r="Q24" s="71">
        <f>1475.76338901099*($G$1)</f>
        <v>1033.0343723076924</v>
      </c>
      <c r="R24" s="72">
        <f t="shared" si="9"/>
        <v>0.011990951508102218</v>
      </c>
      <c r="S24" s="53">
        <f t="shared" si="10"/>
        <v>11894.167765384615</v>
      </c>
      <c r="T24" s="73">
        <f t="shared" si="11"/>
        <v>0.13806161026893587</v>
      </c>
      <c r="U24" s="71">
        <f>1478.4948989011*($G$1)</f>
        <v>1034.9464292307691</v>
      </c>
      <c r="V24" s="72">
        <f t="shared" si="12"/>
        <v>0.012013145718149775</v>
      </c>
      <c r="W24" s="53">
        <f t="shared" si="13"/>
        <v>11481.841813846153</v>
      </c>
      <c r="X24" s="74">
        <f t="shared" si="14"/>
        <v>0.13327553477816104</v>
      </c>
      <c r="Y24" s="80"/>
      <c r="Z24" s="80"/>
      <c r="AA24" s="80"/>
      <c r="AB24" s="80"/>
      <c r="AC24" s="80"/>
      <c r="AD24" s="80"/>
    </row>
    <row r="25" spans="1:30" s="64" customFormat="1" ht="12.75">
      <c r="A25" s="69">
        <v>2015</v>
      </c>
      <c r="B25" s="69">
        <v>21</v>
      </c>
      <c r="C25" s="70">
        <v>72000</v>
      </c>
      <c r="D25" s="53">
        <v>87271.124267378</v>
      </c>
      <c r="E25" s="71">
        <f>2263.48852747253*($G$1)</f>
        <v>1584.4419692307692</v>
      </c>
      <c r="F25" s="72">
        <f t="shared" si="0"/>
        <v>0.018155397704931762</v>
      </c>
      <c r="G25" s="53">
        <f t="shared" si="1"/>
        <v>20643.210408461535</v>
      </c>
      <c r="H25" s="73">
        <f t="shared" si="2"/>
        <v>0.23654113066328375</v>
      </c>
      <c r="I25" s="71">
        <f>1492.47358021978*($G$1)</f>
        <v>1044.731506153846</v>
      </c>
      <c r="J25" s="72">
        <f t="shared" si="3"/>
        <v>0.011971101723784797</v>
      </c>
      <c r="K25" s="53">
        <f t="shared" si="4"/>
        <v>14175.401095384612</v>
      </c>
      <c r="L25" s="73">
        <f t="shared" si="5"/>
        <v>0.1624294543514135</v>
      </c>
      <c r="M25" s="71">
        <f>1475.35347362637*($G$1)</f>
        <v>1032.7474315384616</v>
      </c>
      <c r="N25" s="72">
        <f t="shared" si="6"/>
        <v>0.01183378167988725</v>
      </c>
      <c r="O25" s="53">
        <f t="shared" si="7"/>
        <v>13771.487665384611</v>
      </c>
      <c r="P25" s="73">
        <f t="shared" si="8"/>
        <v>0.15780119462185502</v>
      </c>
      <c r="Q25" s="71">
        <f>1470.13413626374*($G$1)</f>
        <v>1029.0938953846153</v>
      </c>
      <c r="R25" s="72">
        <f t="shared" si="9"/>
        <v>0.01179191747583904</v>
      </c>
      <c r="S25" s="53">
        <f t="shared" si="10"/>
        <v>12923.261660769229</v>
      </c>
      <c r="T25" s="73">
        <f t="shared" si="11"/>
        <v>0.14808175979463062</v>
      </c>
      <c r="U25" s="71">
        <f>1465.93297582418*($G$1)</f>
        <v>1026.153083076923</v>
      </c>
      <c r="V25" s="72">
        <f t="shared" si="12"/>
        <v>0.011758220049200163</v>
      </c>
      <c r="W25" s="53">
        <f t="shared" si="13"/>
        <v>12507.994896923075</v>
      </c>
      <c r="X25" s="74">
        <f t="shared" si="14"/>
        <v>0.14332340739190605</v>
      </c>
      <c r="Y25" s="80"/>
      <c r="Z25" s="80"/>
      <c r="AA25" s="80"/>
      <c r="AB25" s="80"/>
      <c r="AC25" s="80"/>
      <c r="AD25" s="80"/>
    </row>
    <row r="26" spans="1:30" s="64" customFormat="1" ht="12.75">
      <c r="A26" s="69">
        <v>2016</v>
      </c>
      <c r="B26" s="69">
        <v>22</v>
      </c>
      <c r="C26" s="70">
        <f>C25+(C$30-C$25)/(A$30-A$25)</f>
        <v>72180</v>
      </c>
      <c r="D26" s="53">
        <v>88405.64888285391</v>
      </c>
      <c r="E26" s="71">
        <f>2178.74749450549*($G$1)</f>
        <v>1525.123246153846</v>
      </c>
      <c r="F26" s="72">
        <f t="shared" si="0"/>
        <v>0.01725142301907407</v>
      </c>
      <c r="G26" s="53">
        <f t="shared" si="1"/>
        <v>22168.33365461538</v>
      </c>
      <c r="H26" s="73">
        <f t="shared" si="2"/>
        <v>0.25075698142310543</v>
      </c>
      <c r="I26" s="71">
        <f>1445.34275604396*($G$1)</f>
        <v>1011.7399292307692</v>
      </c>
      <c r="J26" s="72">
        <f t="shared" si="3"/>
        <v>0.011444290517808688</v>
      </c>
      <c r="K26" s="53">
        <f t="shared" si="4"/>
        <v>15187.141024615381</v>
      </c>
      <c r="L26" s="73">
        <f t="shared" si="5"/>
        <v>0.17178926026254068</v>
      </c>
      <c r="M26" s="71">
        <f>1466.80003186813*($G$1)</f>
        <v>1026.7600223076922</v>
      </c>
      <c r="N26" s="72">
        <f t="shared" si="6"/>
        <v>0.011614190216150658</v>
      </c>
      <c r="O26" s="53">
        <f t="shared" si="7"/>
        <v>14798.247687692303</v>
      </c>
      <c r="P26" s="73">
        <f t="shared" si="8"/>
        <v>0.1673902954697094</v>
      </c>
      <c r="Q26" s="71">
        <f>1467.74453736264*($G$1)</f>
        <v>1027.4211761538459</v>
      </c>
      <c r="R26" s="72">
        <f t="shared" si="9"/>
        <v>0.01162166885416201</v>
      </c>
      <c r="S26" s="53">
        <f t="shared" si="10"/>
        <v>13950.682836923075</v>
      </c>
      <c r="T26" s="73">
        <f t="shared" si="11"/>
        <v>0.15780307042832847</v>
      </c>
      <c r="U26" s="71">
        <f>1468.11478351648*($G$1)</f>
        <v>1027.6803484615384</v>
      </c>
      <c r="V26" s="72">
        <f t="shared" si="12"/>
        <v>0.011624600480262464</v>
      </c>
      <c r="W26" s="53">
        <f t="shared" si="13"/>
        <v>13535.675245384613</v>
      </c>
      <c r="X26" s="74">
        <f t="shared" si="14"/>
        <v>0.1531087143913247</v>
      </c>
      <c r="Y26" s="80"/>
      <c r="Z26" s="80"/>
      <c r="AA26" s="80"/>
      <c r="AB26" s="80"/>
      <c r="AC26" s="80"/>
      <c r="AD26" s="80"/>
    </row>
    <row r="27" spans="1:30" s="64" customFormat="1" ht="12.75">
      <c r="A27" s="69">
        <v>2017</v>
      </c>
      <c r="B27" s="69">
        <v>23</v>
      </c>
      <c r="C27" s="70">
        <f>C26+(C$30-C$25)/(A$30-A$25)</f>
        <v>72360</v>
      </c>
      <c r="D27" s="53">
        <v>89554.92231833101</v>
      </c>
      <c r="E27" s="71">
        <f>2098.65342857143*($G$1)</f>
        <v>1469.0573999999997</v>
      </c>
      <c r="F27" s="72">
        <f t="shared" si="0"/>
        <v>0.016403982740089966</v>
      </c>
      <c r="G27" s="53">
        <f t="shared" si="1"/>
        <v>23637.39105461538</v>
      </c>
      <c r="H27" s="73">
        <f t="shared" si="2"/>
        <v>0.263942957491428</v>
      </c>
      <c r="I27" s="71">
        <f>1368.2559956044*($G$1)</f>
        <v>957.7791969230768</v>
      </c>
      <c r="J27" s="72">
        <f t="shared" si="3"/>
        <v>0.010694880550714618</v>
      </c>
      <c r="K27" s="53">
        <f t="shared" si="4"/>
        <v>16144.920221538458</v>
      </c>
      <c r="L27" s="73">
        <f t="shared" si="5"/>
        <v>0.18027954023732934</v>
      </c>
      <c r="M27" s="71">
        <f>1391.18481098901*($G$1)</f>
        <v>973.8293676923075</v>
      </c>
      <c r="N27" s="72">
        <f t="shared" si="6"/>
        <v>0.010874102087105203</v>
      </c>
      <c r="O27" s="53">
        <f t="shared" si="7"/>
        <v>15772.07705538461</v>
      </c>
      <c r="P27" s="73">
        <f t="shared" si="8"/>
        <v>0.1761162496386446</v>
      </c>
      <c r="Q27" s="71">
        <f>1439.21858241758*($G$1)</f>
        <v>1007.4530076923077</v>
      </c>
      <c r="R27" s="72">
        <f t="shared" si="9"/>
        <v>0.01124955481633076</v>
      </c>
      <c r="S27" s="53">
        <f t="shared" si="10"/>
        <v>14958.135844615383</v>
      </c>
      <c r="T27" s="73">
        <f t="shared" si="11"/>
        <v>0.16702751180382186</v>
      </c>
      <c r="U27" s="71">
        <f>1465.79507802198*($G$1)</f>
        <v>1026.0565546153846</v>
      </c>
      <c r="V27" s="72">
        <f t="shared" si="12"/>
        <v>0.011457288198723175</v>
      </c>
      <c r="W27" s="53">
        <f t="shared" si="13"/>
        <v>14561.731799999998</v>
      </c>
      <c r="X27" s="74">
        <f t="shared" si="14"/>
        <v>0.16260113261266662</v>
      </c>
      <c r="Y27" s="80"/>
      <c r="Z27" s="80"/>
      <c r="AA27" s="80"/>
      <c r="AB27" s="80"/>
      <c r="AC27" s="80"/>
      <c r="AD27" s="80"/>
    </row>
    <row r="28" spans="1:30" s="64" customFormat="1" ht="12.75">
      <c r="A28" s="69">
        <v>2018</v>
      </c>
      <c r="B28" s="69">
        <v>24</v>
      </c>
      <c r="C28" s="70">
        <f>C27+(C$30-C$25)/(A$30-A$25)</f>
        <v>72540</v>
      </c>
      <c r="D28" s="53">
        <v>90719.1363084693</v>
      </c>
      <c r="E28" s="71">
        <f>1964.68476923077*($G$1)</f>
        <v>1375.2793384615384</v>
      </c>
      <c r="F28" s="72">
        <f t="shared" si="0"/>
        <v>0.015159749027870165</v>
      </c>
      <c r="G28" s="53">
        <f t="shared" si="1"/>
        <v>25012.670393076918</v>
      </c>
      <c r="H28" s="73">
        <f t="shared" si="2"/>
        <v>0.2757154819907804</v>
      </c>
      <c r="I28" s="71">
        <f>1248.72693626374*($G$1)</f>
        <v>874.1088553846155</v>
      </c>
      <c r="J28" s="72">
        <f t="shared" si="3"/>
        <v>0.009635330438028111</v>
      </c>
      <c r="K28" s="53">
        <f t="shared" si="4"/>
        <v>17019.029076923074</v>
      </c>
      <c r="L28" s="73">
        <f t="shared" si="5"/>
        <v>0.18760131290330884</v>
      </c>
      <c r="M28" s="71">
        <f>1293.08469230769*($G$1)</f>
        <v>905.1592846153846</v>
      </c>
      <c r="N28" s="72">
        <f t="shared" si="6"/>
        <v>0.009977600332719232</v>
      </c>
      <c r="O28" s="53">
        <f t="shared" si="7"/>
        <v>16677.236339999996</v>
      </c>
      <c r="P28" s="73">
        <f t="shared" si="8"/>
        <v>0.18383372041035462</v>
      </c>
      <c r="Q28" s="71">
        <f>1350.45017802198*($G$1)</f>
        <v>945.3151246153845</v>
      </c>
      <c r="R28" s="72">
        <f t="shared" si="9"/>
        <v>0.010420239467459881</v>
      </c>
      <c r="S28" s="53">
        <f t="shared" si="10"/>
        <v>15903.450969230767</v>
      </c>
      <c r="T28" s="73">
        <f t="shared" si="11"/>
        <v>0.17530425901713598</v>
      </c>
      <c r="U28" s="71">
        <f>1378.92135164835*($G$1)</f>
        <v>965.244946153846</v>
      </c>
      <c r="V28" s="72">
        <f t="shared" si="12"/>
        <v>0.010639926540655714</v>
      </c>
      <c r="W28" s="53">
        <f t="shared" si="13"/>
        <v>15526.976746153843</v>
      </c>
      <c r="X28" s="74">
        <f t="shared" si="14"/>
        <v>0.17115437137053394</v>
      </c>
      <c r="Y28" s="80"/>
      <c r="Z28" s="80"/>
      <c r="AA28" s="80"/>
      <c r="AB28" s="80"/>
      <c r="AC28" s="80"/>
      <c r="AD28" s="80"/>
    </row>
    <row r="29" spans="1:30" s="64" customFormat="1" ht="12.75">
      <c r="A29" s="69">
        <v>2019</v>
      </c>
      <c r="B29" s="69">
        <v>25</v>
      </c>
      <c r="C29" s="70">
        <f>C28+(C$30-C$25)/(A$30-A$25)</f>
        <v>72720</v>
      </c>
      <c r="D29" s="53">
        <v>91898.4850804794</v>
      </c>
      <c r="E29" s="71">
        <f>1831.6983956044*($G$1)</f>
        <v>1282.188876923077</v>
      </c>
      <c r="F29" s="72">
        <f t="shared" si="0"/>
        <v>0.013952230831663982</v>
      </c>
      <c r="G29" s="53">
        <f t="shared" si="1"/>
        <v>26294.859269999994</v>
      </c>
      <c r="H29" s="73">
        <f t="shared" si="2"/>
        <v>0.2861294094997591</v>
      </c>
      <c r="I29" s="71">
        <f>1179.06021098901*($G$1)</f>
        <v>825.3421476923077</v>
      </c>
      <c r="J29" s="72">
        <f t="shared" si="3"/>
        <v>0.008981020165561168</v>
      </c>
      <c r="K29" s="53">
        <f t="shared" si="4"/>
        <v>17844.37122461538</v>
      </c>
      <c r="L29" s="73">
        <f t="shared" si="5"/>
        <v>0.19417481375224313</v>
      </c>
      <c r="M29" s="71">
        <f>1206.82111648352*($G$1)</f>
        <v>844.7747815384615</v>
      </c>
      <c r="N29" s="72">
        <f t="shared" si="6"/>
        <v>0.009192477773694054</v>
      </c>
      <c r="O29" s="53">
        <f t="shared" si="7"/>
        <v>17522.011121538457</v>
      </c>
      <c r="P29" s="73">
        <f t="shared" si="8"/>
        <v>0.19066702901787433</v>
      </c>
      <c r="Q29" s="71">
        <f>1280.04673846154*($G$1)</f>
        <v>896.0327169230769</v>
      </c>
      <c r="R29" s="72">
        <f t="shared" si="9"/>
        <v>0.009750244698140379</v>
      </c>
      <c r="S29" s="53">
        <f t="shared" si="10"/>
        <v>16799.483686153846</v>
      </c>
      <c r="T29" s="73">
        <f t="shared" si="11"/>
        <v>0.18280479456698145</v>
      </c>
      <c r="U29" s="71">
        <f>1313.75802857143*($G$1)</f>
        <v>919.6306199999998</v>
      </c>
      <c r="V29" s="72">
        <f t="shared" si="12"/>
        <v>0.010007026984118839</v>
      </c>
      <c r="W29" s="53">
        <f t="shared" si="13"/>
        <v>16446.607366153843</v>
      </c>
      <c r="X29" s="74">
        <f t="shared" si="14"/>
        <v>0.17896494541505067</v>
      </c>
      <c r="Y29" s="80"/>
      <c r="Z29" s="80"/>
      <c r="AA29" s="80"/>
      <c r="AB29" s="80"/>
      <c r="AC29" s="80"/>
      <c r="AD29" s="80"/>
    </row>
    <row r="30" spans="1:30" s="64" customFormat="1" ht="12.75">
      <c r="A30" s="69">
        <v>2020</v>
      </c>
      <c r="B30" s="69">
        <v>26</v>
      </c>
      <c r="C30" s="75">
        <v>72900</v>
      </c>
      <c r="D30" s="71">
        <v>93093.16538652562</v>
      </c>
      <c r="E30" s="71">
        <f>1705.55024175824*($G$1)</f>
        <v>1193.8851692307694</v>
      </c>
      <c r="F30" s="72">
        <f t="shared" si="0"/>
        <v>0.012824627503788514</v>
      </c>
      <c r="G30" s="53">
        <f t="shared" si="1"/>
        <v>27488.744439230763</v>
      </c>
      <c r="H30" s="73">
        <f t="shared" si="2"/>
        <v>0.29528208999121114</v>
      </c>
      <c r="I30" s="71">
        <f>1115.64611208791*($G$1)</f>
        <v>780.9522784615386</v>
      </c>
      <c r="J30" s="72">
        <f t="shared" si="3"/>
        <v>0.008388932476610945</v>
      </c>
      <c r="K30" s="53">
        <f t="shared" si="4"/>
        <v>18625.32350307692</v>
      </c>
      <c r="L30" s="73">
        <f t="shared" si="5"/>
        <v>0.20007186806618957</v>
      </c>
      <c r="M30" s="71">
        <f>1141.56712087912*($G$1)</f>
        <v>799.0969846153847</v>
      </c>
      <c r="N30" s="72">
        <f t="shared" si="6"/>
        <v>0.008583841588128516</v>
      </c>
      <c r="O30" s="53">
        <f t="shared" si="7"/>
        <v>18321.108106153843</v>
      </c>
      <c r="P30" s="73">
        <f t="shared" si="8"/>
        <v>0.19680400843696796</v>
      </c>
      <c r="Q30" s="71">
        <f>1212.55237582418*($G$1)</f>
        <v>848.7866630769231</v>
      </c>
      <c r="R30" s="72">
        <f t="shared" si="9"/>
        <v>0.009117604493871653</v>
      </c>
      <c r="S30" s="53">
        <f t="shared" si="10"/>
        <v>17648.27034923077</v>
      </c>
      <c r="T30" s="73">
        <f t="shared" si="11"/>
        <v>0.18957643427371515</v>
      </c>
      <c r="U30" s="71">
        <f>1244.96024835165*($G$1)</f>
        <v>871.4721738461539</v>
      </c>
      <c r="V30" s="72">
        <f t="shared" si="12"/>
        <v>0.009361290597733735</v>
      </c>
      <c r="W30" s="53">
        <f t="shared" si="13"/>
        <v>17318.079539999995</v>
      </c>
      <c r="X30" s="74">
        <f t="shared" si="14"/>
        <v>0.18602954865800092</v>
      </c>
      <c r="Y30" s="80"/>
      <c r="Z30" s="80"/>
      <c r="AA30" s="80"/>
      <c r="AB30" s="80"/>
      <c r="AC30" s="80"/>
      <c r="AD30" s="80"/>
    </row>
    <row r="31" s="64" customFormat="1" ht="12.75"/>
    <row r="33" spans="5:26" ht="12.75">
      <c r="E33" s="6" t="s">
        <v>245</v>
      </c>
      <c r="F33" s="6"/>
      <c r="I33" s="6" t="s">
        <v>246</v>
      </c>
      <c r="J33" s="6"/>
      <c r="M33" s="6" t="s">
        <v>247</v>
      </c>
      <c r="N33" s="6"/>
      <c r="Q33" s="6" t="s">
        <v>248</v>
      </c>
      <c r="R33" s="6"/>
      <c r="U33" s="6" t="s">
        <v>257</v>
      </c>
      <c r="V33" s="6"/>
      <c r="Y33" s="6" t="s">
        <v>258</v>
      </c>
      <c r="Z33" s="6"/>
    </row>
    <row r="34" spans="1:26" ht="12.75">
      <c r="A34" t="s">
        <v>245</v>
      </c>
      <c r="E34" s="2">
        <v>1</v>
      </c>
      <c r="F34" s="2"/>
      <c r="I34" s="2">
        <v>0</v>
      </c>
      <c r="J34" s="2"/>
      <c r="M34" s="2">
        <v>0</v>
      </c>
      <c r="N34" s="2"/>
      <c r="Q34" s="2">
        <v>0</v>
      </c>
      <c r="R34" s="2"/>
      <c r="U34" s="2">
        <v>0</v>
      </c>
      <c r="V34" s="2"/>
      <c r="Y34" s="2">
        <f>SUM(E34:U34)</f>
        <v>1</v>
      </c>
      <c r="Z34" s="2"/>
    </row>
    <row r="35" spans="1:26" ht="12.75">
      <c r="A35" t="s">
        <v>253</v>
      </c>
      <c r="E35" s="2">
        <v>0.08</v>
      </c>
      <c r="F35" s="2"/>
      <c r="I35" s="2">
        <v>0.17</v>
      </c>
      <c r="J35" s="2"/>
      <c r="M35" s="2">
        <v>0.08</v>
      </c>
      <c r="N35" s="2"/>
      <c r="Q35" s="2">
        <v>0.08</v>
      </c>
      <c r="R35" s="2"/>
      <c r="U35" s="2">
        <v>0.58</v>
      </c>
      <c r="V35" s="2"/>
      <c r="Y35" s="2">
        <f>SUM(E35:U35)</f>
        <v>0.99</v>
      </c>
      <c r="Z35" s="2"/>
    </row>
    <row r="36" spans="1:26" ht="12.75">
      <c r="A36" t="s">
        <v>254</v>
      </c>
      <c r="E36" s="2">
        <v>-0.1</v>
      </c>
      <c r="F36" s="2"/>
      <c r="I36" s="2">
        <v>0.3</v>
      </c>
      <c r="J36" s="2"/>
      <c r="M36" s="2">
        <v>0.1</v>
      </c>
      <c r="N36" s="2"/>
      <c r="Q36" s="2">
        <v>0</v>
      </c>
      <c r="R36" s="2"/>
      <c r="U36" s="2">
        <v>0.7</v>
      </c>
      <c r="V36" s="2"/>
      <c r="Y36" s="2">
        <f>SUM(E36:U36)</f>
        <v>1</v>
      </c>
      <c r="Z36" s="2"/>
    </row>
    <row r="37" spans="1:26" ht="12.75">
      <c r="A37" t="s">
        <v>255</v>
      </c>
      <c r="E37" s="2">
        <v>0</v>
      </c>
      <c r="F37" s="2"/>
      <c r="I37" s="2">
        <v>0.15</v>
      </c>
      <c r="J37" s="2"/>
      <c r="M37" s="2">
        <v>0.08</v>
      </c>
      <c r="N37" s="2"/>
      <c r="Q37" s="2">
        <v>0.77</v>
      </c>
      <c r="R37" s="2"/>
      <c r="U37" s="2">
        <v>0</v>
      </c>
      <c r="V37" s="2"/>
      <c r="Y37" s="2">
        <f>SUM(E37:U37)</f>
        <v>1</v>
      </c>
      <c r="Z37" s="2"/>
    </row>
    <row r="38" spans="1:26" ht="12.75">
      <c r="A38" t="s">
        <v>256</v>
      </c>
      <c r="E38" s="2">
        <v>0</v>
      </c>
      <c r="F38" s="2"/>
      <c r="I38" s="2">
        <v>0.1</v>
      </c>
      <c r="J38" s="2"/>
      <c r="M38" s="2">
        <v>0.5</v>
      </c>
      <c r="N38" s="2"/>
      <c r="Q38" s="2">
        <v>0</v>
      </c>
      <c r="R38" s="2"/>
      <c r="U38" s="2">
        <v>0.4</v>
      </c>
      <c r="V38" s="2"/>
      <c r="Y38" s="2">
        <f>SUM(E38:U38)</f>
        <v>1</v>
      </c>
      <c r="Z38" s="2"/>
    </row>
    <row r="39" spans="2:26" ht="12.75">
      <c r="B39" s="6"/>
      <c r="E39" s="3"/>
      <c r="F39" s="3"/>
      <c r="I39" s="3"/>
      <c r="J39" s="3"/>
      <c r="M39" s="3"/>
      <c r="N39" s="3"/>
      <c r="Q39" s="3"/>
      <c r="R39" s="3"/>
      <c r="U39" s="3"/>
      <c r="V39" s="3"/>
      <c r="Y39" s="2"/>
      <c r="Z39" s="2"/>
    </row>
    <row r="42" spans="1:85" ht="12.75">
      <c r="A42" s="62"/>
      <c r="B42" s="63"/>
      <c r="C42" s="63"/>
      <c r="D42" s="63"/>
      <c r="E42" s="111" t="s">
        <v>245</v>
      </c>
      <c r="F42" s="112"/>
      <c r="G42" s="112"/>
      <c r="H42" s="113"/>
      <c r="I42" s="111" t="s">
        <v>253</v>
      </c>
      <c r="J42" s="112"/>
      <c r="K42" s="112"/>
      <c r="L42" s="113"/>
      <c r="M42" s="114" t="s">
        <v>254</v>
      </c>
      <c r="N42" s="115"/>
      <c r="O42" s="115"/>
      <c r="P42" s="116"/>
      <c r="Q42" s="111" t="s">
        <v>255</v>
      </c>
      <c r="R42" s="112"/>
      <c r="S42" s="112"/>
      <c r="T42" s="113"/>
      <c r="U42" s="111" t="s">
        <v>256</v>
      </c>
      <c r="V42" s="112"/>
      <c r="W42" s="112"/>
      <c r="X42" s="113"/>
      <c r="Y42" s="111" t="s">
        <v>104</v>
      </c>
      <c r="Z42" s="112"/>
      <c r="AA42" s="112"/>
      <c r="AB42" s="113"/>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row>
    <row r="43" spans="1:85" ht="38.25">
      <c r="A43" s="65" t="s">
        <v>243</v>
      </c>
      <c r="B43" s="65" t="s">
        <v>242</v>
      </c>
      <c r="C43" s="65" t="s">
        <v>244</v>
      </c>
      <c r="D43" s="66" t="s">
        <v>116</v>
      </c>
      <c r="E43" s="66" t="s">
        <v>250</v>
      </c>
      <c r="F43" s="67" t="s">
        <v>10</v>
      </c>
      <c r="G43" s="67" t="s">
        <v>251</v>
      </c>
      <c r="H43" s="67" t="s">
        <v>252</v>
      </c>
      <c r="I43" s="66" t="s">
        <v>250</v>
      </c>
      <c r="J43" s="67" t="s">
        <v>10</v>
      </c>
      <c r="K43" s="67" t="s">
        <v>251</v>
      </c>
      <c r="L43" s="67" t="s">
        <v>252</v>
      </c>
      <c r="M43" s="66" t="s">
        <v>250</v>
      </c>
      <c r="N43" s="67" t="s">
        <v>10</v>
      </c>
      <c r="O43" s="67" t="s">
        <v>251</v>
      </c>
      <c r="P43" s="67" t="s">
        <v>252</v>
      </c>
      <c r="Q43" s="66" t="s">
        <v>250</v>
      </c>
      <c r="R43" s="67" t="s">
        <v>10</v>
      </c>
      <c r="S43" s="67" t="s">
        <v>251</v>
      </c>
      <c r="T43" s="67" t="s">
        <v>252</v>
      </c>
      <c r="U43" s="66" t="s">
        <v>250</v>
      </c>
      <c r="V43" s="67" t="s">
        <v>10</v>
      </c>
      <c r="W43" s="67" t="s">
        <v>251</v>
      </c>
      <c r="X43" s="68" t="s">
        <v>252</v>
      </c>
      <c r="Y43" s="66" t="s">
        <v>250</v>
      </c>
      <c r="Z43" s="67" t="s">
        <v>10</v>
      </c>
      <c r="AA43" s="67" t="s">
        <v>251</v>
      </c>
      <c r="AB43" s="68" t="s">
        <v>252</v>
      </c>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row>
    <row r="44" spans="1:85" ht="12.75">
      <c r="A44" s="69">
        <v>1995</v>
      </c>
      <c r="B44" s="69">
        <v>1</v>
      </c>
      <c r="C44" s="70"/>
      <c r="D44" s="53"/>
      <c r="E44" s="71">
        <f>$E5*$E$34+$I5*$I$34+$M5*$M$34+$Q5*$Q$34+$U5*$U$34</f>
        <v>0</v>
      </c>
      <c r="F44" s="53"/>
      <c r="G44" s="53">
        <f>E44</f>
        <v>0</v>
      </c>
      <c r="H44" s="53"/>
      <c r="I44" s="71">
        <f aca="true" t="shared" si="15" ref="I44:I69">$E5*$E$35+$I5*$I$35+$M5*$M$35+$Q5*$Q$35+$U5*$U$35</f>
        <v>0</v>
      </c>
      <c r="J44" s="53"/>
      <c r="K44" s="53">
        <f>I44</f>
        <v>0</v>
      </c>
      <c r="L44" s="53"/>
      <c r="M44" s="71">
        <f aca="true" t="shared" si="16" ref="M44:M69">$E5*$E$36+$I5*$I$36+$M5*$M$36+$Q5*$Q$36+$U5*$U$36</f>
        <v>0</v>
      </c>
      <c r="N44" s="53"/>
      <c r="O44" s="53">
        <f>M44</f>
        <v>0</v>
      </c>
      <c r="P44" s="53"/>
      <c r="Q44" s="71">
        <f aca="true" t="shared" si="17" ref="Q44:Q69">$E5*$E$37+$I5*$I$37+$M5*$M$37+$Q5*$Q$37+$U5*$U$37</f>
        <v>0</v>
      </c>
      <c r="R44" s="53"/>
      <c r="S44" s="53">
        <f>Q44</f>
        <v>0</v>
      </c>
      <c r="T44" s="53"/>
      <c r="U44" s="71">
        <f aca="true" t="shared" si="18" ref="U44:U69">$E5*$E$38+$I5*$I$38+$M5*$M$38+$Q5*$Q$38+$U5*$U$38</f>
        <v>0</v>
      </c>
      <c r="V44" s="53"/>
      <c r="W44" s="53">
        <f>U44</f>
        <v>0</v>
      </c>
      <c r="X44" s="70"/>
      <c r="Y44" s="71">
        <f aca="true" t="shared" si="19" ref="Y44:Y69">$E5*$E$38+$I5*$I$38+$M5*$M$38+$Q5*$Q$38+$U5*$U$38</f>
        <v>0</v>
      </c>
      <c r="Z44" s="53"/>
      <c r="AA44" s="53">
        <f>Y44</f>
        <v>0</v>
      </c>
      <c r="AB44" s="70"/>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row>
    <row r="45" spans="1:85" ht="12.75">
      <c r="A45" s="69">
        <v>1996</v>
      </c>
      <c r="B45" s="69">
        <v>2</v>
      </c>
      <c r="C45" s="70">
        <v>59500</v>
      </c>
      <c r="D45" s="53">
        <v>68279.62212140251</v>
      </c>
      <c r="E45" s="71">
        <f aca="true" t="shared" si="20" ref="E45:E69">$E6*$E$34+$I6*$I$34+$M6*$M$34+$Q6*$Q$34+$U6*$U$34</f>
        <v>25.2</v>
      </c>
      <c r="F45" s="72">
        <f aca="true" t="shared" si="21" ref="F45:F69">E45/$D45</f>
        <v>0.00036907058382944626</v>
      </c>
      <c r="G45" s="53">
        <f>G44+E45</f>
        <v>25.2</v>
      </c>
      <c r="H45" s="73">
        <f aca="true" t="shared" si="22" ref="H45:H69">G45/$D45</f>
        <v>0.00036907058382944626</v>
      </c>
      <c r="I45" s="71">
        <f t="shared" si="15"/>
        <v>38.556</v>
      </c>
      <c r="J45" s="72">
        <f aca="true" t="shared" si="23" ref="J45:J69">I45/$D45</f>
        <v>0.0005646779932590528</v>
      </c>
      <c r="K45" s="53">
        <f>K44+I45</f>
        <v>38.556</v>
      </c>
      <c r="L45" s="73">
        <f aca="true" t="shared" si="24" ref="L45:L69">K45/$D45</f>
        <v>0.0005646779932590528</v>
      </c>
      <c r="M45" s="71">
        <f t="shared" si="16"/>
        <v>44.099999999999994</v>
      </c>
      <c r="N45" s="72">
        <f aca="true" t="shared" si="25" ref="N45:N69">M45/$D45</f>
        <v>0.0006458735217015309</v>
      </c>
      <c r="O45" s="53">
        <f>O44+M45</f>
        <v>44.099999999999994</v>
      </c>
      <c r="P45" s="73">
        <f aca="true" t="shared" si="26" ref="P45:P69">O45/$D45</f>
        <v>0.0006458735217015309</v>
      </c>
      <c r="Q45" s="71">
        <f t="shared" si="17"/>
        <v>55.187999999999995</v>
      </c>
      <c r="R45" s="72">
        <f aca="true" t="shared" si="27" ref="R45:R69">Q45/$D45</f>
        <v>0.0008082645785864873</v>
      </c>
      <c r="S45" s="53">
        <f>S44+Q45</f>
        <v>55.187999999999995</v>
      </c>
      <c r="T45" s="73">
        <f aca="true" t="shared" si="28" ref="T45:T69">S45/$D45</f>
        <v>0.0008082645785864873</v>
      </c>
      <c r="U45" s="71">
        <f t="shared" si="18"/>
        <v>49.13999999999999</v>
      </c>
      <c r="V45" s="72">
        <f aca="true" t="shared" si="29" ref="V45:V69">U45/$D45</f>
        <v>0.0007196876384674201</v>
      </c>
      <c r="W45" s="53">
        <f>W44+U45</f>
        <v>49.13999999999999</v>
      </c>
      <c r="X45" s="74">
        <f aca="true" t="shared" si="30" ref="X45:X69">W45/$D45</f>
        <v>0.0007196876384674201</v>
      </c>
      <c r="Y45" s="71">
        <f t="shared" si="19"/>
        <v>49.13999999999999</v>
      </c>
      <c r="Z45" s="72">
        <f aca="true" t="shared" si="31" ref="Z45:Z69">Y45/$D45</f>
        <v>0.0007196876384674201</v>
      </c>
      <c r="AA45" s="53">
        <f>AA44+Y45</f>
        <v>49.13999999999999</v>
      </c>
      <c r="AB45" s="74">
        <f aca="true" t="shared" si="32" ref="AB45:AB69">AA45/$D45</f>
        <v>0.0007196876384674201</v>
      </c>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row>
    <row r="46" spans="1:85" ht="12.75">
      <c r="A46" s="69">
        <v>1997</v>
      </c>
      <c r="B46" s="69">
        <v>3</v>
      </c>
      <c r="C46" s="70">
        <v>60300</v>
      </c>
      <c r="D46" s="53">
        <v>69167.25720898074</v>
      </c>
      <c r="E46" s="71">
        <f t="shared" si="20"/>
        <v>128.36249999999998</v>
      </c>
      <c r="F46" s="72">
        <f t="shared" si="21"/>
        <v>0.001855827528510604</v>
      </c>
      <c r="G46" s="53">
        <f aca="true" t="shared" si="33" ref="G46:G69">G45+E46</f>
        <v>153.56249999999997</v>
      </c>
      <c r="H46" s="73">
        <f t="shared" si="22"/>
        <v>0.002220161767236612</v>
      </c>
      <c r="I46" s="71">
        <f t="shared" si="15"/>
        <v>61.591162499999996</v>
      </c>
      <c r="J46" s="72">
        <f t="shared" si="23"/>
        <v>0.0008904670357812445</v>
      </c>
      <c r="K46" s="53">
        <f aca="true" t="shared" si="34" ref="K46:K69">K45+I46</f>
        <v>100.1471625</v>
      </c>
      <c r="L46" s="73">
        <f t="shared" si="24"/>
        <v>0.0014478984210320371</v>
      </c>
      <c r="M46" s="71">
        <f t="shared" si="16"/>
        <v>55.4085</v>
      </c>
      <c r="N46" s="72">
        <f t="shared" si="25"/>
        <v>0.0008010799073988105</v>
      </c>
      <c r="O46" s="53">
        <f aca="true" t="shared" si="35" ref="O46:O69">O45+M46</f>
        <v>99.5085</v>
      </c>
      <c r="P46" s="73">
        <f t="shared" si="26"/>
        <v>0.0014386648251693249</v>
      </c>
      <c r="Q46" s="71">
        <f t="shared" si="17"/>
        <v>63.719775</v>
      </c>
      <c r="R46" s="72">
        <f t="shared" si="27"/>
        <v>0.0009212418935086322</v>
      </c>
      <c r="S46" s="53">
        <f aca="true" t="shared" si="36" ref="S46:S69">S45+Q46</f>
        <v>118.90777499999999</v>
      </c>
      <c r="T46" s="73">
        <f t="shared" si="28"/>
        <v>0.00171913387631859</v>
      </c>
      <c r="U46" s="71">
        <f t="shared" si="18"/>
        <v>67.260375</v>
      </c>
      <c r="V46" s="72">
        <f t="shared" si="29"/>
        <v>0.0009724308540496363</v>
      </c>
      <c r="W46" s="53">
        <f aca="true" t="shared" si="37" ref="W46:W69">W45+U46</f>
        <v>116.400375</v>
      </c>
      <c r="X46" s="74">
        <f t="shared" si="30"/>
        <v>0.0016828826195653523</v>
      </c>
      <c r="Y46" s="71">
        <f t="shared" si="19"/>
        <v>67.260375</v>
      </c>
      <c r="Z46" s="72">
        <f t="shared" si="31"/>
        <v>0.0009724308540496363</v>
      </c>
      <c r="AA46" s="53">
        <f aca="true" t="shared" si="38" ref="AA46:AA69">AA45+Y46</f>
        <v>116.400375</v>
      </c>
      <c r="AB46" s="74">
        <f t="shared" si="32"/>
        <v>0.0016828826195653523</v>
      </c>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row>
    <row r="47" spans="1:85" ht="12.75">
      <c r="A47" s="69">
        <v>1998</v>
      </c>
      <c r="B47" s="69">
        <v>4</v>
      </c>
      <c r="C47" s="70">
        <f>C46+(C$10-C$7)/(A$10-A$7)</f>
        <v>61166.666666666664</v>
      </c>
      <c r="D47" s="53">
        <v>70066.43155269748</v>
      </c>
      <c r="E47" s="71">
        <f t="shared" si="20"/>
        <v>300.825</v>
      </c>
      <c r="F47" s="72">
        <f t="shared" si="21"/>
        <v>0.00429342544401947</v>
      </c>
      <c r="G47" s="53">
        <f t="shared" si="33"/>
        <v>454.38749999999993</v>
      </c>
      <c r="H47" s="73">
        <f t="shared" si="22"/>
        <v>0.0064850955005215545</v>
      </c>
      <c r="I47" s="71">
        <f t="shared" si="15"/>
        <v>164.1598875</v>
      </c>
      <c r="J47" s="72">
        <f t="shared" si="23"/>
        <v>0.0023429177690679755</v>
      </c>
      <c r="K47" s="53">
        <f t="shared" si="34"/>
        <v>264.30705</v>
      </c>
      <c r="L47" s="73">
        <f t="shared" si="24"/>
        <v>0.0037722350652496513</v>
      </c>
      <c r="M47" s="71">
        <f t="shared" si="16"/>
        <v>152.2395</v>
      </c>
      <c r="N47" s="72">
        <f t="shared" si="25"/>
        <v>0.0021727879760152983</v>
      </c>
      <c r="O47" s="53">
        <f t="shared" si="35"/>
        <v>251.748</v>
      </c>
      <c r="P47" s="73">
        <f t="shared" si="26"/>
        <v>0.0035929901726286496</v>
      </c>
      <c r="Q47" s="71">
        <f t="shared" si="17"/>
        <v>163.9677375</v>
      </c>
      <c r="R47" s="72">
        <f t="shared" si="27"/>
        <v>0.002340175371663942</v>
      </c>
      <c r="S47" s="53">
        <f t="shared" si="36"/>
        <v>282.8755125</v>
      </c>
      <c r="T47" s="73">
        <f t="shared" si="28"/>
        <v>0.004037247312748434</v>
      </c>
      <c r="U47" s="71">
        <f t="shared" si="18"/>
        <v>178.93574999999998</v>
      </c>
      <c r="V47" s="72">
        <f t="shared" si="29"/>
        <v>0.0025538013858379684</v>
      </c>
      <c r="W47" s="53">
        <f t="shared" si="37"/>
        <v>295.336125</v>
      </c>
      <c r="X47" s="74">
        <f t="shared" si="30"/>
        <v>0.004215087288666549</v>
      </c>
      <c r="Y47" s="71">
        <f t="shared" si="19"/>
        <v>178.93574999999998</v>
      </c>
      <c r="Z47" s="72">
        <f t="shared" si="31"/>
        <v>0.0025538013858379684</v>
      </c>
      <c r="AA47" s="53">
        <f t="shared" si="38"/>
        <v>295.336125</v>
      </c>
      <c r="AB47" s="74">
        <f t="shared" si="32"/>
        <v>0.004215087288666549</v>
      </c>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row>
    <row r="48" spans="1:85" ht="12.75">
      <c r="A48" s="69">
        <v>1999</v>
      </c>
      <c r="B48" s="69">
        <v>5</v>
      </c>
      <c r="C48" s="70">
        <f>C47+(C$10-C$7)/(A$10-A$7)</f>
        <v>62033.33333333333</v>
      </c>
      <c r="D48" s="53">
        <v>70977.29516288254</v>
      </c>
      <c r="E48" s="71">
        <f t="shared" si="20"/>
        <v>499.275</v>
      </c>
      <c r="F48" s="72">
        <f t="shared" si="21"/>
        <v>0.007034291724617523</v>
      </c>
      <c r="G48" s="53">
        <f t="shared" si="33"/>
        <v>953.6624999999999</v>
      </c>
      <c r="H48" s="73">
        <f t="shared" si="22"/>
        <v>0.013436162899860915</v>
      </c>
      <c r="I48" s="71">
        <f t="shared" si="15"/>
        <v>270.6858</v>
      </c>
      <c r="J48" s="72">
        <f t="shared" si="23"/>
        <v>0.0038136956244784414</v>
      </c>
      <c r="K48" s="53">
        <f t="shared" si="34"/>
        <v>534.99285</v>
      </c>
      <c r="L48" s="73">
        <f t="shared" si="24"/>
        <v>0.007537520960361612</v>
      </c>
      <c r="M48" s="71">
        <f t="shared" si="16"/>
        <v>243.06974999999997</v>
      </c>
      <c r="N48" s="72">
        <f t="shared" si="25"/>
        <v>0.003424612750347704</v>
      </c>
      <c r="O48" s="53">
        <f t="shared" si="35"/>
        <v>494.81774999999993</v>
      </c>
      <c r="P48" s="73">
        <f t="shared" si="26"/>
        <v>0.006971493473574407</v>
      </c>
      <c r="Q48" s="71">
        <f t="shared" si="17"/>
        <v>274.4784</v>
      </c>
      <c r="R48" s="72">
        <f t="shared" si="27"/>
        <v>0.003867129613351877</v>
      </c>
      <c r="S48" s="53">
        <f t="shared" si="36"/>
        <v>557.3539125</v>
      </c>
      <c r="T48" s="73">
        <f t="shared" si="28"/>
        <v>0.007852566249826146</v>
      </c>
      <c r="U48" s="71">
        <f t="shared" si="18"/>
        <v>293.020875</v>
      </c>
      <c r="V48" s="72">
        <f t="shared" si="29"/>
        <v>0.00412837477573018</v>
      </c>
      <c r="W48" s="53">
        <f t="shared" si="37"/>
        <v>588.357</v>
      </c>
      <c r="X48" s="74">
        <f t="shared" si="30"/>
        <v>0.008289369137691236</v>
      </c>
      <c r="Y48" s="71">
        <f t="shared" si="19"/>
        <v>293.020875</v>
      </c>
      <c r="Z48" s="72">
        <f t="shared" si="31"/>
        <v>0.00412837477573018</v>
      </c>
      <c r="AA48" s="53">
        <f t="shared" si="38"/>
        <v>588.357</v>
      </c>
      <c r="AB48" s="74">
        <f t="shared" si="32"/>
        <v>0.008289369137691236</v>
      </c>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row>
    <row r="49" spans="1:85" ht="12.75">
      <c r="A49" s="69">
        <v>2000</v>
      </c>
      <c r="B49" s="69">
        <v>6</v>
      </c>
      <c r="C49" s="70">
        <v>62900</v>
      </c>
      <c r="D49" s="53">
        <v>71900</v>
      </c>
      <c r="E49" s="71">
        <f t="shared" si="20"/>
        <v>693</v>
      </c>
      <c r="F49" s="72">
        <f t="shared" si="21"/>
        <v>0.009638386648122391</v>
      </c>
      <c r="G49" s="53">
        <f t="shared" si="33"/>
        <v>1646.6625</v>
      </c>
      <c r="H49" s="73">
        <f t="shared" si="22"/>
        <v>0.02290212100139082</v>
      </c>
      <c r="I49" s="71">
        <f t="shared" si="15"/>
        <v>372.84029999999996</v>
      </c>
      <c r="J49" s="72">
        <f t="shared" si="23"/>
        <v>0.005185539638386648</v>
      </c>
      <c r="K49" s="53">
        <f t="shared" si="34"/>
        <v>907.8331499999999</v>
      </c>
      <c r="L49" s="73">
        <f t="shared" si="24"/>
        <v>0.012626330319888733</v>
      </c>
      <c r="M49" s="71">
        <f t="shared" si="16"/>
        <v>327.26924999999994</v>
      </c>
      <c r="N49" s="72">
        <f t="shared" si="25"/>
        <v>0.004551728094575799</v>
      </c>
      <c r="O49" s="53">
        <f t="shared" si="35"/>
        <v>822.0869999999999</v>
      </c>
      <c r="P49" s="73">
        <f t="shared" si="26"/>
        <v>0.011433755215577188</v>
      </c>
      <c r="Q49" s="71">
        <f t="shared" si="17"/>
        <v>372.20399999999995</v>
      </c>
      <c r="R49" s="72">
        <f t="shared" si="27"/>
        <v>0.005176689847009735</v>
      </c>
      <c r="S49" s="53">
        <f t="shared" si="36"/>
        <v>929.5579124999999</v>
      </c>
      <c r="T49" s="73">
        <f t="shared" si="28"/>
        <v>0.01292848278859527</v>
      </c>
      <c r="U49" s="71">
        <f t="shared" si="18"/>
        <v>391.30875</v>
      </c>
      <c r="V49" s="72">
        <f t="shared" si="29"/>
        <v>0.00544240264255911</v>
      </c>
      <c r="W49" s="53">
        <f t="shared" si="37"/>
        <v>979.6657499999999</v>
      </c>
      <c r="X49" s="74">
        <f t="shared" si="30"/>
        <v>0.013625392906815019</v>
      </c>
      <c r="Y49" s="71">
        <f t="shared" si="19"/>
        <v>391.30875</v>
      </c>
      <c r="Z49" s="72">
        <f t="shared" si="31"/>
        <v>0.00544240264255911</v>
      </c>
      <c r="AA49" s="53">
        <f t="shared" si="38"/>
        <v>979.6657499999999</v>
      </c>
      <c r="AB49" s="74">
        <f t="shared" si="32"/>
        <v>0.013625392906815019</v>
      </c>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row>
    <row r="50" spans="1:85" ht="12.75">
      <c r="A50" s="69">
        <v>2001</v>
      </c>
      <c r="B50" s="69">
        <v>7</v>
      </c>
      <c r="C50" s="70">
        <f>C49+(C$15-C$10)/(A$15-A$10)</f>
        <v>63580</v>
      </c>
      <c r="D50" s="53">
        <v>72834.7</v>
      </c>
      <c r="E50" s="71">
        <f t="shared" si="20"/>
        <v>852.8023107692308</v>
      </c>
      <c r="F50" s="72">
        <f t="shared" si="21"/>
        <v>0.01170873650566599</v>
      </c>
      <c r="G50" s="53">
        <f t="shared" si="33"/>
        <v>2499.4648107692306</v>
      </c>
      <c r="H50" s="73">
        <f t="shared" si="22"/>
        <v>0.03431695072224133</v>
      </c>
      <c r="I50" s="71">
        <f t="shared" si="15"/>
        <v>477.04178436923075</v>
      </c>
      <c r="J50" s="72">
        <f t="shared" si="23"/>
        <v>0.006549649883492769</v>
      </c>
      <c r="K50" s="53">
        <f t="shared" si="34"/>
        <v>1384.8749343692307</v>
      </c>
      <c r="L50" s="73">
        <f t="shared" si="24"/>
        <v>0.01901394437499201</v>
      </c>
      <c r="M50" s="71">
        <f t="shared" si="16"/>
        <v>421.8088265999999</v>
      </c>
      <c r="N50" s="72">
        <f t="shared" si="25"/>
        <v>0.005791316866823093</v>
      </c>
      <c r="O50" s="53">
        <f t="shared" si="35"/>
        <v>1243.8958265999997</v>
      </c>
      <c r="P50" s="73">
        <f t="shared" si="26"/>
        <v>0.017078340771637692</v>
      </c>
      <c r="Q50" s="71">
        <f t="shared" si="17"/>
        <v>473.83959381230767</v>
      </c>
      <c r="R50" s="72">
        <f t="shared" si="27"/>
        <v>0.006505684705398768</v>
      </c>
      <c r="S50" s="53">
        <f t="shared" si="36"/>
        <v>1403.3975063123075</v>
      </c>
      <c r="T50" s="73">
        <f t="shared" si="28"/>
        <v>0.01926825409196863</v>
      </c>
      <c r="U50" s="71">
        <f t="shared" si="18"/>
        <v>486.7945807846153</v>
      </c>
      <c r="V50" s="72">
        <f t="shared" si="29"/>
        <v>0.006683553042500557</v>
      </c>
      <c r="W50" s="53">
        <f t="shared" si="37"/>
        <v>1466.460330784615</v>
      </c>
      <c r="X50" s="74">
        <f t="shared" si="30"/>
        <v>0.020134088982100774</v>
      </c>
      <c r="Y50" s="71">
        <f t="shared" si="19"/>
        <v>486.7945807846153</v>
      </c>
      <c r="Z50" s="72">
        <f t="shared" si="31"/>
        <v>0.006683553042500557</v>
      </c>
      <c r="AA50" s="53">
        <f t="shared" si="38"/>
        <v>1466.460330784615</v>
      </c>
      <c r="AB50" s="74">
        <f t="shared" si="32"/>
        <v>0.020134088982100774</v>
      </c>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row>
    <row r="51" spans="1:85" ht="12.75">
      <c r="A51" s="69">
        <v>2002</v>
      </c>
      <c r="B51" s="69">
        <v>8</v>
      </c>
      <c r="C51" s="70">
        <f>C50+(C$15-C$10)/(A$15-A$10)</f>
        <v>64260</v>
      </c>
      <c r="D51" s="53">
        <v>73781.5511</v>
      </c>
      <c r="E51" s="71">
        <f t="shared" si="20"/>
        <v>920.949023076923</v>
      </c>
      <c r="F51" s="72">
        <f t="shared" si="21"/>
        <v>0.012482104392583352</v>
      </c>
      <c r="G51" s="53">
        <f t="shared" si="33"/>
        <v>3420.4138338461535</v>
      </c>
      <c r="H51" s="73">
        <f t="shared" si="22"/>
        <v>0.04635865989331517</v>
      </c>
      <c r="I51" s="71">
        <f t="shared" si="15"/>
        <v>567.4581992907691</v>
      </c>
      <c r="J51" s="72">
        <f t="shared" si="23"/>
        <v>0.007691058141643882</v>
      </c>
      <c r="K51" s="53">
        <f t="shared" si="34"/>
        <v>1952.33313366</v>
      </c>
      <c r="L51" s="73">
        <f t="shared" si="24"/>
        <v>0.0264609933588127</v>
      </c>
      <c r="M51" s="71">
        <f t="shared" si="16"/>
        <v>513.3363344307692</v>
      </c>
      <c r="N51" s="72">
        <f t="shared" si="25"/>
        <v>0.0069575161646441615</v>
      </c>
      <c r="O51" s="53">
        <f t="shared" si="35"/>
        <v>1757.232161030769</v>
      </c>
      <c r="P51" s="73">
        <f t="shared" si="26"/>
        <v>0.023816687706241093</v>
      </c>
      <c r="Q51" s="71">
        <f t="shared" si="17"/>
        <v>561.6118651984615</v>
      </c>
      <c r="R51" s="72">
        <f t="shared" si="27"/>
        <v>0.007611819714081093</v>
      </c>
      <c r="S51" s="53">
        <f t="shared" si="36"/>
        <v>1965.0093715107691</v>
      </c>
      <c r="T51" s="73">
        <f t="shared" si="28"/>
        <v>0.026632801048699684</v>
      </c>
      <c r="U51" s="71">
        <f t="shared" si="18"/>
        <v>570.2517595384616</v>
      </c>
      <c r="V51" s="72">
        <f t="shared" si="29"/>
        <v>0.007728920726613208</v>
      </c>
      <c r="W51" s="53">
        <f t="shared" si="37"/>
        <v>2036.7120903230766</v>
      </c>
      <c r="X51" s="74">
        <f t="shared" si="30"/>
        <v>0.02760462554606116</v>
      </c>
      <c r="Y51" s="71">
        <f t="shared" si="19"/>
        <v>570.2517595384616</v>
      </c>
      <c r="Z51" s="72">
        <f t="shared" si="31"/>
        <v>0.007728920726613208</v>
      </c>
      <c r="AA51" s="53">
        <f t="shared" si="38"/>
        <v>2036.7120903230766</v>
      </c>
      <c r="AB51" s="74">
        <f t="shared" si="32"/>
        <v>0.02760462554606116</v>
      </c>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row>
    <row r="52" spans="1:85" ht="12.75">
      <c r="A52" s="69">
        <v>2003</v>
      </c>
      <c r="B52" s="69">
        <v>9</v>
      </c>
      <c r="C52" s="70">
        <f>C51+(C$15-C$10)/(A$15-A$10)</f>
        <v>64940</v>
      </c>
      <c r="D52" s="53">
        <v>74740.71126429999</v>
      </c>
      <c r="E52" s="71">
        <f t="shared" si="20"/>
        <v>943.2099276923075</v>
      </c>
      <c r="F52" s="72">
        <f t="shared" si="21"/>
        <v>0.01261976119489825</v>
      </c>
      <c r="G52" s="53">
        <f t="shared" si="33"/>
        <v>4363.623761538461</v>
      </c>
      <c r="H52" s="73">
        <f t="shared" si="22"/>
        <v>0.05838349258020444</v>
      </c>
      <c r="I52" s="71">
        <f t="shared" si="15"/>
        <v>624.0615916984614</v>
      </c>
      <c r="J52" s="72">
        <f t="shared" si="23"/>
        <v>0.008349687621939253</v>
      </c>
      <c r="K52" s="53">
        <f t="shared" si="34"/>
        <v>2576.394725358461</v>
      </c>
      <c r="L52" s="73">
        <f t="shared" si="24"/>
        <v>0.03447110258621636</v>
      </c>
      <c r="M52" s="71">
        <f t="shared" si="16"/>
        <v>571.3833975230768</v>
      </c>
      <c r="N52" s="72">
        <f t="shared" si="25"/>
        <v>0.00764487503340096</v>
      </c>
      <c r="O52" s="53">
        <f t="shared" si="35"/>
        <v>2328.615558553846</v>
      </c>
      <c r="P52" s="73">
        <f t="shared" si="26"/>
        <v>0.03115591916591932</v>
      </c>
      <c r="Q52" s="71">
        <f t="shared" si="17"/>
        <v>609.3568459246153</v>
      </c>
      <c r="R52" s="72">
        <f t="shared" si="27"/>
        <v>0.008152944166798097</v>
      </c>
      <c r="S52" s="53">
        <f t="shared" si="36"/>
        <v>2574.3662174353844</v>
      </c>
      <c r="T52" s="73">
        <f t="shared" si="28"/>
        <v>0.034443961983875775</v>
      </c>
      <c r="U52" s="71">
        <f t="shared" si="18"/>
        <v>613.8636578307692</v>
      </c>
      <c r="V52" s="72">
        <f t="shared" si="29"/>
        <v>0.008213243457906215</v>
      </c>
      <c r="W52" s="53">
        <f t="shared" si="37"/>
        <v>2650.575748153846</v>
      </c>
      <c r="X52" s="74">
        <f t="shared" si="30"/>
        <v>0.03546361418452138</v>
      </c>
      <c r="Y52" s="71">
        <f t="shared" si="19"/>
        <v>613.8636578307692</v>
      </c>
      <c r="Z52" s="72">
        <f t="shared" si="31"/>
        <v>0.008213243457906215</v>
      </c>
      <c r="AA52" s="53">
        <f t="shared" si="38"/>
        <v>2650.575748153846</v>
      </c>
      <c r="AB52" s="74">
        <f t="shared" si="32"/>
        <v>0.03546361418452138</v>
      </c>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row>
    <row r="53" spans="1:85" ht="12.75">
      <c r="A53" s="69">
        <v>2004</v>
      </c>
      <c r="B53" s="69">
        <v>10</v>
      </c>
      <c r="C53" s="70">
        <f>C52+(C$15-C$10)/(A$15-A$10)</f>
        <v>65620</v>
      </c>
      <c r="D53" s="53">
        <v>75712.34051073588</v>
      </c>
      <c r="E53" s="71">
        <f t="shared" si="20"/>
        <v>962.4116492307691</v>
      </c>
      <c r="F53" s="72">
        <f t="shared" si="21"/>
        <v>0.01271142382785407</v>
      </c>
      <c r="G53" s="53">
        <f t="shared" si="33"/>
        <v>5326.03541076923</v>
      </c>
      <c r="H53" s="73">
        <f t="shared" si="22"/>
        <v>0.07034567119232045</v>
      </c>
      <c r="I53" s="71">
        <f t="shared" si="15"/>
        <v>651.9569456076922</v>
      </c>
      <c r="J53" s="72">
        <f t="shared" si="23"/>
        <v>0.008610973339481505</v>
      </c>
      <c r="K53" s="53">
        <f t="shared" si="34"/>
        <v>3228.3516709661535</v>
      </c>
      <c r="L53" s="73">
        <f t="shared" si="24"/>
        <v>0.04263970244729627</v>
      </c>
      <c r="M53" s="71">
        <f t="shared" si="16"/>
        <v>600.5506519384614</v>
      </c>
      <c r="N53" s="72">
        <f t="shared" si="25"/>
        <v>0.00793200484739082</v>
      </c>
      <c r="O53" s="53">
        <f t="shared" si="35"/>
        <v>2929.166210492307</v>
      </c>
      <c r="P53" s="73">
        <f t="shared" si="26"/>
        <v>0.038688094843362504</v>
      </c>
      <c r="Q53" s="71">
        <f t="shared" si="17"/>
        <v>635.2836431953845</v>
      </c>
      <c r="R53" s="72">
        <f t="shared" si="27"/>
        <v>0.008390754253664926</v>
      </c>
      <c r="S53" s="53">
        <f t="shared" si="36"/>
        <v>3209.6498606307687</v>
      </c>
      <c r="T53" s="73">
        <f t="shared" si="28"/>
        <v>0.042392691059070425</v>
      </c>
      <c r="U53" s="71">
        <f t="shared" si="18"/>
        <v>637.3768279846154</v>
      </c>
      <c r="V53" s="72">
        <f t="shared" si="29"/>
        <v>0.008418400800781432</v>
      </c>
      <c r="W53" s="53">
        <f t="shared" si="37"/>
        <v>3287.952576138461</v>
      </c>
      <c r="X53" s="74">
        <f t="shared" si="30"/>
        <v>0.04342690443801873</v>
      </c>
      <c r="Y53" s="71">
        <f t="shared" si="19"/>
        <v>637.3768279846154</v>
      </c>
      <c r="Z53" s="72">
        <f t="shared" si="31"/>
        <v>0.008418400800781432</v>
      </c>
      <c r="AA53" s="53">
        <f t="shared" si="38"/>
        <v>3287.952576138461</v>
      </c>
      <c r="AB53" s="74">
        <f t="shared" si="32"/>
        <v>0.04342690443801873</v>
      </c>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row>
    <row r="54" spans="1:85" ht="12.75">
      <c r="A54" s="69">
        <v>2005</v>
      </c>
      <c r="B54" s="69">
        <v>11</v>
      </c>
      <c r="C54" s="70">
        <v>66300</v>
      </c>
      <c r="D54" s="53">
        <v>76696.60093737545</v>
      </c>
      <c r="E54" s="71">
        <f t="shared" si="20"/>
        <v>1041.1891753846153</v>
      </c>
      <c r="F54" s="72">
        <f t="shared" si="21"/>
        <v>0.013575427889363315</v>
      </c>
      <c r="G54" s="53">
        <f t="shared" si="33"/>
        <v>6367.224586153845</v>
      </c>
      <c r="H54" s="73">
        <f t="shared" si="22"/>
        <v>0.08301834120853453</v>
      </c>
      <c r="I54" s="71">
        <f t="shared" si="15"/>
        <v>689.5853641384614</v>
      </c>
      <c r="J54" s="72">
        <f t="shared" si="23"/>
        <v>0.008991081165402934</v>
      </c>
      <c r="K54" s="53">
        <f t="shared" si="34"/>
        <v>3917.937035104615</v>
      </c>
      <c r="L54" s="73">
        <f t="shared" si="24"/>
        <v>0.05108358111337556</v>
      </c>
      <c r="M54" s="71">
        <f t="shared" si="16"/>
        <v>633.3564965538461</v>
      </c>
      <c r="N54" s="72">
        <f t="shared" si="25"/>
        <v>0.008257947403314475</v>
      </c>
      <c r="O54" s="53">
        <f t="shared" si="35"/>
        <v>3562.5227070461533</v>
      </c>
      <c r="P54" s="73">
        <f t="shared" si="26"/>
        <v>0.046449551394787826</v>
      </c>
      <c r="Q54" s="71">
        <f t="shared" si="17"/>
        <v>672.7818765876923</v>
      </c>
      <c r="R54" s="72">
        <f t="shared" si="27"/>
        <v>0.008771990784011852</v>
      </c>
      <c r="S54" s="53">
        <f t="shared" si="36"/>
        <v>3882.431737218461</v>
      </c>
      <c r="T54" s="73">
        <f t="shared" si="28"/>
        <v>0.05062064928260063</v>
      </c>
      <c r="U54" s="71">
        <f t="shared" si="18"/>
        <v>674.8934442923077</v>
      </c>
      <c r="V54" s="72">
        <f t="shared" si="29"/>
        <v>0.008799522221895777</v>
      </c>
      <c r="W54" s="53">
        <f t="shared" si="37"/>
        <v>3962.846020430769</v>
      </c>
      <c r="X54" s="74">
        <f t="shared" si="30"/>
        <v>0.051669121864559873</v>
      </c>
      <c r="Y54" s="71">
        <f t="shared" si="19"/>
        <v>674.8934442923077</v>
      </c>
      <c r="Z54" s="72">
        <f t="shared" si="31"/>
        <v>0.008799522221895777</v>
      </c>
      <c r="AA54" s="53">
        <f t="shared" si="38"/>
        <v>3962.846020430769</v>
      </c>
      <c r="AB54" s="74">
        <f t="shared" si="32"/>
        <v>0.051669121864559873</v>
      </c>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row>
    <row r="55" spans="1:85" ht="12.75">
      <c r="A55" s="69">
        <v>2006</v>
      </c>
      <c r="B55" s="69">
        <v>12</v>
      </c>
      <c r="C55" s="70">
        <f>C54+(C$20-C$15)/(A$20-A$15)</f>
        <v>66940</v>
      </c>
      <c r="D55" s="53">
        <v>77693.65674956133</v>
      </c>
      <c r="E55" s="71">
        <f t="shared" si="20"/>
        <v>1098.4289884615382</v>
      </c>
      <c r="F55" s="72">
        <f t="shared" si="21"/>
        <v>0.014137949408176623</v>
      </c>
      <c r="G55" s="53">
        <f t="shared" si="33"/>
        <v>7465.653574615383</v>
      </c>
      <c r="H55" s="73">
        <f t="shared" si="22"/>
        <v>0.0960909022300271</v>
      </c>
      <c r="I55" s="71">
        <f t="shared" si="15"/>
        <v>736.5434682253845</v>
      </c>
      <c r="J55" s="72">
        <f t="shared" si="23"/>
        <v>0.009480097848908922</v>
      </c>
      <c r="K55" s="53">
        <f t="shared" si="34"/>
        <v>4654.48050333</v>
      </c>
      <c r="L55" s="73">
        <f t="shared" si="24"/>
        <v>0.05990811474266566</v>
      </c>
      <c r="M55" s="71">
        <f t="shared" si="16"/>
        <v>679.9251011538461</v>
      </c>
      <c r="N55" s="72">
        <f t="shared" si="25"/>
        <v>0.008751359243464686</v>
      </c>
      <c r="O55" s="53">
        <f t="shared" si="35"/>
        <v>4242.4478082</v>
      </c>
      <c r="P55" s="73">
        <f t="shared" si="26"/>
        <v>0.054604815704262157</v>
      </c>
      <c r="Q55" s="71">
        <f t="shared" si="17"/>
        <v>723.4543993707691</v>
      </c>
      <c r="R55" s="72">
        <f t="shared" si="27"/>
        <v>0.009311627610768286</v>
      </c>
      <c r="S55" s="53">
        <f t="shared" si="36"/>
        <v>4605.88613658923</v>
      </c>
      <c r="T55" s="73">
        <f t="shared" si="28"/>
        <v>0.05928265355607986</v>
      </c>
      <c r="U55" s="71">
        <f t="shared" si="18"/>
        <v>729.3912691153846</v>
      </c>
      <c r="V55" s="72">
        <f t="shared" si="29"/>
        <v>0.009388041439039397</v>
      </c>
      <c r="W55" s="53">
        <f t="shared" si="37"/>
        <v>4692.237289546154</v>
      </c>
      <c r="X55" s="74">
        <f t="shared" si="30"/>
        <v>0.06039408474067797</v>
      </c>
      <c r="Y55" s="71">
        <f t="shared" si="19"/>
        <v>729.3912691153846</v>
      </c>
      <c r="Z55" s="72">
        <f t="shared" si="31"/>
        <v>0.009388041439039397</v>
      </c>
      <c r="AA55" s="53">
        <f t="shared" si="38"/>
        <v>4692.237289546154</v>
      </c>
      <c r="AB55" s="74">
        <f t="shared" si="32"/>
        <v>0.06039408474067797</v>
      </c>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row>
    <row r="56" spans="1:85" ht="12.75">
      <c r="A56" s="69">
        <v>2007</v>
      </c>
      <c r="B56" s="69">
        <v>13</v>
      </c>
      <c r="C56" s="70">
        <f>C55+(C$20-C$15)/(A$20-A$15)</f>
        <v>67580</v>
      </c>
      <c r="D56" s="53">
        <v>78703.67428730562</v>
      </c>
      <c r="E56" s="71">
        <f t="shared" si="20"/>
        <v>1206.9138738461536</v>
      </c>
      <c r="F56" s="72">
        <f t="shared" si="21"/>
        <v>0.015334911422818042</v>
      </c>
      <c r="G56" s="53">
        <f t="shared" si="33"/>
        <v>8672.567448461537</v>
      </c>
      <c r="H56" s="73">
        <f t="shared" si="22"/>
        <v>0.11019266288385172</v>
      </c>
      <c r="I56" s="71">
        <f t="shared" si="15"/>
        <v>800.3218497023076</v>
      </c>
      <c r="J56" s="72">
        <f t="shared" si="23"/>
        <v>0.010168799067509282</v>
      </c>
      <c r="K56" s="53">
        <f t="shared" si="34"/>
        <v>5454.802353032308</v>
      </c>
      <c r="L56" s="73">
        <f t="shared" si="24"/>
        <v>0.06930810286086136</v>
      </c>
      <c r="M56" s="71">
        <f t="shared" si="16"/>
        <v>736.9608930923076</v>
      </c>
      <c r="N56" s="72">
        <f t="shared" si="25"/>
        <v>0.009363741906153605</v>
      </c>
      <c r="O56" s="53">
        <f t="shared" si="35"/>
        <v>4979.408701292307</v>
      </c>
      <c r="P56" s="73">
        <f t="shared" si="26"/>
        <v>0.06326780479288821</v>
      </c>
      <c r="Q56" s="71">
        <f t="shared" si="17"/>
        <v>783.2495644130768</v>
      </c>
      <c r="R56" s="72">
        <f t="shared" si="27"/>
        <v>0.009951880538052717</v>
      </c>
      <c r="S56" s="53">
        <f t="shared" si="36"/>
        <v>5389.135701002307</v>
      </c>
      <c r="T56" s="73">
        <f t="shared" si="28"/>
        <v>0.06847374979380777</v>
      </c>
      <c r="U56" s="71">
        <f t="shared" si="18"/>
        <v>789.9705905538461</v>
      </c>
      <c r="V56" s="72">
        <f t="shared" si="29"/>
        <v>0.010037277137406318</v>
      </c>
      <c r="W56" s="53">
        <f t="shared" si="37"/>
        <v>5482.2078801</v>
      </c>
      <c r="X56" s="74">
        <f t="shared" si="30"/>
        <v>0.06965631439375179</v>
      </c>
      <c r="Y56" s="71">
        <f t="shared" si="19"/>
        <v>789.9705905538461</v>
      </c>
      <c r="Z56" s="72">
        <f t="shared" si="31"/>
        <v>0.010037277137406318</v>
      </c>
      <c r="AA56" s="53">
        <f t="shared" si="38"/>
        <v>5482.2078801</v>
      </c>
      <c r="AB56" s="74">
        <f t="shared" si="32"/>
        <v>0.06965631439375179</v>
      </c>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row>
    <row r="57" spans="1:85" ht="12.75">
      <c r="A57" s="69">
        <v>2008</v>
      </c>
      <c r="B57" s="69">
        <v>14</v>
      </c>
      <c r="C57" s="70">
        <f>C56+(C$20-C$15)/(A$20-A$15)</f>
        <v>68220</v>
      </c>
      <c r="D57" s="53">
        <v>79726.82205304058</v>
      </c>
      <c r="E57" s="71">
        <f t="shared" si="20"/>
        <v>1323.9635676923074</v>
      </c>
      <c r="F57" s="72">
        <f t="shared" si="21"/>
        <v>0.016606250363415995</v>
      </c>
      <c r="G57" s="53">
        <f t="shared" si="33"/>
        <v>9996.531016153845</v>
      </c>
      <c r="H57" s="73">
        <f t="shared" si="22"/>
        <v>0.1253847922033486</v>
      </c>
      <c r="I57" s="71">
        <f t="shared" si="15"/>
        <v>855.5495124599997</v>
      </c>
      <c r="J57" s="72">
        <f t="shared" si="23"/>
        <v>0.010731012354798496</v>
      </c>
      <c r="K57" s="53">
        <f t="shared" si="34"/>
        <v>6310.351865492308</v>
      </c>
      <c r="L57" s="73">
        <f t="shared" si="24"/>
        <v>0.07914967263205554</v>
      </c>
      <c r="M57" s="71">
        <f t="shared" si="16"/>
        <v>782.2373344615381</v>
      </c>
      <c r="N57" s="72">
        <f t="shared" si="25"/>
        <v>0.009811470146660707</v>
      </c>
      <c r="O57" s="53">
        <f t="shared" si="35"/>
        <v>5761.646035753845</v>
      </c>
      <c r="P57" s="73">
        <f t="shared" si="26"/>
        <v>0.07226734852068659</v>
      </c>
      <c r="Q57" s="71">
        <f t="shared" si="17"/>
        <v>839.0426064646152</v>
      </c>
      <c r="R57" s="72">
        <f t="shared" si="27"/>
        <v>0.010523969033989814</v>
      </c>
      <c r="S57" s="53">
        <f t="shared" si="36"/>
        <v>6228.178307466922</v>
      </c>
      <c r="T57" s="73">
        <f t="shared" si="28"/>
        <v>0.07811898363794616</v>
      </c>
      <c r="U57" s="71">
        <f t="shared" si="18"/>
        <v>848.6371825615383</v>
      </c>
      <c r="V57" s="72">
        <f t="shared" si="29"/>
        <v>0.010644312173849823</v>
      </c>
      <c r="W57" s="53">
        <f t="shared" si="37"/>
        <v>6330.845062661538</v>
      </c>
      <c r="X57" s="74">
        <f t="shared" si="30"/>
        <v>0.07940671532661567</v>
      </c>
      <c r="Y57" s="71">
        <f t="shared" si="19"/>
        <v>848.6371825615383</v>
      </c>
      <c r="Z57" s="72">
        <f t="shared" si="31"/>
        <v>0.010644312173849823</v>
      </c>
      <c r="AA57" s="53">
        <f t="shared" si="38"/>
        <v>6330.845062661538</v>
      </c>
      <c r="AB57" s="74">
        <f t="shared" si="32"/>
        <v>0.07940671532661567</v>
      </c>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row>
    <row r="58" spans="1:85" ht="12.75">
      <c r="A58" s="69">
        <v>2009</v>
      </c>
      <c r="B58" s="69">
        <v>15</v>
      </c>
      <c r="C58" s="70">
        <f>C57+(C$20-C$15)/(A$20-A$15)</f>
        <v>68860</v>
      </c>
      <c r="D58" s="53">
        <v>80763.2707397301</v>
      </c>
      <c r="E58" s="71">
        <f t="shared" si="20"/>
        <v>1433.3947615384611</v>
      </c>
      <c r="F58" s="72">
        <f t="shared" si="21"/>
        <v>0.01774810193308983</v>
      </c>
      <c r="G58" s="53">
        <f t="shared" si="33"/>
        <v>11429.925777692306</v>
      </c>
      <c r="H58" s="73">
        <f t="shared" si="22"/>
        <v>0.14152380993244681</v>
      </c>
      <c r="I58" s="71">
        <f t="shared" si="15"/>
        <v>926.649059053846</v>
      </c>
      <c r="J58" s="72">
        <f t="shared" si="23"/>
        <v>0.011473644523883764</v>
      </c>
      <c r="K58" s="53">
        <f t="shared" si="34"/>
        <v>7237.000924546154</v>
      </c>
      <c r="L58" s="73">
        <f t="shared" si="24"/>
        <v>0.08960757604614986</v>
      </c>
      <c r="M58" s="71">
        <f t="shared" si="16"/>
        <v>846.8764726153844</v>
      </c>
      <c r="N58" s="72">
        <f t="shared" si="25"/>
        <v>0.010485911044199181</v>
      </c>
      <c r="O58" s="53">
        <f t="shared" si="35"/>
        <v>6608.522508369229</v>
      </c>
      <c r="P58" s="73">
        <f t="shared" si="26"/>
        <v>0.08182584048219187</v>
      </c>
      <c r="Q58" s="71">
        <f t="shared" si="17"/>
        <v>907.0838646923075</v>
      </c>
      <c r="R58" s="72">
        <f t="shared" si="27"/>
        <v>0.011231390908071326</v>
      </c>
      <c r="S58" s="53">
        <f t="shared" si="36"/>
        <v>7135.2621721592295</v>
      </c>
      <c r="T58" s="73">
        <f t="shared" si="28"/>
        <v>0.08834786044207543</v>
      </c>
      <c r="U58" s="71">
        <f t="shared" si="18"/>
        <v>916.300539</v>
      </c>
      <c r="V58" s="72">
        <f t="shared" si="29"/>
        <v>0.01134551053476889</v>
      </c>
      <c r="W58" s="53">
        <f t="shared" si="37"/>
        <v>7247.1456016615375</v>
      </c>
      <c r="X58" s="74">
        <f t="shared" si="30"/>
        <v>0.0897331860793056</v>
      </c>
      <c r="Y58" s="71">
        <f t="shared" si="19"/>
        <v>916.300539</v>
      </c>
      <c r="Z58" s="72">
        <f t="shared" si="31"/>
        <v>0.01134551053476889</v>
      </c>
      <c r="AA58" s="53">
        <f t="shared" si="38"/>
        <v>7247.1456016615375</v>
      </c>
      <c r="AB58" s="74">
        <f t="shared" si="32"/>
        <v>0.0897331860793056</v>
      </c>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row>
    <row r="59" spans="1:85" ht="12.75">
      <c r="A59" s="69">
        <v>2010</v>
      </c>
      <c r="B59" s="69">
        <v>16</v>
      </c>
      <c r="C59" s="75">
        <v>69500</v>
      </c>
      <c r="D59" s="71">
        <v>81813.19325934658</v>
      </c>
      <c r="E59" s="71">
        <f t="shared" si="20"/>
        <v>1476.4490999999998</v>
      </c>
      <c r="F59" s="72">
        <f t="shared" si="21"/>
        <v>0.018046589323554192</v>
      </c>
      <c r="G59" s="53">
        <f t="shared" si="33"/>
        <v>12906.374877692306</v>
      </c>
      <c r="H59" s="73">
        <f t="shared" si="22"/>
        <v>0.15775420031313647</v>
      </c>
      <c r="I59" s="71">
        <f t="shared" si="15"/>
        <v>969.6629805923073</v>
      </c>
      <c r="J59" s="72">
        <f t="shared" si="23"/>
        <v>0.011852159070707465</v>
      </c>
      <c r="K59" s="53">
        <f t="shared" si="34"/>
        <v>8206.66390513846</v>
      </c>
      <c r="L59" s="73">
        <f t="shared" si="24"/>
        <v>0.10030978596720289</v>
      </c>
      <c r="M59" s="71">
        <f t="shared" si="16"/>
        <v>886.3476890538458</v>
      </c>
      <c r="N59" s="72">
        <f t="shared" si="25"/>
        <v>0.0108337989723019</v>
      </c>
      <c r="O59" s="53">
        <f t="shared" si="35"/>
        <v>7494.870197423075</v>
      </c>
      <c r="P59" s="73">
        <f t="shared" si="26"/>
        <v>0.09160955463093161</v>
      </c>
      <c r="Q59" s="71">
        <f t="shared" si="17"/>
        <v>945.2376935446152</v>
      </c>
      <c r="R59" s="72">
        <f t="shared" si="27"/>
        <v>0.01155360958162611</v>
      </c>
      <c r="S59" s="53">
        <f t="shared" si="36"/>
        <v>8080.499865703845</v>
      </c>
      <c r="T59" s="73">
        <f t="shared" si="28"/>
        <v>0.09876768701704117</v>
      </c>
      <c r="U59" s="71">
        <f t="shared" si="18"/>
        <v>952.5508678384613</v>
      </c>
      <c r="V59" s="72">
        <f t="shared" si="29"/>
        <v>0.0116429982731378</v>
      </c>
      <c r="W59" s="53">
        <f t="shared" si="37"/>
        <v>8199.696469499999</v>
      </c>
      <c r="X59" s="74">
        <f t="shared" si="30"/>
        <v>0.10022462322802982</v>
      </c>
      <c r="Y59" s="71">
        <f t="shared" si="19"/>
        <v>952.5508678384613</v>
      </c>
      <c r="Z59" s="72">
        <f t="shared" si="31"/>
        <v>0.0116429982731378</v>
      </c>
      <c r="AA59" s="53">
        <f t="shared" si="38"/>
        <v>8199.696469499999</v>
      </c>
      <c r="AB59" s="74">
        <f t="shared" si="32"/>
        <v>0.10022462322802982</v>
      </c>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row>
    <row r="60" spans="1:85" ht="12.75">
      <c r="A60" s="69">
        <v>2011</v>
      </c>
      <c r="B60" s="69">
        <v>17</v>
      </c>
      <c r="C60" s="70">
        <f>C59+(C$25-C$20)/(A$25-A$20)</f>
        <v>70000</v>
      </c>
      <c r="D60" s="53">
        <v>82876.76477171807</v>
      </c>
      <c r="E60" s="71">
        <f t="shared" si="20"/>
        <v>1501.599392307692</v>
      </c>
      <c r="F60" s="72">
        <f t="shared" si="21"/>
        <v>0.018118460541308643</v>
      </c>
      <c r="G60" s="53">
        <f t="shared" si="33"/>
        <v>14407.974269999997</v>
      </c>
      <c r="H60" s="73">
        <f t="shared" si="22"/>
        <v>0.17384817457204554</v>
      </c>
      <c r="I60" s="71">
        <f t="shared" si="15"/>
        <v>1008.1720786153844</v>
      </c>
      <c r="J60" s="72">
        <f t="shared" si="23"/>
        <v>0.01216471325096206</v>
      </c>
      <c r="K60" s="53">
        <f t="shared" si="34"/>
        <v>9214.835983753845</v>
      </c>
      <c r="L60" s="73">
        <f t="shared" si="24"/>
        <v>0.11118720680200145</v>
      </c>
      <c r="M60" s="71">
        <f t="shared" si="16"/>
        <v>925.652938153846</v>
      </c>
      <c r="N60" s="72">
        <f t="shared" si="25"/>
        <v>0.011169028384536164</v>
      </c>
      <c r="O60" s="53">
        <f t="shared" si="35"/>
        <v>8420.523135576921</v>
      </c>
      <c r="P60" s="73">
        <f t="shared" si="26"/>
        <v>0.10160294213668979</v>
      </c>
      <c r="Q60" s="71">
        <f t="shared" si="17"/>
        <v>982.7784750807689</v>
      </c>
      <c r="R60" s="72">
        <f t="shared" si="27"/>
        <v>0.011858311286496368</v>
      </c>
      <c r="S60" s="53">
        <f t="shared" si="36"/>
        <v>9063.278340784615</v>
      </c>
      <c r="T60" s="73">
        <f t="shared" si="28"/>
        <v>0.1093584959035163</v>
      </c>
      <c r="U60" s="71">
        <f t="shared" si="18"/>
        <v>985.7591615769229</v>
      </c>
      <c r="V60" s="72">
        <f t="shared" si="29"/>
        <v>0.011894276571873568</v>
      </c>
      <c r="W60" s="53">
        <f t="shared" si="37"/>
        <v>9185.455631076922</v>
      </c>
      <c r="X60" s="74">
        <f t="shared" si="30"/>
        <v>0.11083270029154764</v>
      </c>
      <c r="Y60" s="71">
        <f t="shared" si="19"/>
        <v>985.7591615769229</v>
      </c>
      <c r="Z60" s="72">
        <f t="shared" si="31"/>
        <v>0.011894276571873568</v>
      </c>
      <c r="AA60" s="53">
        <f t="shared" si="38"/>
        <v>9185.455631076922</v>
      </c>
      <c r="AB60" s="74">
        <f t="shared" si="32"/>
        <v>0.11083270029154764</v>
      </c>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row>
    <row r="61" spans="1:85" ht="12.75">
      <c r="A61" s="69">
        <v>2012</v>
      </c>
      <c r="B61" s="69">
        <v>18</v>
      </c>
      <c r="C61" s="70">
        <f>C60+(C$25-C$20)/(A$25-A$20)</f>
        <v>70500</v>
      </c>
      <c r="D61" s="53">
        <v>83954.1627137504</v>
      </c>
      <c r="E61" s="71">
        <f t="shared" si="20"/>
        <v>1556.9908615384613</v>
      </c>
      <c r="F61" s="72">
        <f t="shared" si="21"/>
        <v>0.01854572556273556</v>
      </c>
      <c r="G61" s="53">
        <f t="shared" si="33"/>
        <v>15964.965131538458</v>
      </c>
      <c r="H61" s="73">
        <f t="shared" si="22"/>
        <v>0.19016287716396513</v>
      </c>
      <c r="I61" s="71">
        <f t="shared" si="15"/>
        <v>1051.5001612153844</v>
      </c>
      <c r="J61" s="72">
        <f t="shared" si="23"/>
        <v>0.012524693561659033</v>
      </c>
      <c r="K61" s="53">
        <f t="shared" si="34"/>
        <v>10266.33614496923</v>
      </c>
      <c r="L61" s="73">
        <f t="shared" si="24"/>
        <v>0.12228501616975523</v>
      </c>
      <c r="M61" s="71">
        <f t="shared" si="16"/>
        <v>968.9424490384613</v>
      </c>
      <c r="N61" s="72">
        <f t="shared" si="25"/>
        <v>0.011541327049406252</v>
      </c>
      <c r="O61" s="53">
        <f t="shared" si="35"/>
        <v>9389.465584615382</v>
      </c>
      <c r="P61" s="73">
        <f t="shared" si="26"/>
        <v>0.11184038147851759</v>
      </c>
      <c r="Q61" s="71">
        <f t="shared" si="17"/>
        <v>1022.8789566692307</v>
      </c>
      <c r="R61" s="72">
        <f t="shared" si="27"/>
        <v>0.01218377890512508</v>
      </c>
      <c r="S61" s="53">
        <f t="shared" si="36"/>
        <v>10086.157297453845</v>
      </c>
      <c r="T61" s="73">
        <f t="shared" si="28"/>
        <v>0.1201388587703929</v>
      </c>
      <c r="U61" s="71">
        <f t="shared" si="18"/>
        <v>1024.6476357692306</v>
      </c>
      <c r="V61" s="72">
        <f t="shared" si="29"/>
        <v>0.012204846104687661</v>
      </c>
      <c r="W61" s="53">
        <f t="shared" si="37"/>
        <v>10210.103266846152</v>
      </c>
      <c r="X61" s="74">
        <f t="shared" si="30"/>
        <v>0.12161521164422136</v>
      </c>
      <c r="Y61" s="71">
        <f t="shared" si="19"/>
        <v>1024.6476357692306</v>
      </c>
      <c r="Z61" s="72">
        <f t="shared" si="31"/>
        <v>0.012204846104687661</v>
      </c>
      <c r="AA61" s="53">
        <f t="shared" si="38"/>
        <v>10210.103266846152</v>
      </c>
      <c r="AB61" s="74">
        <f t="shared" si="32"/>
        <v>0.12161521164422136</v>
      </c>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row>
    <row r="62" spans="1:85" ht="12.75">
      <c r="A62" s="69">
        <v>2013</v>
      </c>
      <c r="B62" s="69">
        <v>19</v>
      </c>
      <c r="C62" s="70">
        <f>C61+(C$25-C$20)/(A$25-A$20)</f>
        <v>71000</v>
      </c>
      <c r="D62" s="53">
        <v>85045.56682902915</v>
      </c>
      <c r="E62" s="71">
        <f t="shared" si="20"/>
        <v>1549.4008153846153</v>
      </c>
      <c r="F62" s="72">
        <f t="shared" si="21"/>
        <v>0.01821847831879872</v>
      </c>
      <c r="G62" s="53">
        <f t="shared" si="33"/>
        <v>17514.365946923073</v>
      </c>
      <c r="H62" s="73">
        <f t="shared" si="22"/>
        <v>0.20594096317957378</v>
      </c>
      <c r="I62" s="71">
        <f t="shared" si="15"/>
        <v>1056.9597316615382</v>
      </c>
      <c r="J62" s="72">
        <f t="shared" si="23"/>
        <v>0.012428157881367185</v>
      </c>
      <c r="K62" s="53">
        <f t="shared" si="34"/>
        <v>11323.295876630767</v>
      </c>
      <c r="L62" s="73">
        <f t="shared" si="24"/>
        <v>0.13314386979622922</v>
      </c>
      <c r="M62" s="71">
        <f t="shared" si="16"/>
        <v>973.5063279230767</v>
      </c>
      <c r="N62" s="72">
        <f t="shared" si="25"/>
        <v>0.011446879175726577</v>
      </c>
      <c r="O62" s="53">
        <f t="shared" si="35"/>
        <v>10362.971912538458</v>
      </c>
      <c r="P62" s="73">
        <f t="shared" si="26"/>
        <v>0.12185199415945569</v>
      </c>
      <c r="Q62" s="71">
        <f t="shared" si="17"/>
        <v>1028.9123689846153</v>
      </c>
      <c r="R62" s="72">
        <f t="shared" si="27"/>
        <v>0.012098365703800684</v>
      </c>
      <c r="S62" s="53">
        <f t="shared" si="36"/>
        <v>11115.06966643846</v>
      </c>
      <c r="T62" s="73">
        <f t="shared" si="28"/>
        <v>0.13069546221948963</v>
      </c>
      <c r="U62" s="71">
        <f t="shared" si="18"/>
        <v>1032.387896076923</v>
      </c>
      <c r="V62" s="72">
        <f t="shared" si="29"/>
        <v>0.012139232350022169</v>
      </c>
      <c r="W62" s="53">
        <f t="shared" si="37"/>
        <v>11242.491162923076</v>
      </c>
      <c r="X62" s="74">
        <f t="shared" si="30"/>
        <v>0.1321937354538932</v>
      </c>
      <c r="Y62" s="71">
        <f t="shared" si="19"/>
        <v>1032.387896076923</v>
      </c>
      <c r="Z62" s="72">
        <f t="shared" si="31"/>
        <v>0.012139232350022169</v>
      </c>
      <c r="AA62" s="53">
        <f t="shared" si="38"/>
        <v>11242.491162923076</v>
      </c>
      <c r="AB62" s="74">
        <f t="shared" si="32"/>
        <v>0.1321937354538932</v>
      </c>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row>
    <row r="63" spans="1:85" ht="12.75">
      <c r="A63" s="69">
        <v>2014</v>
      </c>
      <c r="B63" s="69">
        <v>20</v>
      </c>
      <c r="C63" s="70">
        <f>C62+(C$25-C$20)/(A$25-A$20)</f>
        <v>71500</v>
      </c>
      <c r="D63" s="53">
        <v>86151.15919780653</v>
      </c>
      <c r="E63" s="71">
        <f t="shared" si="20"/>
        <v>1544.4024923076925</v>
      </c>
      <c r="F63" s="72">
        <f t="shared" si="21"/>
        <v>0.0179266594516933</v>
      </c>
      <c r="G63" s="53">
        <f t="shared" si="33"/>
        <v>19058.768439230767</v>
      </c>
      <c r="H63" s="73">
        <f t="shared" si="22"/>
        <v>0.2212247474868106</v>
      </c>
      <c r="I63" s="71">
        <f t="shared" si="15"/>
        <v>1063.7203206461536</v>
      </c>
      <c r="J63" s="72">
        <f t="shared" si="23"/>
        <v>0.012347138802901177</v>
      </c>
      <c r="K63" s="53">
        <f t="shared" si="34"/>
        <v>12387.01619727692</v>
      </c>
      <c r="L63" s="73">
        <f t="shared" si="24"/>
        <v>0.14378235084261412</v>
      </c>
      <c r="M63" s="71">
        <f t="shared" si="16"/>
        <v>981.5154133846152</v>
      </c>
      <c r="N63" s="72">
        <f t="shared" si="25"/>
        <v>0.011392944941472189</v>
      </c>
      <c r="O63" s="53">
        <f t="shared" si="35"/>
        <v>11344.487325923074</v>
      </c>
      <c r="P63" s="73">
        <f t="shared" si="26"/>
        <v>0.13168119189058936</v>
      </c>
      <c r="Q63" s="71">
        <f t="shared" si="17"/>
        <v>1032.13917</v>
      </c>
      <c r="R63" s="72">
        <f t="shared" si="27"/>
        <v>0.011980560442955467</v>
      </c>
      <c r="S63" s="53">
        <f t="shared" si="36"/>
        <v>12147.20883643846</v>
      </c>
      <c r="T63" s="73">
        <f t="shared" si="28"/>
        <v>0.14099878573366587</v>
      </c>
      <c r="U63" s="71">
        <f t="shared" si="18"/>
        <v>1032.6826384615383</v>
      </c>
      <c r="V63" s="72">
        <f t="shared" si="29"/>
        <v>0.011986868755769814</v>
      </c>
      <c r="W63" s="53">
        <f t="shared" si="37"/>
        <v>12275.173801384613</v>
      </c>
      <c r="X63" s="74">
        <f t="shared" si="30"/>
        <v>0.1424841396875499</v>
      </c>
      <c r="Y63" s="71">
        <f t="shared" si="19"/>
        <v>1032.6826384615383</v>
      </c>
      <c r="Z63" s="72">
        <f t="shared" si="31"/>
        <v>0.011986868755769814</v>
      </c>
      <c r="AA63" s="53">
        <f t="shared" si="38"/>
        <v>12275.173801384613</v>
      </c>
      <c r="AB63" s="74">
        <f t="shared" si="32"/>
        <v>0.1424841396875499</v>
      </c>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row>
    <row r="64" spans="1:85" ht="12.75">
      <c r="A64" s="69">
        <v>2015</v>
      </c>
      <c r="B64" s="69">
        <v>21</v>
      </c>
      <c r="C64" s="70">
        <v>72000</v>
      </c>
      <c r="D64" s="53">
        <v>87271.124267378</v>
      </c>
      <c r="E64" s="71">
        <f t="shared" si="20"/>
        <v>1584.4419692307692</v>
      </c>
      <c r="F64" s="72">
        <f t="shared" si="21"/>
        <v>0.018155397704931762</v>
      </c>
      <c r="G64" s="53">
        <f t="shared" si="33"/>
        <v>20643.210408461535</v>
      </c>
      <c r="H64" s="73">
        <f t="shared" si="22"/>
        <v>0.23654113066328375</v>
      </c>
      <c r="I64" s="71">
        <f t="shared" si="15"/>
        <v>1064.475807923077</v>
      </c>
      <c r="J64" s="72">
        <f t="shared" si="23"/>
        <v>0.012197342670432154</v>
      </c>
      <c r="K64" s="53">
        <f t="shared" si="34"/>
        <v>13451.492005199998</v>
      </c>
      <c r="L64" s="73">
        <f t="shared" si="24"/>
        <v>0.15413451033342734</v>
      </c>
      <c r="M64" s="71">
        <f t="shared" si="16"/>
        <v>976.5571562307691</v>
      </c>
      <c r="N64" s="72">
        <f t="shared" si="25"/>
        <v>0.011189922949071103</v>
      </c>
      <c r="O64" s="53">
        <f t="shared" si="35"/>
        <v>12321.044482153842</v>
      </c>
      <c r="P64" s="73">
        <f t="shared" si="26"/>
        <v>0.14118122787561538</v>
      </c>
      <c r="Q64" s="71">
        <f t="shared" si="17"/>
        <v>1031.7318198923076</v>
      </c>
      <c r="R64" s="72">
        <f t="shared" si="27"/>
        <v>0.01182214424935476</v>
      </c>
      <c r="S64" s="53">
        <f t="shared" si="36"/>
        <v>13178.940656330768</v>
      </c>
      <c r="T64" s="73">
        <f t="shared" si="28"/>
        <v>0.151011468764326</v>
      </c>
      <c r="U64" s="71">
        <f t="shared" si="18"/>
        <v>1031.3080996153847</v>
      </c>
      <c r="V64" s="72">
        <f t="shared" si="29"/>
        <v>0.011817289032002172</v>
      </c>
      <c r="W64" s="53">
        <f t="shared" si="37"/>
        <v>13306.481900999997</v>
      </c>
      <c r="X64" s="74">
        <f t="shared" si="30"/>
        <v>0.15247290570283129</v>
      </c>
      <c r="Y64" s="71">
        <f t="shared" si="19"/>
        <v>1031.3080996153847</v>
      </c>
      <c r="Z64" s="72">
        <f t="shared" si="31"/>
        <v>0.011817289032002172</v>
      </c>
      <c r="AA64" s="53">
        <f t="shared" si="38"/>
        <v>13306.481900999997</v>
      </c>
      <c r="AB64" s="74">
        <f t="shared" si="32"/>
        <v>0.15247290570283129</v>
      </c>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row>
    <row r="65" spans="1:85" ht="12.75">
      <c r="A65" s="69">
        <v>2016</v>
      </c>
      <c r="B65" s="69">
        <v>22</v>
      </c>
      <c r="C65" s="70">
        <f>C64+(C$30-C$25)/(A$30-A$25)</f>
        <v>72180</v>
      </c>
      <c r="D65" s="53">
        <v>88405.64888285391</v>
      </c>
      <c r="E65" s="71">
        <f t="shared" si="20"/>
        <v>1525.123246153846</v>
      </c>
      <c r="F65" s="72">
        <f t="shared" si="21"/>
        <v>0.01725142301907407</v>
      </c>
      <c r="G65" s="53">
        <f t="shared" si="33"/>
        <v>22168.33365461538</v>
      </c>
      <c r="H65" s="73">
        <f t="shared" si="22"/>
        <v>0.25075698142310543</v>
      </c>
      <c r="I65" s="71">
        <f t="shared" si="15"/>
        <v>1054.3947456461538</v>
      </c>
      <c r="J65" s="72">
        <f t="shared" si="23"/>
        <v>0.011926780233730646</v>
      </c>
      <c r="K65" s="53">
        <f t="shared" si="34"/>
        <v>14505.886750846152</v>
      </c>
      <c r="L65" s="73">
        <f t="shared" si="24"/>
        <v>0.1640832563772917</v>
      </c>
      <c r="M65" s="71">
        <f t="shared" si="16"/>
        <v>973.0619003076922</v>
      </c>
      <c r="N65" s="72">
        <f t="shared" si="25"/>
        <v>0.011006784211233989</v>
      </c>
      <c r="O65" s="53">
        <f t="shared" si="35"/>
        <v>13294.106382461534</v>
      </c>
      <c r="P65" s="73">
        <f t="shared" si="26"/>
        <v>0.15037620955734987</v>
      </c>
      <c r="Q65" s="71">
        <f t="shared" si="17"/>
        <v>1025.016096807692</v>
      </c>
      <c r="R65" s="72">
        <f t="shared" si="27"/>
        <v>0.011594463812668104</v>
      </c>
      <c r="S65" s="53">
        <f t="shared" si="36"/>
        <v>14203.95675313846</v>
      </c>
      <c r="T65" s="73">
        <f t="shared" si="28"/>
        <v>0.1606679769067708</v>
      </c>
      <c r="U65" s="71">
        <f t="shared" si="18"/>
        <v>1025.6261434615385</v>
      </c>
      <c r="V65" s="72">
        <f t="shared" si="29"/>
        <v>0.011601364351961184</v>
      </c>
      <c r="W65" s="53">
        <f t="shared" si="37"/>
        <v>14332.108044461536</v>
      </c>
      <c r="X65" s="74">
        <f t="shared" si="30"/>
        <v>0.16211755951763868</v>
      </c>
      <c r="Y65" s="71">
        <f t="shared" si="19"/>
        <v>1025.6261434615385</v>
      </c>
      <c r="Z65" s="72">
        <f t="shared" si="31"/>
        <v>0.011601364351961184</v>
      </c>
      <c r="AA65" s="53">
        <f t="shared" si="38"/>
        <v>14332.108044461536</v>
      </c>
      <c r="AB65" s="74">
        <f t="shared" si="32"/>
        <v>0.16211755951763868</v>
      </c>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row>
    <row r="66" spans="1:85" ht="12.75">
      <c r="A66" s="69">
        <v>2017</v>
      </c>
      <c r="B66" s="69">
        <v>23</v>
      </c>
      <c r="C66" s="70">
        <f>C65+(C$30-C$25)/(A$30-A$25)</f>
        <v>72360</v>
      </c>
      <c r="D66" s="53">
        <v>89554.92231833101</v>
      </c>
      <c r="E66" s="71">
        <f t="shared" si="20"/>
        <v>1469.0573999999997</v>
      </c>
      <c r="F66" s="72">
        <f t="shared" si="21"/>
        <v>0.016403982740089966</v>
      </c>
      <c r="G66" s="53">
        <f t="shared" si="33"/>
        <v>23637.39105461538</v>
      </c>
      <c r="H66" s="73">
        <f t="shared" si="22"/>
        <v>0.263942957491428</v>
      </c>
      <c r="I66" s="71">
        <f t="shared" si="15"/>
        <v>1033.9624471846153</v>
      </c>
      <c r="J66" s="72">
        <f t="shared" si="23"/>
        <v>0.011545568020363</v>
      </c>
      <c r="K66" s="53">
        <f t="shared" si="34"/>
        <v>15539.849198030766</v>
      </c>
      <c r="L66" s="73">
        <f t="shared" si="24"/>
        <v>0.17352311627040418</v>
      </c>
      <c r="M66" s="71">
        <f t="shared" si="16"/>
        <v>956.050544076923</v>
      </c>
      <c r="N66" s="72">
        <f t="shared" si="25"/>
        <v>0.010675577839022132</v>
      </c>
      <c r="O66" s="53">
        <f t="shared" si="35"/>
        <v>14250.156926538457</v>
      </c>
      <c r="P66" s="73">
        <f t="shared" si="26"/>
        <v>0.15912198411478706</v>
      </c>
      <c r="Q66" s="71">
        <f t="shared" si="17"/>
        <v>997.312044876923</v>
      </c>
      <c r="R66" s="72">
        <f t="shared" si="27"/>
        <v>0.011136317458150293</v>
      </c>
      <c r="S66" s="53">
        <f t="shared" si="36"/>
        <v>15201.268798015382</v>
      </c>
      <c r="T66" s="73">
        <f t="shared" si="28"/>
        <v>0.16974241509563381</v>
      </c>
      <c r="U66" s="71">
        <f t="shared" si="18"/>
        <v>993.1152253846153</v>
      </c>
      <c r="V66" s="72">
        <f t="shared" si="29"/>
        <v>0.011089454378113334</v>
      </c>
      <c r="W66" s="53">
        <f t="shared" si="37"/>
        <v>15325.223269846152</v>
      </c>
      <c r="X66" s="74">
        <f t="shared" si="30"/>
        <v>0.1711265318881219</v>
      </c>
      <c r="Y66" s="71">
        <f t="shared" si="19"/>
        <v>993.1152253846153</v>
      </c>
      <c r="Z66" s="72">
        <f t="shared" si="31"/>
        <v>0.011089454378113334</v>
      </c>
      <c r="AA66" s="53">
        <f t="shared" si="38"/>
        <v>15325.223269846152</v>
      </c>
      <c r="AB66" s="74">
        <f t="shared" si="32"/>
        <v>0.1711265318881219</v>
      </c>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row>
    <row r="67" spans="1:85" ht="12.75">
      <c r="A67" s="69">
        <v>2018</v>
      </c>
      <c r="B67" s="69">
        <v>24</v>
      </c>
      <c r="C67" s="70">
        <f>C66+(C$30-C$25)/(A$30-A$25)</f>
        <v>72540</v>
      </c>
      <c r="D67" s="53">
        <v>90719.1363084693</v>
      </c>
      <c r="E67" s="71">
        <f t="shared" si="20"/>
        <v>1375.2793384615384</v>
      </c>
      <c r="F67" s="72">
        <f t="shared" si="21"/>
        <v>0.015159749027870165</v>
      </c>
      <c r="G67" s="53">
        <f t="shared" si="33"/>
        <v>25012.670393076918</v>
      </c>
      <c r="H67" s="73">
        <f t="shared" si="22"/>
        <v>0.2757154819907804</v>
      </c>
      <c r="I67" s="71">
        <f t="shared" si="15"/>
        <v>966.5008739999998</v>
      </c>
      <c r="J67" s="72">
        <f t="shared" si="23"/>
        <v>0.010653770674289034</v>
      </c>
      <c r="K67" s="53">
        <f t="shared" si="34"/>
        <v>16506.350072030767</v>
      </c>
      <c r="L67" s="73">
        <f t="shared" si="24"/>
        <v>0.18195003550193387</v>
      </c>
      <c r="M67" s="71">
        <f t="shared" si="16"/>
        <v>890.8921135384613</v>
      </c>
      <c r="N67" s="72">
        <f t="shared" si="25"/>
        <v>0.009820332840352339</v>
      </c>
      <c r="O67" s="53">
        <f t="shared" si="35"/>
        <v>15141.049040076918</v>
      </c>
      <c r="P67" s="73">
        <f t="shared" si="26"/>
        <v>0.1669002776723238</v>
      </c>
      <c r="Q67" s="71">
        <f t="shared" si="17"/>
        <v>931.4217170307693</v>
      </c>
      <c r="R67" s="72">
        <f t="shared" si="27"/>
        <v>0.010267091982265865</v>
      </c>
      <c r="S67" s="53">
        <f t="shared" si="36"/>
        <v>16132.690515046152</v>
      </c>
      <c r="T67" s="73">
        <f t="shared" si="28"/>
        <v>0.1778311740115194</v>
      </c>
      <c r="U67" s="71">
        <f t="shared" si="18"/>
        <v>926.0885063076923</v>
      </c>
      <c r="V67" s="72">
        <f t="shared" si="29"/>
        <v>0.010208303826424714</v>
      </c>
      <c r="W67" s="53">
        <f t="shared" si="37"/>
        <v>16251.311776153845</v>
      </c>
      <c r="X67" s="74">
        <f t="shared" si="30"/>
        <v>0.1791387400437218</v>
      </c>
      <c r="Y67" s="71">
        <f t="shared" si="19"/>
        <v>926.0885063076923</v>
      </c>
      <c r="Z67" s="72">
        <f t="shared" si="31"/>
        <v>0.010208303826424714</v>
      </c>
      <c r="AA67" s="53">
        <f t="shared" si="38"/>
        <v>16251.311776153845</v>
      </c>
      <c r="AB67" s="74">
        <f t="shared" si="32"/>
        <v>0.1791387400437218</v>
      </c>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row>
    <row r="68" spans="1:85" ht="12.75">
      <c r="A68" s="69">
        <v>2019</v>
      </c>
      <c r="B68" s="69">
        <v>25</v>
      </c>
      <c r="C68" s="70">
        <f>C67+(C$30-C$25)/(A$30-A$25)</f>
        <v>72720</v>
      </c>
      <c r="D68" s="53">
        <v>91898.4850804794</v>
      </c>
      <c r="E68" s="71">
        <f t="shared" si="20"/>
        <v>1282.188876923077</v>
      </c>
      <c r="F68" s="72">
        <f t="shared" si="21"/>
        <v>0.013952230831663982</v>
      </c>
      <c r="G68" s="53">
        <f t="shared" si="33"/>
        <v>26294.859269999994</v>
      </c>
      <c r="H68" s="73">
        <f t="shared" si="22"/>
        <v>0.2861294094997591</v>
      </c>
      <c r="I68" s="71">
        <f t="shared" si="15"/>
        <v>915.5336347384614</v>
      </c>
      <c r="J68" s="72">
        <f t="shared" si="23"/>
        <v>0.009962445343214197</v>
      </c>
      <c r="K68" s="53">
        <f t="shared" si="34"/>
        <v>17421.88370676923</v>
      </c>
      <c r="L68" s="73">
        <f t="shared" si="24"/>
        <v>0.18957748532537994</v>
      </c>
      <c r="M68" s="71">
        <f t="shared" si="16"/>
        <v>847.6026687692306</v>
      </c>
      <c r="N68" s="72">
        <f t="shared" si="25"/>
        <v>0.009223249632754544</v>
      </c>
      <c r="O68" s="53">
        <f t="shared" si="35"/>
        <v>15988.651708846148</v>
      </c>
      <c r="P68" s="73">
        <f t="shared" si="26"/>
        <v>0.17398166786801988</v>
      </c>
      <c r="Q68" s="71">
        <f t="shared" si="17"/>
        <v>881.3284967076922</v>
      </c>
      <c r="R68" s="72">
        <f t="shared" si="27"/>
        <v>0.00959023966429779</v>
      </c>
      <c r="S68" s="53">
        <f t="shared" si="36"/>
        <v>17014.019011753844</v>
      </c>
      <c r="T68" s="73">
        <f t="shared" si="28"/>
        <v>0.1851392762008421</v>
      </c>
      <c r="U68" s="71">
        <f t="shared" si="18"/>
        <v>872.7738535384615</v>
      </c>
      <c r="V68" s="72">
        <f t="shared" si="29"/>
        <v>0.00949715169705068</v>
      </c>
      <c r="W68" s="53">
        <f t="shared" si="37"/>
        <v>17124.08562969231</v>
      </c>
      <c r="X68" s="74">
        <f t="shared" si="30"/>
        <v>0.1863369740501818</v>
      </c>
      <c r="Y68" s="71">
        <f t="shared" si="19"/>
        <v>872.7738535384615</v>
      </c>
      <c r="Z68" s="72">
        <f t="shared" si="31"/>
        <v>0.00949715169705068</v>
      </c>
      <c r="AA68" s="53">
        <f t="shared" si="38"/>
        <v>17124.08562969231</v>
      </c>
      <c r="AB68" s="74">
        <f t="shared" si="32"/>
        <v>0.1863369740501818</v>
      </c>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row>
    <row r="69" spans="1:85" ht="12.75">
      <c r="A69" s="69">
        <v>2020</v>
      </c>
      <c r="B69" s="69">
        <v>26</v>
      </c>
      <c r="C69" s="75">
        <v>72900</v>
      </c>
      <c r="D69" s="71">
        <v>93093.16538652562</v>
      </c>
      <c r="E69" s="71">
        <f t="shared" si="20"/>
        <v>1193.8851692307694</v>
      </c>
      <c r="F69" s="72">
        <f t="shared" si="21"/>
        <v>0.012824627503788514</v>
      </c>
      <c r="G69" s="53">
        <f t="shared" si="33"/>
        <v>27488.744439230763</v>
      </c>
      <c r="H69" s="73">
        <f t="shared" si="22"/>
        <v>0.29528208999121114</v>
      </c>
      <c r="I69" s="71">
        <f t="shared" si="15"/>
        <v>865.557253523077</v>
      </c>
      <c r="J69" s="72">
        <f t="shared" si="23"/>
        <v>0.009297752954572521</v>
      </c>
      <c r="K69" s="53">
        <f t="shared" si="34"/>
        <v>18287.440960292308</v>
      </c>
      <c r="L69" s="73">
        <f t="shared" si="24"/>
        <v>0.19644235840904434</v>
      </c>
      <c r="M69" s="71">
        <f t="shared" si="16"/>
        <v>804.8373867692308</v>
      </c>
      <c r="N69" s="72">
        <f t="shared" si="25"/>
        <v>0.008645504569830898</v>
      </c>
      <c r="O69" s="53">
        <f t="shared" si="35"/>
        <v>16793.48909561538</v>
      </c>
      <c r="P69" s="73">
        <f t="shared" si="26"/>
        <v>0.1803944363250332</v>
      </c>
      <c r="Q69" s="71">
        <f t="shared" si="17"/>
        <v>834.6363311076924</v>
      </c>
      <c r="R69" s="72">
        <f t="shared" si="27"/>
        <v>0.008965602658823096</v>
      </c>
      <c r="S69" s="53">
        <f t="shared" si="36"/>
        <v>17848.655342861537</v>
      </c>
      <c r="T69" s="73">
        <f t="shared" si="28"/>
        <v>0.19172895527564654</v>
      </c>
      <c r="U69" s="71">
        <f t="shared" si="18"/>
        <v>826.2325896923078</v>
      </c>
      <c r="V69" s="72">
        <f t="shared" si="29"/>
        <v>0.008875330280818846</v>
      </c>
      <c r="W69" s="53">
        <f t="shared" si="37"/>
        <v>17950.318219384615</v>
      </c>
      <c r="X69" s="74">
        <f t="shared" si="30"/>
        <v>0.19282101048830336</v>
      </c>
      <c r="Y69" s="71">
        <f t="shared" si="19"/>
        <v>826.2325896923078</v>
      </c>
      <c r="Z69" s="72">
        <f t="shared" si="31"/>
        <v>0.008875330280818846</v>
      </c>
      <c r="AA69" s="53">
        <f t="shared" si="38"/>
        <v>17950.318219384615</v>
      </c>
      <c r="AB69" s="74">
        <f t="shared" si="32"/>
        <v>0.19282101048830336</v>
      </c>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row>
    <row r="70" spans="1:85" ht="12.75">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row>
    <row r="71" spans="1:85" ht="12.75">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row>
    <row r="72" spans="1:85" ht="12.75">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row>
    <row r="73" spans="1:85" ht="13.5" thickBot="1">
      <c r="A73" s="64" t="s">
        <v>142</v>
      </c>
      <c r="B73" s="64"/>
      <c r="D73" s="17" t="s">
        <v>245</v>
      </c>
      <c r="E73" s="17" t="s">
        <v>253</v>
      </c>
      <c r="F73" s="17" t="s">
        <v>254</v>
      </c>
      <c r="G73" s="17" t="s">
        <v>255</v>
      </c>
      <c r="H73" s="17" t="s">
        <v>256</v>
      </c>
      <c r="I73" s="17" t="s">
        <v>25</v>
      </c>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row>
    <row r="74" spans="1:85" ht="12.75">
      <c r="A74" s="82" t="s">
        <v>26</v>
      </c>
      <c r="B74" s="83">
        <v>0.8</v>
      </c>
      <c r="D74" s="84">
        <f aca="true" t="shared" si="39" ref="D74:H78">$B74*B85/$G85</f>
        <v>0.8163265306122449</v>
      </c>
      <c r="E74" s="85">
        <f t="shared" si="39"/>
        <v>0.06530612244897958</v>
      </c>
      <c r="F74" s="85">
        <f t="shared" si="39"/>
        <v>-0.0816326530612245</v>
      </c>
      <c r="G74" s="85">
        <f t="shared" si="39"/>
        <v>0</v>
      </c>
      <c r="H74" s="85">
        <f t="shared" si="39"/>
        <v>0</v>
      </c>
      <c r="I74" s="84">
        <f aca="true" t="shared" si="40" ref="I74:I79">$E$119*H74</f>
        <v>0</v>
      </c>
      <c r="J74" s="86">
        <f aca="true" t="shared" si="41" ref="J74:J79">SUM(D74:H74)</f>
        <v>0.8</v>
      </c>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row>
    <row r="75" spans="1:85" ht="12.75">
      <c r="A75" s="87" t="s">
        <v>27</v>
      </c>
      <c r="B75" s="88">
        <v>0.1</v>
      </c>
      <c r="D75" s="17">
        <f t="shared" si="39"/>
        <v>0</v>
      </c>
      <c r="E75" s="85">
        <f t="shared" si="39"/>
        <v>0.023611111111111114</v>
      </c>
      <c r="F75" s="85">
        <f t="shared" si="39"/>
        <v>0.041666666666666664</v>
      </c>
      <c r="G75" s="85">
        <f t="shared" si="39"/>
        <v>0.020833333333333332</v>
      </c>
      <c r="H75" s="85">
        <f t="shared" si="39"/>
        <v>0.013888888888888892</v>
      </c>
      <c r="I75" s="84">
        <f t="shared" si="40"/>
        <v>0.0030864197530864204</v>
      </c>
      <c r="J75" s="86">
        <f t="shared" si="41"/>
        <v>0.1</v>
      </c>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row>
    <row r="76" spans="1:85" ht="12.75">
      <c r="A76" s="87" t="s">
        <v>28</v>
      </c>
      <c r="B76" s="88">
        <v>0.25</v>
      </c>
      <c r="D76" s="17">
        <f t="shared" si="39"/>
        <v>0</v>
      </c>
      <c r="E76" s="85">
        <f t="shared" si="39"/>
        <v>0.02631578947368421</v>
      </c>
      <c r="F76" s="85">
        <f t="shared" si="39"/>
        <v>0.03289473684210526</v>
      </c>
      <c r="G76" s="85">
        <f t="shared" si="39"/>
        <v>0.02631578947368421</v>
      </c>
      <c r="H76" s="85">
        <f t="shared" si="39"/>
        <v>0.16447368421052633</v>
      </c>
      <c r="I76" s="84">
        <f t="shared" si="40"/>
        <v>0.036549707602339186</v>
      </c>
      <c r="J76" s="86">
        <f t="shared" si="41"/>
        <v>0.25</v>
      </c>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row>
    <row r="77" spans="1:85" ht="12.75">
      <c r="A77" s="87" t="s">
        <v>29</v>
      </c>
      <c r="B77" s="88">
        <v>0.3</v>
      </c>
      <c r="D77" s="17">
        <f t="shared" si="39"/>
        <v>0</v>
      </c>
      <c r="E77" s="85">
        <f t="shared" si="39"/>
        <v>0.02823529411764706</v>
      </c>
      <c r="F77" s="85">
        <f t="shared" si="39"/>
        <v>0</v>
      </c>
      <c r="G77" s="85">
        <f t="shared" si="39"/>
        <v>0.2717647058823529</v>
      </c>
      <c r="H77" s="85">
        <f t="shared" si="39"/>
        <v>0</v>
      </c>
      <c r="I77" s="84">
        <f t="shared" si="40"/>
        <v>0</v>
      </c>
      <c r="J77" s="86">
        <f t="shared" si="41"/>
        <v>0.3</v>
      </c>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row>
    <row r="78" spans="1:85" ht="12.75">
      <c r="A78" s="87" t="s">
        <v>30</v>
      </c>
      <c r="B78" s="88">
        <v>1</v>
      </c>
      <c r="D78" s="17">
        <f t="shared" si="39"/>
        <v>0</v>
      </c>
      <c r="E78" s="85">
        <f t="shared" si="39"/>
        <v>0.3452380952380953</v>
      </c>
      <c r="F78" s="85">
        <f t="shared" si="39"/>
        <v>0.4166666666666667</v>
      </c>
      <c r="G78" s="85">
        <f t="shared" si="39"/>
        <v>0</v>
      </c>
      <c r="H78" s="85">
        <f t="shared" si="39"/>
        <v>0.23809523809523814</v>
      </c>
      <c r="I78" s="84">
        <f t="shared" si="40"/>
        <v>0.05291005291005292</v>
      </c>
      <c r="J78" s="86">
        <f t="shared" si="41"/>
        <v>1</v>
      </c>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row>
    <row r="79" spans="1:85" ht="13.5" thickBot="1">
      <c r="A79" s="89" t="s">
        <v>31</v>
      </c>
      <c r="B79" s="90">
        <v>2.45</v>
      </c>
      <c r="C79" s="86"/>
      <c r="D79" s="85">
        <f>SUM(D74:D78)</f>
        <v>0.8163265306122449</v>
      </c>
      <c r="E79" s="85">
        <f>SUM(E74:E78)</f>
        <v>0.4887064123895173</v>
      </c>
      <c r="F79" s="85">
        <f>SUM(F74:F78)</f>
        <v>0.4095954171142141</v>
      </c>
      <c r="G79" s="85">
        <f>SUM(G74:G78)</f>
        <v>0.31891382868937046</v>
      </c>
      <c r="H79" s="85">
        <f>SUM(H74:H78)</f>
        <v>0.41645781119465336</v>
      </c>
      <c r="I79" s="84">
        <f t="shared" si="40"/>
        <v>0.09254618026547853</v>
      </c>
      <c r="J79">
        <f t="shared" si="41"/>
        <v>2.4500000000000006</v>
      </c>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row>
    <row r="80" spans="13:85" ht="12.75">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row>
    <row r="81" spans="13:85" ht="12.75">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row>
    <row r="82" spans="13:85" ht="12.75">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row>
    <row r="83" spans="13:85" ht="12.75">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row>
    <row r="84" spans="2:85" ht="12.75">
      <c r="B84" s="17" t="s">
        <v>245</v>
      </c>
      <c r="C84" s="17" t="s">
        <v>253</v>
      </c>
      <c r="D84" s="17" t="s">
        <v>254</v>
      </c>
      <c r="E84" s="17" t="s">
        <v>255</v>
      </c>
      <c r="F84" s="17" t="s">
        <v>256</v>
      </c>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row>
    <row r="85" spans="1:85" ht="12.75">
      <c r="A85" t="s">
        <v>245</v>
      </c>
      <c r="B85" s="91">
        <v>1</v>
      </c>
      <c r="C85" s="91">
        <v>0.08</v>
      </c>
      <c r="D85" s="91">
        <v>-0.1</v>
      </c>
      <c r="E85" s="91">
        <v>0</v>
      </c>
      <c r="F85" s="91">
        <v>0</v>
      </c>
      <c r="G85" s="3">
        <f>SUM(B85:F85)</f>
        <v>0.9800000000000001</v>
      </c>
      <c r="J85" t="s">
        <v>32</v>
      </c>
      <c r="L85" t="s">
        <v>33</v>
      </c>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row>
    <row r="86" spans="1:85" ht="12.75">
      <c r="A86" t="s">
        <v>246</v>
      </c>
      <c r="B86" s="91">
        <v>0</v>
      </c>
      <c r="C86" s="91">
        <v>0.17</v>
      </c>
      <c r="D86" s="91">
        <v>0.3</v>
      </c>
      <c r="E86" s="91">
        <v>0.15</v>
      </c>
      <c r="F86" s="91">
        <v>0.1</v>
      </c>
      <c r="G86" s="3">
        <f>SUM(B86:F86)</f>
        <v>0.72</v>
      </c>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row>
    <row r="87" spans="1:85" ht="12.75">
      <c r="A87" t="s">
        <v>247</v>
      </c>
      <c r="B87" s="91">
        <v>0</v>
      </c>
      <c r="C87" s="91">
        <v>0.08</v>
      </c>
      <c r="D87" s="91">
        <v>0.1</v>
      </c>
      <c r="E87" s="91">
        <v>0.08</v>
      </c>
      <c r="F87" s="91">
        <v>0.5</v>
      </c>
      <c r="G87" s="3">
        <f>SUM(B87:F87)</f>
        <v>0.76</v>
      </c>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row>
    <row r="88" spans="1:85" ht="12.75">
      <c r="A88" t="s">
        <v>248</v>
      </c>
      <c r="B88" s="91">
        <v>0</v>
      </c>
      <c r="C88" s="91">
        <v>0.08</v>
      </c>
      <c r="D88" s="91">
        <v>0</v>
      </c>
      <c r="E88" s="91">
        <v>0.77</v>
      </c>
      <c r="F88" s="91">
        <v>0</v>
      </c>
      <c r="G88" s="3">
        <f>SUM(B88:F88)</f>
        <v>0.85</v>
      </c>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row>
    <row r="89" spans="1:85" ht="12.75">
      <c r="A89" t="s">
        <v>257</v>
      </c>
      <c r="B89" s="91">
        <v>0</v>
      </c>
      <c r="C89" s="91">
        <v>0.58</v>
      </c>
      <c r="D89" s="91">
        <v>0.7</v>
      </c>
      <c r="E89" s="91">
        <v>0</v>
      </c>
      <c r="F89" s="91">
        <v>0.4</v>
      </c>
      <c r="G89" s="3">
        <f>SUM(B89:F89)</f>
        <v>1.6799999999999997</v>
      </c>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row>
    <row r="90" spans="13:85" ht="12.75">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row>
    <row r="91" spans="13:85" ht="12.75">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row>
    <row r="92" spans="13:85" ht="12.75">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row>
    <row r="93" spans="1:85" ht="12.75">
      <c r="A93" t="s">
        <v>34</v>
      </c>
      <c r="G93" t="s">
        <v>258</v>
      </c>
      <c r="H93" t="s">
        <v>258</v>
      </c>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row>
    <row r="94" spans="1:85" ht="12.75">
      <c r="A94" t="s">
        <v>35</v>
      </c>
      <c r="B94" s="17" t="s">
        <v>36</v>
      </c>
      <c r="C94" s="17" t="s">
        <v>37</v>
      </c>
      <c r="D94" s="17" t="s">
        <v>38</v>
      </c>
      <c r="E94" s="17" t="s">
        <v>39</v>
      </c>
      <c r="F94" s="17" t="s">
        <v>40</v>
      </c>
      <c r="G94" t="s">
        <v>41</v>
      </c>
      <c r="H94" t="s">
        <v>42</v>
      </c>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row>
    <row r="95" spans="1:85" ht="12.75">
      <c r="A95" t="s">
        <v>43</v>
      </c>
      <c r="B95" s="91">
        <v>-0.05</v>
      </c>
      <c r="C95" s="91">
        <v>0.15</v>
      </c>
      <c r="D95" s="91">
        <v>0.05</v>
      </c>
      <c r="E95" s="91"/>
      <c r="F95" s="91">
        <v>0.35</v>
      </c>
      <c r="G95" s="2">
        <v>0.44888125</v>
      </c>
      <c r="H95" s="2">
        <v>0.15639894303852134</v>
      </c>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row>
    <row r="96" spans="1:85" ht="12.75">
      <c r="A96" t="s">
        <v>176</v>
      </c>
      <c r="B96" s="91">
        <v>0.55</v>
      </c>
      <c r="C96" s="91"/>
      <c r="D96" s="91"/>
      <c r="E96" s="91"/>
      <c r="F96" s="91"/>
      <c r="G96" s="2">
        <v>0.55</v>
      </c>
      <c r="H96" s="2">
        <v>0.09719295215063052</v>
      </c>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row>
    <row r="97" spans="1:85" ht="12.75">
      <c r="A97" t="s">
        <v>253</v>
      </c>
      <c r="B97" s="91">
        <v>0.05</v>
      </c>
      <c r="C97" s="91">
        <v>0.1</v>
      </c>
      <c r="D97" s="91">
        <v>0.05</v>
      </c>
      <c r="E97" s="91">
        <v>0.05</v>
      </c>
      <c r="F97" s="91">
        <v>0.35</v>
      </c>
      <c r="G97" s="2">
        <v>0.49843562500000005</v>
      </c>
      <c r="H97" s="2">
        <v>0.026088442628260496</v>
      </c>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row>
    <row r="98" spans="1:85" ht="12.75">
      <c r="A98" t="s">
        <v>255</v>
      </c>
      <c r="B98" s="91"/>
      <c r="C98" s="91">
        <v>0.1</v>
      </c>
      <c r="D98" s="91">
        <v>0.05</v>
      </c>
      <c r="E98" s="91">
        <v>0.5</v>
      </c>
      <c r="F98" s="91"/>
      <c r="G98" s="2">
        <v>0.5725</v>
      </c>
      <c r="H98" s="2">
        <v>0.027492658490240112</v>
      </c>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row>
    <row r="99" spans="1:85" ht="12.75">
      <c r="A99" t="s">
        <v>256</v>
      </c>
      <c r="B99" s="91"/>
      <c r="C99" s="91">
        <v>0.01150830258302583</v>
      </c>
      <c r="D99" s="91">
        <v>0.05797970479704797</v>
      </c>
      <c r="E99" s="91">
        <v>0</v>
      </c>
      <c r="F99" s="91">
        <v>0.04603321033210332</v>
      </c>
      <c r="G99" s="2">
        <v>0.11168592923331766</v>
      </c>
      <c r="H99" s="2">
        <v>0.04182675670717441</v>
      </c>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row>
    <row r="100" spans="1:85" ht="12.75">
      <c r="A100" t="s">
        <v>256</v>
      </c>
      <c r="B100" s="91"/>
      <c r="C100" s="91"/>
      <c r="D100" s="91"/>
      <c r="E100" s="91"/>
      <c r="F100" s="91"/>
      <c r="G100" s="2">
        <v>0</v>
      </c>
      <c r="H100" s="2">
        <v>0</v>
      </c>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row>
    <row r="101" spans="1:85" ht="12.75">
      <c r="A101" t="s">
        <v>104</v>
      </c>
      <c r="B101" s="91"/>
      <c r="C101" s="91">
        <v>0.05</v>
      </c>
      <c r="D101" s="91">
        <v>0.1</v>
      </c>
      <c r="E101" s="91"/>
      <c r="F101" s="91">
        <v>0.2</v>
      </c>
      <c r="G101" s="2">
        <v>0.31599999999999995</v>
      </c>
      <c r="H101" s="2">
        <v>0.07273247232472323</v>
      </c>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row>
    <row r="102" spans="1:85" ht="12.75">
      <c r="A102" t="s">
        <v>44</v>
      </c>
      <c r="B102" s="91"/>
      <c r="C102" s="91"/>
      <c r="D102" s="91">
        <v>0.2</v>
      </c>
      <c r="E102" s="91"/>
      <c r="F102" s="91"/>
      <c r="G102" s="2">
        <v>0.2</v>
      </c>
      <c r="H102" s="2">
        <v>0.0349630996309963</v>
      </c>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row>
    <row r="103" spans="1:85" ht="12.75">
      <c r="A103" t="s">
        <v>175</v>
      </c>
      <c r="B103" s="91"/>
      <c r="C103" s="91"/>
      <c r="D103" s="91"/>
      <c r="E103" s="91"/>
      <c r="F103" s="91"/>
      <c r="G103" s="2">
        <v>0</v>
      </c>
      <c r="H103" s="2">
        <v>0</v>
      </c>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row>
    <row r="104" spans="1:85" ht="12.75">
      <c r="A104" t="s">
        <v>181</v>
      </c>
      <c r="B104" s="2"/>
      <c r="C104" s="2"/>
      <c r="D104" s="2"/>
      <c r="E104" s="2"/>
      <c r="F104" s="2"/>
      <c r="G104" s="2">
        <v>0</v>
      </c>
      <c r="H104" s="2">
        <v>0</v>
      </c>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row>
    <row r="105" spans="1:85" ht="12.75">
      <c r="A105" t="s">
        <v>258</v>
      </c>
      <c r="H105" s="2">
        <v>0.3489997530148269</v>
      </c>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row>
    <row r="106" spans="2:85" ht="12.75">
      <c r="B106" s="17" t="s">
        <v>36</v>
      </c>
      <c r="C106" s="17" t="s">
        <v>37</v>
      </c>
      <c r="D106" s="17" t="s">
        <v>38</v>
      </c>
      <c r="E106" s="17" t="s">
        <v>39</v>
      </c>
      <c r="F106" s="17" t="s">
        <v>40</v>
      </c>
      <c r="H106" s="2"/>
      <c r="I106" s="95" t="s">
        <v>49</v>
      </c>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row>
    <row r="107" spans="1:85" ht="12.75">
      <c r="A107" t="s">
        <v>43</v>
      </c>
      <c r="B107" s="91">
        <f aca="true" t="shared" si="42" ref="B107:F109">B95/$G95/$I107</f>
        <v>-0.1</v>
      </c>
      <c r="C107" s="91">
        <f t="shared" si="42"/>
        <v>0.3</v>
      </c>
      <c r="D107" s="91">
        <f t="shared" si="42"/>
        <v>0.1</v>
      </c>
      <c r="E107" s="91">
        <f t="shared" si="42"/>
        <v>0</v>
      </c>
      <c r="F107" s="91">
        <f t="shared" si="42"/>
        <v>0.7000000000000001</v>
      </c>
      <c r="G107" s="3">
        <f>SUM(B107:F107)</f>
        <v>1</v>
      </c>
      <c r="H107" s="2"/>
      <c r="I107" s="96">
        <v>1.1138803414043246</v>
      </c>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row>
    <row r="108" spans="1:85" ht="12.75">
      <c r="A108" t="s">
        <v>176</v>
      </c>
      <c r="B108" s="91">
        <f t="shared" si="42"/>
        <v>1</v>
      </c>
      <c r="C108" s="91">
        <f t="shared" si="42"/>
        <v>0</v>
      </c>
      <c r="D108" s="91">
        <f t="shared" si="42"/>
        <v>0</v>
      </c>
      <c r="E108" s="91">
        <f t="shared" si="42"/>
        <v>0</v>
      </c>
      <c r="F108" s="91">
        <f t="shared" si="42"/>
        <v>0</v>
      </c>
      <c r="G108" s="3">
        <f>SUM(B108:F108)</f>
        <v>1</v>
      </c>
      <c r="H108" s="2"/>
      <c r="I108" s="96">
        <v>1</v>
      </c>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row>
    <row r="109" spans="1:85" ht="12.75">
      <c r="A109" t="s">
        <v>253</v>
      </c>
      <c r="B109" s="91">
        <f t="shared" si="42"/>
        <v>0.08333333333333334</v>
      </c>
      <c r="C109" s="91">
        <f t="shared" si="42"/>
        <v>0.16666666666666669</v>
      </c>
      <c r="D109" s="91">
        <f t="shared" si="42"/>
        <v>0.08333333333333334</v>
      </c>
      <c r="E109" s="91">
        <f t="shared" si="42"/>
        <v>0.08333333333333334</v>
      </c>
      <c r="F109" s="91">
        <f t="shared" si="42"/>
        <v>0.5833333333333334</v>
      </c>
      <c r="G109" s="3">
        <f>SUM(B109:F109)</f>
        <v>1</v>
      </c>
      <c r="H109" s="2"/>
      <c r="I109" s="96">
        <v>1.203766283760315</v>
      </c>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row>
    <row r="110" spans="1:85" ht="12.75">
      <c r="A110" t="s">
        <v>255</v>
      </c>
      <c r="B110" s="91">
        <f aca="true" t="shared" si="43" ref="B110:F111">B98/$G98/$I110</f>
        <v>0</v>
      </c>
      <c r="C110" s="91">
        <f t="shared" si="43"/>
        <v>0.15384615384615385</v>
      </c>
      <c r="D110" s="91">
        <f t="shared" si="43"/>
        <v>0.07692307692307693</v>
      </c>
      <c r="E110" s="91">
        <f t="shared" si="43"/>
        <v>0.7692307692307693</v>
      </c>
      <c r="F110" s="91">
        <f t="shared" si="43"/>
        <v>0</v>
      </c>
      <c r="G110" s="3">
        <f>SUM(B110:F110)</f>
        <v>1</v>
      </c>
      <c r="H110" s="2"/>
      <c r="I110" s="96">
        <v>1.1353711790393013</v>
      </c>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row>
    <row r="111" spans="1:85" ht="12.75">
      <c r="A111" t="s">
        <v>256</v>
      </c>
      <c r="B111" s="91">
        <f t="shared" si="43"/>
        <v>0</v>
      </c>
      <c r="C111" s="91">
        <f t="shared" si="43"/>
        <v>0.09962068277101219</v>
      </c>
      <c r="D111" s="91">
        <f t="shared" si="43"/>
        <v>0.5018965861449391</v>
      </c>
      <c r="E111" s="91">
        <f t="shared" si="43"/>
        <v>0</v>
      </c>
      <c r="F111" s="91">
        <f t="shared" si="43"/>
        <v>0.39848273108404875</v>
      </c>
      <c r="G111" s="3">
        <f>SUM(B111:F111)</f>
        <v>1</v>
      </c>
      <c r="H111" s="2"/>
      <c r="I111" s="96">
        <v>1.0343399433141425</v>
      </c>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row>
    <row r="112" spans="1:85" ht="12.75">
      <c r="A112" t="s">
        <v>256</v>
      </c>
      <c r="B112" s="91">
        <f>B100/SUM(B$95:B$105)</f>
        <v>0</v>
      </c>
      <c r="C112" s="91">
        <f>C100/SUM(C$95:C$105)</f>
        <v>0</v>
      </c>
      <c r="D112" s="91">
        <f>D100/SUM(D$95:D$105)</f>
        <v>0</v>
      </c>
      <c r="E112" s="91">
        <f>E100/SUM(E$95:E$105)</f>
        <v>0</v>
      </c>
      <c r="F112" s="91">
        <f>F100/SUM(F$95:F$105)</f>
        <v>0</v>
      </c>
      <c r="G112" s="3"/>
      <c r="H112" s="2"/>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row>
    <row r="113" spans="1:85" ht="12.75">
      <c r="A113" t="s">
        <v>104</v>
      </c>
      <c r="B113" s="91">
        <f>B101/$G101/$I113</f>
        <v>0</v>
      </c>
      <c r="C113" s="91">
        <f aca="true" t="shared" si="44" ref="C113:F114">C101/$G101/$I113</f>
        <v>0.14285714285714288</v>
      </c>
      <c r="D113" s="91">
        <f t="shared" si="44"/>
        <v>0.28571428571428575</v>
      </c>
      <c r="E113" s="91">
        <f t="shared" si="44"/>
        <v>0</v>
      </c>
      <c r="F113" s="91">
        <f t="shared" si="44"/>
        <v>0.5714285714285715</v>
      </c>
      <c r="G113" s="3">
        <f>SUM(B113:F113)</f>
        <v>1</v>
      </c>
      <c r="I113" s="96">
        <v>1.1075949367088609</v>
      </c>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row>
    <row r="114" spans="1:85" ht="12.75">
      <c r="A114" t="s">
        <v>44</v>
      </c>
      <c r="B114" s="91">
        <f>B102/$G102/$I114</f>
        <v>0</v>
      </c>
      <c r="C114" s="91">
        <f t="shared" si="44"/>
        <v>0</v>
      </c>
      <c r="D114" s="91">
        <f t="shared" si="44"/>
        <v>1</v>
      </c>
      <c r="E114" s="91">
        <f t="shared" si="44"/>
        <v>0</v>
      </c>
      <c r="F114" s="91">
        <f t="shared" si="44"/>
        <v>0</v>
      </c>
      <c r="G114" s="3">
        <f>SUM(B114:F114)</f>
        <v>1</v>
      </c>
      <c r="I114" s="96">
        <v>1</v>
      </c>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row>
    <row r="115" spans="1:85" ht="12.75">
      <c r="A115" t="s">
        <v>175</v>
      </c>
      <c r="B115" s="91">
        <f aca="true" t="shared" si="45" ref="B115:F117">B103/SUM(B$95:B$105)</f>
        <v>0</v>
      </c>
      <c r="C115" s="91">
        <f t="shared" si="45"/>
        <v>0</v>
      </c>
      <c r="D115" s="91">
        <f t="shared" si="45"/>
        <v>0</v>
      </c>
      <c r="E115" s="91">
        <f t="shared" si="45"/>
        <v>0</v>
      </c>
      <c r="F115" s="91">
        <f t="shared" si="45"/>
        <v>0</v>
      </c>
      <c r="G115" s="3"/>
      <c r="H115" s="2"/>
      <c r="I115" s="96">
        <v>1</v>
      </c>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row>
    <row r="116" spans="1:85" ht="12.75">
      <c r="A116" t="s">
        <v>181</v>
      </c>
      <c r="B116" s="91">
        <f t="shared" si="45"/>
        <v>0</v>
      </c>
      <c r="C116" s="91">
        <f t="shared" si="45"/>
        <v>0</v>
      </c>
      <c r="D116" s="91">
        <f t="shared" si="45"/>
        <v>0</v>
      </c>
      <c r="E116" s="91">
        <f t="shared" si="45"/>
        <v>0</v>
      </c>
      <c r="F116" s="91">
        <f t="shared" si="45"/>
        <v>0</v>
      </c>
      <c r="G116" s="3"/>
      <c r="H116" s="2"/>
      <c r="I116" s="96">
        <v>1</v>
      </c>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row>
    <row r="117" spans="1:85" ht="12.75">
      <c r="A117" t="s">
        <v>258</v>
      </c>
      <c r="B117" s="91">
        <f t="shared" si="45"/>
        <v>0</v>
      </c>
      <c r="C117" s="91">
        <f t="shared" si="45"/>
        <v>0</v>
      </c>
      <c r="D117" s="91">
        <f t="shared" si="45"/>
        <v>0</v>
      </c>
      <c r="E117" s="91">
        <f t="shared" si="45"/>
        <v>0</v>
      </c>
      <c r="F117" s="91">
        <f t="shared" si="45"/>
        <v>0</v>
      </c>
      <c r="G117" s="3"/>
      <c r="H117" s="2"/>
      <c r="I117" s="96">
        <v>1</v>
      </c>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row>
    <row r="118" spans="8:85" ht="12.75">
      <c r="H118" s="2"/>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row>
    <row r="119" spans="5:85" ht="12.75">
      <c r="E119" s="2">
        <f>D113/(D113+D114)</f>
        <v>0.22222222222222224</v>
      </c>
      <c r="F119" s="92" t="s">
        <v>45</v>
      </c>
      <c r="H119" s="2"/>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c r="BO119" s="64"/>
      <c r="BP119" s="64"/>
      <c r="BQ119" s="64"/>
      <c r="BR119" s="64"/>
      <c r="BS119" s="64"/>
      <c r="BT119" s="64"/>
      <c r="BU119" s="64"/>
      <c r="BV119" s="64"/>
      <c r="BW119" s="64"/>
      <c r="BX119" s="64"/>
      <c r="BY119" s="64"/>
      <c r="BZ119" s="64"/>
      <c r="CA119" s="64"/>
      <c r="CB119" s="64"/>
      <c r="CC119" s="64"/>
      <c r="CD119" s="64"/>
      <c r="CE119" s="64"/>
      <c r="CF119" s="64"/>
      <c r="CG119" s="64"/>
    </row>
    <row r="120" spans="5:85" ht="12.75">
      <c r="E120" s="2"/>
      <c r="F120" s="92" t="s">
        <v>46</v>
      </c>
      <c r="H120" s="2"/>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4"/>
      <c r="BR120" s="64"/>
      <c r="BS120" s="64"/>
      <c r="BT120" s="64"/>
      <c r="BU120" s="64"/>
      <c r="BV120" s="64"/>
      <c r="BW120" s="64"/>
      <c r="BX120" s="64"/>
      <c r="BY120" s="64"/>
      <c r="BZ120" s="64"/>
      <c r="CA120" s="64"/>
      <c r="CB120" s="64"/>
      <c r="CC120" s="64"/>
      <c r="CD120" s="64"/>
      <c r="CE120" s="64"/>
      <c r="CF120" s="64"/>
      <c r="CG120" s="64"/>
    </row>
    <row r="121" spans="13:85" ht="12.75">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4"/>
      <c r="CE121" s="64"/>
      <c r="CF121" s="64"/>
      <c r="CG121" s="64"/>
    </row>
    <row r="122" spans="1:85" ht="12.75">
      <c r="A122" t="s">
        <v>47</v>
      </c>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c r="BL122" s="64"/>
      <c r="BM122" s="64"/>
      <c r="BN122" s="64"/>
      <c r="BO122" s="64"/>
      <c r="BP122" s="64"/>
      <c r="BQ122" s="64"/>
      <c r="BR122" s="64"/>
      <c r="BS122" s="64"/>
      <c r="BT122" s="64"/>
      <c r="BU122" s="64"/>
      <c r="BV122" s="64"/>
      <c r="BW122" s="64"/>
      <c r="BX122" s="64"/>
      <c r="BY122" s="64"/>
      <c r="BZ122" s="64"/>
      <c r="CA122" s="64"/>
      <c r="CB122" s="64"/>
      <c r="CC122" s="64"/>
      <c r="CD122" s="64"/>
      <c r="CE122" s="64"/>
      <c r="CF122" s="64"/>
      <c r="CG122" s="64"/>
    </row>
    <row r="123" spans="1:85" ht="12.75">
      <c r="A123" t="s">
        <v>35</v>
      </c>
      <c r="B123" t="s">
        <v>36</v>
      </c>
      <c r="C123" t="s">
        <v>37</v>
      </c>
      <c r="D123" t="s">
        <v>38</v>
      </c>
      <c r="E123" t="s">
        <v>39</v>
      </c>
      <c r="F123" t="s">
        <v>40</v>
      </c>
      <c r="G123" t="s">
        <v>48</v>
      </c>
      <c r="H123" t="s">
        <v>49</v>
      </c>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c r="BL123" s="64"/>
      <c r="BM123" s="64"/>
      <c r="BN123" s="64"/>
      <c r="BO123" s="64"/>
      <c r="BP123" s="64"/>
      <c r="BQ123" s="64"/>
      <c r="BR123" s="64"/>
      <c r="BS123" s="64"/>
      <c r="BT123" s="64"/>
      <c r="BU123" s="64"/>
      <c r="BV123" s="64"/>
      <c r="BW123" s="64"/>
      <c r="BX123" s="64"/>
      <c r="BY123" s="64"/>
      <c r="BZ123" s="64"/>
      <c r="CA123" s="64"/>
      <c r="CB123" s="64"/>
      <c r="CC123" s="64"/>
      <c r="CD123" s="64"/>
      <c r="CE123" s="64"/>
      <c r="CF123" s="64"/>
      <c r="CG123" s="64"/>
    </row>
    <row r="124" spans="1:85" ht="12.75">
      <c r="A124" t="s">
        <v>43</v>
      </c>
      <c r="B124" s="2">
        <v>-0.1</v>
      </c>
      <c r="C124" s="2">
        <v>0.3</v>
      </c>
      <c r="D124" s="2">
        <v>0.1</v>
      </c>
      <c r="E124" s="2">
        <v>0</v>
      </c>
      <c r="F124" s="2">
        <v>0.7</v>
      </c>
      <c r="G124" s="2">
        <v>1</v>
      </c>
      <c r="H124" s="2">
        <v>1.1138803414043246</v>
      </c>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c r="BL124" s="64"/>
      <c r="BM124" s="64"/>
      <c r="BN124" s="64"/>
      <c r="BO124" s="64"/>
      <c r="BP124" s="64"/>
      <c r="BQ124" s="64"/>
      <c r="BR124" s="64"/>
      <c r="BS124" s="64"/>
      <c r="BT124" s="64"/>
      <c r="BU124" s="64"/>
      <c r="BV124" s="64"/>
      <c r="BW124" s="64"/>
      <c r="BX124" s="64"/>
      <c r="BY124" s="64"/>
      <c r="BZ124" s="64"/>
      <c r="CA124" s="64"/>
      <c r="CB124" s="64"/>
      <c r="CC124" s="64"/>
      <c r="CD124" s="64"/>
      <c r="CE124" s="64"/>
      <c r="CF124" s="64"/>
      <c r="CG124" s="64"/>
    </row>
    <row r="125" spans="1:85" ht="12.75">
      <c r="A125" t="s">
        <v>176</v>
      </c>
      <c r="B125" s="2">
        <v>1</v>
      </c>
      <c r="C125" s="2">
        <v>0</v>
      </c>
      <c r="D125" s="2">
        <v>0</v>
      </c>
      <c r="E125" s="2">
        <v>0</v>
      </c>
      <c r="F125" s="2">
        <v>0</v>
      </c>
      <c r="G125" s="2">
        <v>1</v>
      </c>
      <c r="H125" s="2">
        <v>1</v>
      </c>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64"/>
      <c r="BR125" s="64"/>
      <c r="BS125" s="64"/>
      <c r="BT125" s="64"/>
      <c r="BU125" s="64"/>
      <c r="BV125" s="64"/>
      <c r="BW125" s="64"/>
      <c r="BX125" s="64"/>
      <c r="BY125" s="64"/>
      <c r="BZ125" s="64"/>
      <c r="CA125" s="64"/>
      <c r="CB125" s="64"/>
      <c r="CC125" s="64"/>
      <c r="CD125" s="64"/>
      <c r="CE125" s="64"/>
      <c r="CF125" s="64"/>
      <c r="CG125" s="64"/>
    </row>
    <row r="126" spans="1:85" ht="12.75">
      <c r="A126" t="s">
        <v>253</v>
      </c>
      <c r="B126" s="2">
        <v>0.08333333333333334</v>
      </c>
      <c r="C126" s="2">
        <v>0.16666666666666669</v>
      </c>
      <c r="D126" s="2">
        <v>0.08333333333333334</v>
      </c>
      <c r="E126" s="2">
        <v>0.08333333333333334</v>
      </c>
      <c r="F126" s="2">
        <v>0.5833333333333334</v>
      </c>
      <c r="G126" s="2">
        <v>1</v>
      </c>
      <c r="H126" s="2">
        <v>1.203766283760315</v>
      </c>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4"/>
      <c r="BO126" s="64"/>
      <c r="BP126" s="64"/>
      <c r="BQ126" s="64"/>
      <c r="BR126" s="64"/>
      <c r="BS126" s="64"/>
      <c r="BT126" s="64"/>
      <c r="BU126" s="64"/>
      <c r="BV126" s="64"/>
      <c r="BW126" s="64"/>
      <c r="BX126" s="64"/>
      <c r="BY126" s="64"/>
      <c r="BZ126" s="64"/>
      <c r="CA126" s="64"/>
      <c r="CB126" s="64"/>
      <c r="CC126" s="64"/>
      <c r="CD126" s="64"/>
      <c r="CE126" s="64"/>
      <c r="CF126" s="64"/>
      <c r="CG126" s="64"/>
    </row>
    <row r="127" spans="1:85" ht="12.75">
      <c r="A127" t="s">
        <v>255</v>
      </c>
      <c r="B127" s="2">
        <v>0</v>
      </c>
      <c r="C127" s="2">
        <v>0.15384615384615385</v>
      </c>
      <c r="D127" s="2">
        <v>0.07692307692307693</v>
      </c>
      <c r="E127" s="2">
        <v>0.7692307692307693</v>
      </c>
      <c r="F127" s="2">
        <v>0</v>
      </c>
      <c r="G127" s="2">
        <v>1</v>
      </c>
      <c r="H127" s="2">
        <v>1.1353711790393013</v>
      </c>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c r="BL127" s="64"/>
      <c r="BM127" s="64"/>
      <c r="BN127" s="64"/>
      <c r="BO127" s="64"/>
      <c r="BP127" s="64"/>
      <c r="BQ127" s="64"/>
      <c r="BR127" s="64"/>
      <c r="BS127" s="64"/>
      <c r="BT127" s="64"/>
      <c r="BU127" s="64"/>
      <c r="BV127" s="64"/>
      <c r="BW127" s="64"/>
      <c r="BX127" s="64"/>
      <c r="BY127" s="64"/>
      <c r="BZ127" s="64"/>
      <c r="CA127" s="64"/>
      <c r="CB127" s="64"/>
      <c r="CC127" s="64"/>
      <c r="CD127" s="64"/>
      <c r="CE127" s="64"/>
      <c r="CF127" s="64"/>
      <c r="CG127" s="64"/>
    </row>
    <row r="128" spans="1:85" ht="12.75">
      <c r="A128" t="s">
        <v>256</v>
      </c>
      <c r="B128" s="2">
        <v>0</v>
      </c>
      <c r="C128" s="2">
        <v>0.09962068277101219</v>
      </c>
      <c r="D128" s="2">
        <v>0.5018965861449391</v>
      </c>
      <c r="E128" s="2">
        <v>0</v>
      </c>
      <c r="F128" s="2">
        <v>0.39848273108404875</v>
      </c>
      <c r="G128" s="2">
        <v>1</v>
      </c>
      <c r="H128" s="2">
        <v>1.0343399433141425</v>
      </c>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4"/>
      <c r="BO128" s="64"/>
      <c r="BP128" s="64"/>
      <c r="BQ128" s="64"/>
      <c r="BR128" s="64"/>
      <c r="BS128" s="64"/>
      <c r="BT128" s="64"/>
      <c r="BU128" s="64"/>
      <c r="BV128" s="64"/>
      <c r="BW128" s="64"/>
      <c r="BX128" s="64"/>
      <c r="BY128" s="64"/>
      <c r="BZ128" s="64"/>
      <c r="CA128" s="64"/>
      <c r="CB128" s="64"/>
      <c r="CC128" s="64"/>
      <c r="CD128" s="64"/>
      <c r="CE128" s="64"/>
      <c r="CF128" s="64"/>
      <c r="CG128" s="64"/>
    </row>
    <row r="129" spans="13:85" ht="12.75">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c r="BO129" s="64"/>
      <c r="BP129" s="64"/>
      <c r="BQ129" s="64"/>
      <c r="BR129" s="64"/>
      <c r="BS129" s="64"/>
      <c r="BT129" s="64"/>
      <c r="BU129" s="64"/>
      <c r="BV129" s="64"/>
      <c r="BW129" s="64"/>
      <c r="BX129" s="64"/>
      <c r="BY129" s="64"/>
      <c r="BZ129" s="64"/>
      <c r="CA129" s="64"/>
      <c r="CB129" s="64"/>
      <c r="CC129" s="64"/>
      <c r="CD129" s="64"/>
      <c r="CE129" s="64"/>
      <c r="CF129" s="64"/>
      <c r="CG129" s="64"/>
    </row>
    <row r="130" spans="13:85" ht="12.75">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c r="BL130" s="64"/>
      <c r="BM130" s="64"/>
      <c r="BN130" s="64"/>
      <c r="BO130" s="64"/>
      <c r="BP130" s="64"/>
      <c r="BQ130" s="64"/>
      <c r="BR130" s="64"/>
      <c r="BS130" s="64"/>
      <c r="BT130" s="64"/>
      <c r="BU130" s="64"/>
      <c r="BV130" s="64"/>
      <c r="BW130" s="64"/>
      <c r="BX130" s="64"/>
      <c r="BY130" s="64"/>
      <c r="BZ130" s="64"/>
      <c r="CA130" s="64"/>
      <c r="CB130" s="64"/>
      <c r="CC130" s="64"/>
      <c r="CD130" s="64"/>
      <c r="CE130" s="64"/>
      <c r="CF130" s="64"/>
      <c r="CG130" s="64"/>
    </row>
    <row r="131" spans="13:85" ht="12.75">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c r="BL131" s="64"/>
      <c r="BM131" s="64"/>
      <c r="BN131" s="64"/>
      <c r="BO131" s="64"/>
      <c r="BP131" s="64"/>
      <c r="BQ131" s="64"/>
      <c r="BR131" s="64"/>
      <c r="BS131" s="64"/>
      <c r="BT131" s="64"/>
      <c r="BU131" s="64"/>
      <c r="BV131" s="64"/>
      <c r="BW131" s="64"/>
      <c r="BX131" s="64"/>
      <c r="BY131" s="64"/>
      <c r="BZ131" s="64"/>
      <c r="CA131" s="64"/>
      <c r="CB131" s="64"/>
      <c r="CC131" s="64"/>
      <c r="CD131" s="64"/>
      <c r="CE131" s="64"/>
      <c r="CF131" s="64"/>
      <c r="CG131" s="64"/>
    </row>
    <row r="132" spans="13:85" ht="12.75">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c r="BL132" s="64"/>
      <c r="BM132" s="64"/>
      <c r="BN132" s="64"/>
      <c r="BO132" s="64"/>
      <c r="BP132" s="64"/>
      <c r="BQ132" s="64"/>
      <c r="BR132" s="64"/>
      <c r="BS132" s="64"/>
      <c r="BT132" s="64"/>
      <c r="BU132" s="64"/>
      <c r="BV132" s="64"/>
      <c r="BW132" s="64"/>
      <c r="BX132" s="64"/>
      <c r="BY132" s="64"/>
      <c r="BZ132" s="64"/>
      <c r="CA132" s="64"/>
      <c r="CB132" s="64"/>
      <c r="CC132" s="64"/>
      <c r="CD132" s="64"/>
      <c r="CE132" s="64"/>
      <c r="CF132" s="64"/>
      <c r="CG132" s="64"/>
    </row>
    <row r="133" spans="13:85" ht="12.75">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c r="BL133" s="64"/>
      <c r="BM133" s="64"/>
      <c r="BN133" s="64"/>
      <c r="BO133" s="64"/>
      <c r="BP133" s="64"/>
      <c r="BQ133" s="64"/>
      <c r="BR133" s="64"/>
      <c r="BS133" s="64"/>
      <c r="BT133" s="64"/>
      <c r="BU133" s="64"/>
      <c r="BV133" s="64"/>
      <c r="BW133" s="64"/>
      <c r="BX133" s="64"/>
      <c r="BY133" s="64"/>
      <c r="BZ133" s="64"/>
      <c r="CA133" s="64"/>
      <c r="CB133" s="64"/>
      <c r="CC133" s="64"/>
      <c r="CD133" s="64"/>
      <c r="CE133" s="64"/>
      <c r="CF133" s="64"/>
      <c r="CG133" s="64"/>
    </row>
    <row r="134" spans="13:85" ht="12.75">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64"/>
      <c r="BY134" s="64"/>
      <c r="BZ134" s="64"/>
      <c r="CA134" s="64"/>
      <c r="CB134" s="64"/>
      <c r="CC134" s="64"/>
      <c r="CD134" s="64"/>
      <c r="CE134" s="64"/>
      <c r="CF134" s="64"/>
      <c r="CG134" s="64"/>
    </row>
    <row r="135" spans="13:85" ht="12.75">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c r="BS135" s="64"/>
      <c r="BT135" s="64"/>
      <c r="BU135" s="64"/>
      <c r="BV135" s="64"/>
      <c r="BW135" s="64"/>
      <c r="BX135" s="64"/>
      <c r="BY135" s="64"/>
      <c r="BZ135" s="64"/>
      <c r="CA135" s="64"/>
      <c r="CB135" s="64"/>
      <c r="CC135" s="64"/>
      <c r="CD135" s="64"/>
      <c r="CE135" s="64"/>
      <c r="CF135" s="64"/>
      <c r="CG135" s="64"/>
    </row>
    <row r="136" spans="1:85" ht="12.75">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c r="BS136" s="64"/>
      <c r="BT136" s="64"/>
      <c r="BU136" s="64"/>
      <c r="BV136" s="64"/>
      <c r="BW136" s="64"/>
      <c r="BX136" s="64"/>
      <c r="BY136" s="64"/>
      <c r="BZ136" s="64"/>
      <c r="CA136" s="64"/>
      <c r="CB136" s="64"/>
      <c r="CC136" s="64"/>
      <c r="CD136" s="64"/>
      <c r="CE136" s="64"/>
      <c r="CF136" s="64"/>
      <c r="CG136" s="64"/>
    </row>
    <row r="137" spans="1:85" ht="12.75">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c r="BS137" s="64"/>
      <c r="BT137" s="64"/>
      <c r="BU137" s="64"/>
      <c r="BV137" s="64"/>
      <c r="BW137" s="64"/>
      <c r="BX137" s="64"/>
      <c r="BY137" s="64"/>
      <c r="BZ137" s="64"/>
      <c r="CA137" s="64"/>
      <c r="CB137" s="64"/>
      <c r="CC137" s="64"/>
      <c r="CD137" s="64"/>
      <c r="CE137" s="64"/>
      <c r="CF137" s="64"/>
      <c r="CG137" s="64"/>
    </row>
    <row r="138" spans="1:85" ht="12.75">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c r="BS138" s="64"/>
      <c r="BT138" s="64"/>
      <c r="BU138" s="64"/>
      <c r="BV138" s="64"/>
      <c r="BW138" s="64"/>
      <c r="BX138" s="64"/>
      <c r="BY138" s="64"/>
      <c r="BZ138" s="64"/>
      <c r="CA138" s="64"/>
      <c r="CB138" s="64"/>
      <c r="CC138" s="64"/>
      <c r="CD138" s="64"/>
      <c r="CE138" s="64"/>
      <c r="CF138" s="64"/>
      <c r="CG138" s="64"/>
    </row>
    <row r="139" spans="1:85" ht="12.75">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CC139" s="64"/>
      <c r="CD139" s="64"/>
      <c r="CE139" s="64"/>
      <c r="CF139" s="64"/>
      <c r="CG139" s="64"/>
    </row>
    <row r="140" spans="1:85" ht="12.75">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row>
    <row r="141" spans="1:85" ht="12.75">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64"/>
      <c r="CA141" s="64"/>
      <c r="CB141" s="64"/>
      <c r="CC141" s="64"/>
      <c r="CD141" s="64"/>
      <c r="CE141" s="64"/>
      <c r="CF141" s="64"/>
      <c r="CG141" s="64"/>
    </row>
    <row r="142" spans="1:85" ht="12.75">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c r="CD142" s="64"/>
      <c r="CE142" s="64"/>
      <c r="CF142" s="64"/>
      <c r="CG142" s="64"/>
    </row>
    <row r="143" spans="1:85" ht="12.75">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row>
    <row r="144" spans="1:85" ht="12.75">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c r="BS144" s="64"/>
      <c r="BT144" s="64"/>
      <c r="BU144" s="64"/>
      <c r="BV144" s="64"/>
      <c r="BW144" s="64"/>
      <c r="BX144" s="64"/>
      <c r="BY144" s="64"/>
      <c r="BZ144" s="64"/>
      <c r="CA144" s="64"/>
      <c r="CB144" s="64"/>
      <c r="CC144" s="64"/>
      <c r="CD144" s="64"/>
      <c r="CE144" s="64"/>
      <c r="CF144" s="64"/>
      <c r="CG144" s="64"/>
    </row>
    <row r="145" spans="1:85" ht="12.75">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c r="BS145" s="64"/>
      <c r="BT145" s="64"/>
      <c r="BU145" s="64"/>
      <c r="BV145" s="64"/>
      <c r="BW145" s="64"/>
      <c r="BX145" s="64"/>
      <c r="BY145" s="64"/>
      <c r="BZ145" s="64"/>
      <c r="CA145" s="64"/>
      <c r="CB145" s="64"/>
      <c r="CC145" s="64"/>
      <c r="CD145" s="64"/>
      <c r="CE145" s="64"/>
      <c r="CF145" s="64"/>
      <c r="CG145" s="64"/>
    </row>
    <row r="146" spans="1:85" ht="12.75">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c r="BS146" s="64"/>
      <c r="BT146" s="64"/>
      <c r="BU146" s="64"/>
      <c r="BV146" s="64"/>
      <c r="BW146" s="64"/>
      <c r="BX146" s="64"/>
      <c r="BY146" s="64"/>
      <c r="BZ146" s="64"/>
      <c r="CA146" s="64"/>
      <c r="CB146" s="64"/>
      <c r="CC146" s="64"/>
      <c r="CD146" s="64"/>
      <c r="CE146" s="64"/>
      <c r="CF146" s="64"/>
      <c r="CG146" s="64"/>
    </row>
    <row r="147" spans="1:85" ht="12.75">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c r="BS147" s="64"/>
      <c r="BT147" s="64"/>
      <c r="BU147" s="64"/>
      <c r="BV147" s="64"/>
      <c r="BW147" s="64"/>
      <c r="BX147" s="64"/>
      <c r="BY147" s="64"/>
      <c r="BZ147" s="64"/>
      <c r="CA147" s="64"/>
      <c r="CB147" s="64"/>
      <c r="CC147" s="64"/>
      <c r="CD147" s="64"/>
      <c r="CE147" s="64"/>
      <c r="CF147" s="64"/>
      <c r="CG147" s="64"/>
    </row>
    <row r="148" spans="1:85" ht="12.75">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c r="BS148" s="64"/>
      <c r="BT148" s="64"/>
      <c r="BU148" s="64"/>
      <c r="BV148" s="64"/>
      <c r="BW148" s="64"/>
      <c r="BX148" s="64"/>
      <c r="BY148" s="64"/>
      <c r="BZ148" s="64"/>
      <c r="CA148" s="64"/>
      <c r="CB148" s="64"/>
      <c r="CC148" s="64"/>
      <c r="CD148" s="64"/>
      <c r="CE148" s="64"/>
      <c r="CF148" s="64"/>
      <c r="CG148" s="64"/>
    </row>
    <row r="149" spans="1:85" ht="12.75">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c r="BS149" s="64"/>
      <c r="BT149" s="64"/>
      <c r="BU149" s="64"/>
      <c r="BV149" s="64"/>
      <c r="BW149" s="64"/>
      <c r="BX149" s="64"/>
      <c r="BY149" s="64"/>
      <c r="BZ149" s="64"/>
      <c r="CA149" s="64"/>
      <c r="CB149" s="64"/>
      <c r="CC149" s="64"/>
      <c r="CD149" s="64"/>
      <c r="CE149" s="64"/>
      <c r="CF149" s="64"/>
      <c r="CG149" s="64"/>
    </row>
    <row r="150" spans="1:85" ht="12.75">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4"/>
      <c r="BQ150" s="64"/>
      <c r="BR150" s="64"/>
      <c r="BS150" s="64"/>
      <c r="BT150" s="64"/>
      <c r="BU150" s="64"/>
      <c r="BV150" s="64"/>
      <c r="BW150" s="64"/>
      <c r="BX150" s="64"/>
      <c r="BY150" s="64"/>
      <c r="BZ150" s="64"/>
      <c r="CA150" s="64"/>
      <c r="CB150" s="64"/>
      <c r="CC150" s="64"/>
      <c r="CD150" s="64"/>
      <c r="CE150" s="64"/>
      <c r="CF150" s="64"/>
      <c r="CG150" s="64"/>
    </row>
    <row r="151" spans="1:85" ht="12.75">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4"/>
      <c r="BQ151" s="64"/>
      <c r="BR151" s="64"/>
      <c r="BS151" s="64"/>
      <c r="BT151" s="64"/>
      <c r="BU151" s="64"/>
      <c r="BV151" s="64"/>
      <c r="BW151" s="64"/>
      <c r="BX151" s="64"/>
      <c r="BY151" s="64"/>
      <c r="BZ151" s="64"/>
      <c r="CA151" s="64"/>
      <c r="CB151" s="64"/>
      <c r="CC151" s="64"/>
      <c r="CD151" s="64"/>
      <c r="CE151" s="64"/>
      <c r="CF151" s="64"/>
      <c r="CG151" s="64"/>
    </row>
    <row r="152" spans="1:85" ht="12.75">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c r="BS152" s="64"/>
      <c r="BT152" s="64"/>
      <c r="BU152" s="64"/>
      <c r="BV152" s="64"/>
      <c r="BW152" s="64"/>
      <c r="BX152" s="64"/>
      <c r="BY152" s="64"/>
      <c r="BZ152" s="64"/>
      <c r="CA152" s="64"/>
      <c r="CB152" s="64"/>
      <c r="CC152" s="64"/>
      <c r="CD152" s="64"/>
      <c r="CE152" s="64"/>
      <c r="CF152" s="64"/>
      <c r="CG152" s="64"/>
    </row>
    <row r="153" spans="1:85" ht="12.75">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4"/>
      <c r="BQ153" s="64"/>
      <c r="BR153" s="64"/>
      <c r="BS153" s="64"/>
      <c r="BT153" s="64"/>
      <c r="BU153" s="64"/>
      <c r="BV153" s="64"/>
      <c r="BW153" s="64"/>
      <c r="BX153" s="64"/>
      <c r="BY153" s="64"/>
      <c r="BZ153" s="64"/>
      <c r="CA153" s="64"/>
      <c r="CB153" s="64"/>
      <c r="CC153" s="64"/>
      <c r="CD153" s="64"/>
      <c r="CE153" s="64"/>
      <c r="CF153" s="64"/>
      <c r="CG153" s="64"/>
    </row>
    <row r="154" spans="1:85" ht="12.75">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c r="BI154" s="64"/>
      <c r="BJ154" s="64"/>
      <c r="BK154" s="64"/>
      <c r="BL154" s="64"/>
      <c r="BM154" s="64"/>
      <c r="BN154" s="64"/>
      <c r="BO154" s="64"/>
      <c r="BP154" s="64"/>
      <c r="BQ154" s="64"/>
      <c r="BR154" s="64"/>
      <c r="BS154" s="64"/>
      <c r="BT154" s="64"/>
      <c r="BU154" s="64"/>
      <c r="BV154" s="64"/>
      <c r="BW154" s="64"/>
      <c r="BX154" s="64"/>
      <c r="BY154" s="64"/>
      <c r="BZ154" s="64"/>
      <c r="CA154" s="64"/>
      <c r="CB154" s="64"/>
      <c r="CC154" s="64"/>
      <c r="CD154" s="64"/>
      <c r="CE154" s="64"/>
      <c r="CF154" s="64"/>
      <c r="CG154" s="64"/>
    </row>
    <row r="155" spans="1:85" ht="12.75">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c r="BI155" s="64"/>
      <c r="BJ155" s="64"/>
      <c r="BK155" s="64"/>
      <c r="BL155" s="64"/>
      <c r="BM155" s="64"/>
      <c r="BN155" s="64"/>
      <c r="BO155" s="64"/>
      <c r="BP155" s="64"/>
      <c r="BQ155" s="64"/>
      <c r="BR155" s="64"/>
      <c r="BS155" s="64"/>
      <c r="BT155" s="64"/>
      <c r="BU155" s="64"/>
      <c r="BV155" s="64"/>
      <c r="BW155" s="64"/>
      <c r="BX155" s="64"/>
      <c r="BY155" s="64"/>
      <c r="BZ155" s="64"/>
      <c r="CA155" s="64"/>
      <c r="CB155" s="64"/>
      <c r="CC155" s="64"/>
      <c r="CD155" s="64"/>
      <c r="CE155" s="64"/>
      <c r="CF155" s="64"/>
      <c r="CG155" s="64"/>
    </row>
    <row r="156" spans="1:85" ht="12.75">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c r="BP156" s="64"/>
      <c r="BQ156" s="64"/>
      <c r="BR156" s="64"/>
      <c r="BS156" s="64"/>
      <c r="BT156" s="64"/>
      <c r="BU156" s="64"/>
      <c r="BV156" s="64"/>
      <c r="BW156" s="64"/>
      <c r="BX156" s="64"/>
      <c r="BY156" s="64"/>
      <c r="BZ156" s="64"/>
      <c r="CA156" s="64"/>
      <c r="CB156" s="64"/>
      <c r="CC156" s="64"/>
      <c r="CD156" s="64"/>
      <c r="CE156" s="64"/>
      <c r="CF156" s="64"/>
      <c r="CG156" s="64"/>
    </row>
    <row r="157" spans="1:85" ht="12.75">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4"/>
      <c r="BQ157" s="64"/>
      <c r="BR157" s="64"/>
      <c r="BS157" s="64"/>
      <c r="BT157" s="64"/>
      <c r="BU157" s="64"/>
      <c r="BV157" s="64"/>
      <c r="BW157" s="64"/>
      <c r="BX157" s="64"/>
      <c r="BY157" s="64"/>
      <c r="BZ157" s="64"/>
      <c r="CA157" s="64"/>
      <c r="CB157" s="64"/>
      <c r="CC157" s="64"/>
      <c r="CD157" s="64"/>
      <c r="CE157" s="64"/>
      <c r="CF157" s="64"/>
      <c r="CG157" s="64"/>
    </row>
    <row r="158" spans="1:85" ht="12.75">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c r="BS158" s="64"/>
      <c r="BT158" s="64"/>
      <c r="BU158" s="64"/>
      <c r="BV158" s="64"/>
      <c r="BW158" s="64"/>
      <c r="BX158" s="64"/>
      <c r="BY158" s="64"/>
      <c r="BZ158" s="64"/>
      <c r="CA158" s="64"/>
      <c r="CB158" s="64"/>
      <c r="CC158" s="64"/>
      <c r="CD158" s="64"/>
      <c r="CE158" s="64"/>
      <c r="CF158" s="64"/>
      <c r="CG158" s="64"/>
    </row>
    <row r="159" spans="1:85" ht="12.75">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4"/>
      <c r="BQ159" s="64"/>
      <c r="BR159" s="64"/>
      <c r="BS159" s="64"/>
      <c r="BT159" s="64"/>
      <c r="BU159" s="64"/>
      <c r="BV159" s="64"/>
      <c r="BW159" s="64"/>
      <c r="BX159" s="64"/>
      <c r="BY159" s="64"/>
      <c r="BZ159" s="64"/>
      <c r="CA159" s="64"/>
      <c r="CB159" s="64"/>
      <c r="CC159" s="64"/>
      <c r="CD159" s="64"/>
      <c r="CE159" s="64"/>
      <c r="CF159" s="64"/>
      <c r="CG159" s="64"/>
    </row>
    <row r="160" spans="1:85" ht="12.75">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c r="BS160" s="64"/>
      <c r="BT160" s="64"/>
      <c r="BU160" s="64"/>
      <c r="BV160" s="64"/>
      <c r="BW160" s="64"/>
      <c r="BX160" s="64"/>
      <c r="BY160" s="64"/>
      <c r="BZ160" s="64"/>
      <c r="CA160" s="64"/>
      <c r="CB160" s="64"/>
      <c r="CC160" s="64"/>
      <c r="CD160" s="64"/>
      <c r="CE160" s="64"/>
      <c r="CF160" s="64"/>
      <c r="CG160" s="64"/>
    </row>
    <row r="161" spans="1:85" ht="12.75">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c r="BN161" s="64"/>
      <c r="BO161" s="64"/>
      <c r="BP161" s="64"/>
      <c r="BQ161" s="64"/>
      <c r="BR161" s="64"/>
      <c r="BS161" s="64"/>
      <c r="BT161" s="64"/>
      <c r="BU161" s="64"/>
      <c r="BV161" s="64"/>
      <c r="BW161" s="64"/>
      <c r="BX161" s="64"/>
      <c r="BY161" s="64"/>
      <c r="BZ161" s="64"/>
      <c r="CA161" s="64"/>
      <c r="CB161" s="64"/>
      <c r="CC161" s="64"/>
      <c r="CD161" s="64"/>
      <c r="CE161" s="64"/>
      <c r="CF161" s="64"/>
      <c r="CG161" s="64"/>
    </row>
    <row r="162" spans="1:85" ht="12.75">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c r="BS162" s="64"/>
      <c r="BT162" s="64"/>
      <c r="BU162" s="64"/>
      <c r="BV162" s="64"/>
      <c r="BW162" s="64"/>
      <c r="BX162" s="64"/>
      <c r="BY162" s="64"/>
      <c r="BZ162" s="64"/>
      <c r="CA162" s="64"/>
      <c r="CB162" s="64"/>
      <c r="CC162" s="64"/>
      <c r="CD162" s="64"/>
      <c r="CE162" s="64"/>
      <c r="CF162" s="64"/>
      <c r="CG162" s="64"/>
    </row>
    <row r="163" spans="1:85" ht="12.75">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c r="BS163" s="64"/>
      <c r="BT163" s="64"/>
      <c r="BU163" s="64"/>
      <c r="BV163" s="64"/>
      <c r="BW163" s="64"/>
      <c r="BX163" s="64"/>
      <c r="BY163" s="64"/>
      <c r="BZ163" s="64"/>
      <c r="CA163" s="64"/>
      <c r="CB163" s="64"/>
      <c r="CC163" s="64"/>
      <c r="CD163" s="64"/>
      <c r="CE163" s="64"/>
      <c r="CF163" s="64"/>
      <c r="CG163" s="64"/>
    </row>
    <row r="164" spans="1:85" ht="12.75">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4"/>
      <c r="BQ164" s="64"/>
      <c r="BR164" s="64"/>
      <c r="BS164" s="64"/>
      <c r="BT164" s="64"/>
      <c r="BU164" s="64"/>
      <c r="BV164" s="64"/>
      <c r="BW164" s="64"/>
      <c r="BX164" s="64"/>
      <c r="BY164" s="64"/>
      <c r="BZ164" s="64"/>
      <c r="CA164" s="64"/>
      <c r="CB164" s="64"/>
      <c r="CC164" s="64"/>
      <c r="CD164" s="64"/>
      <c r="CE164" s="64"/>
      <c r="CF164" s="64"/>
      <c r="CG164" s="64"/>
    </row>
    <row r="165" spans="1:85" ht="12.75">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BR165" s="64"/>
      <c r="BS165" s="64"/>
      <c r="BT165" s="64"/>
      <c r="BU165" s="64"/>
      <c r="BV165" s="64"/>
      <c r="BW165" s="64"/>
      <c r="BX165" s="64"/>
      <c r="BY165" s="64"/>
      <c r="BZ165" s="64"/>
      <c r="CA165" s="64"/>
      <c r="CB165" s="64"/>
      <c r="CC165" s="64"/>
      <c r="CD165" s="64"/>
      <c r="CE165" s="64"/>
      <c r="CF165" s="64"/>
      <c r="CG165" s="64"/>
    </row>
    <row r="166" spans="1:85" ht="12.75">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c r="BI166" s="64"/>
      <c r="BJ166" s="64"/>
      <c r="BK166" s="64"/>
      <c r="BL166" s="64"/>
      <c r="BM166" s="64"/>
      <c r="BN166" s="64"/>
      <c r="BO166" s="64"/>
      <c r="BP166" s="64"/>
      <c r="BQ166" s="64"/>
      <c r="BR166" s="64"/>
      <c r="BS166" s="64"/>
      <c r="BT166" s="64"/>
      <c r="BU166" s="64"/>
      <c r="BV166" s="64"/>
      <c r="BW166" s="64"/>
      <c r="BX166" s="64"/>
      <c r="BY166" s="64"/>
      <c r="BZ166" s="64"/>
      <c r="CA166" s="64"/>
      <c r="CB166" s="64"/>
      <c r="CC166" s="64"/>
      <c r="CD166" s="64"/>
      <c r="CE166" s="64"/>
      <c r="CF166" s="64"/>
      <c r="CG166" s="64"/>
    </row>
    <row r="167" spans="1:85" ht="12.75">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4"/>
      <c r="BQ167" s="64"/>
      <c r="BR167" s="64"/>
      <c r="BS167" s="64"/>
      <c r="BT167" s="64"/>
      <c r="BU167" s="64"/>
      <c r="BV167" s="64"/>
      <c r="BW167" s="64"/>
      <c r="BX167" s="64"/>
      <c r="BY167" s="64"/>
      <c r="BZ167" s="64"/>
      <c r="CA167" s="64"/>
      <c r="CB167" s="64"/>
      <c r="CC167" s="64"/>
      <c r="CD167" s="64"/>
      <c r="CE167" s="64"/>
      <c r="CF167" s="64"/>
      <c r="CG167" s="64"/>
    </row>
    <row r="168" spans="1:85" ht="12.75">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c r="BS168" s="64"/>
      <c r="BT168" s="64"/>
      <c r="BU168" s="64"/>
      <c r="BV168" s="64"/>
      <c r="BW168" s="64"/>
      <c r="BX168" s="64"/>
      <c r="BY168" s="64"/>
      <c r="BZ168" s="64"/>
      <c r="CA168" s="64"/>
      <c r="CB168" s="64"/>
      <c r="CC168" s="64"/>
      <c r="CD168" s="64"/>
      <c r="CE168" s="64"/>
      <c r="CF168" s="64"/>
      <c r="CG168" s="64"/>
    </row>
    <row r="169" spans="1:85" ht="12.75">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c r="BS169" s="64"/>
      <c r="BT169" s="64"/>
      <c r="BU169" s="64"/>
      <c r="BV169" s="64"/>
      <c r="BW169" s="64"/>
      <c r="BX169" s="64"/>
      <c r="BY169" s="64"/>
      <c r="BZ169" s="64"/>
      <c r="CA169" s="64"/>
      <c r="CB169" s="64"/>
      <c r="CC169" s="64"/>
      <c r="CD169" s="64"/>
      <c r="CE169" s="64"/>
      <c r="CF169" s="64"/>
      <c r="CG169" s="64"/>
    </row>
    <row r="170" spans="1:85" ht="12.75">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c r="BS170" s="64"/>
      <c r="BT170" s="64"/>
      <c r="BU170" s="64"/>
      <c r="BV170" s="64"/>
      <c r="BW170" s="64"/>
      <c r="BX170" s="64"/>
      <c r="BY170" s="64"/>
      <c r="BZ170" s="64"/>
      <c r="CA170" s="64"/>
      <c r="CB170" s="64"/>
      <c r="CC170" s="64"/>
      <c r="CD170" s="64"/>
      <c r="CE170" s="64"/>
      <c r="CF170" s="64"/>
      <c r="CG170" s="64"/>
    </row>
    <row r="171" spans="1:85" ht="12.75">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4"/>
      <c r="BQ171" s="64"/>
      <c r="BR171" s="64"/>
      <c r="BS171" s="64"/>
      <c r="BT171" s="64"/>
      <c r="BU171" s="64"/>
      <c r="BV171" s="64"/>
      <c r="BW171" s="64"/>
      <c r="BX171" s="64"/>
      <c r="BY171" s="64"/>
      <c r="BZ171" s="64"/>
      <c r="CA171" s="64"/>
      <c r="CB171" s="64"/>
      <c r="CC171" s="64"/>
      <c r="CD171" s="64"/>
      <c r="CE171" s="64"/>
      <c r="CF171" s="64"/>
      <c r="CG171" s="64"/>
    </row>
    <row r="172" spans="1:85" ht="12.75">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c r="BI172" s="64"/>
      <c r="BJ172" s="64"/>
      <c r="BK172" s="64"/>
      <c r="BL172" s="64"/>
      <c r="BM172" s="64"/>
      <c r="BN172" s="64"/>
      <c r="BO172" s="64"/>
      <c r="BP172" s="64"/>
      <c r="BQ172" s="64"/>
      <c r="BR172" s="64"/>
      <c r="BS172" s="64"/>
      <c r="BT172" s="64"/>
      <c r="BU172" s="64"/>
      <c r="BV172" s="64"/>
      <c r="BW172" s="64"/>
      <c r="BX172" s="64"/>
      <c r="BY172" s="64"/>
      <c r="BZ172" s="64"/>
      <c r="CA172" s="64"/>
      <c r="CB172" s="64"/>
      <c r="CC172" s="64"/>
      <c r="CD172" s="64"/>
      <c r="CE172" s="64"/>
      <c r="CF172" s="64"/>
      <c r="CG172" s="64"/>
    </row>
    <row r="173" spans="1:85" ht="12.75">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c r="BJ173" s="64"/>
      <c r="BK173" s="64"/>
      <c r="BL173" s="64"/>
      <c r="BM173" s="64"/>
      <c r="BN173" s="64"/>
      <c r="BO173" s="64"/>
      <c r="BP173" s="64"/>
      <c r="BQ173" s="64"/>
      <c r="BR173" s="64"/>
      <c r="BS173" s="64"/>
      <c r="BT173" s="64"/>
      <c r="BU173" s="64"/>
      <c r="BV173" s="64"/>
      <c r="BW173" s="64"/>
      <c r="BX173" s="64"/>
      <c r="BY173" s="64"/>
      <c r="BZ173" s="64"/>
      <c r="CA173" s="64"/>
      <c r="CB173" s="64"/>
      <c r="CC173" s="64"/>
      <c r="CD173" s="64"/>
      <c r="CE173" s="64"/>
      <c r="CF173" s="64"/>
      <c r="CG173" s="64"/>
    </row>
    <row r="174" spans="1:85" ht="12.75">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4"/>
      <c r="BQ174" s="64"/>
      <c r="BR174" s="64"/>
      <c r="BS174" s="64"/>
      <c r="BT174" s="64"/>
      <c r="BU174" s="64"/>
      <c r="BV174" s="64"/>
      <c r="BW174" s="64"/>
      <c r="BX174" s="64"/>
      <c r="BY174" s="64"/>
      <c r="BZ174" s="64"/>
      <c r="CA174" s="64"/>
      <c r="CB174" s="64"/>
      <c r="CC174" s="64"/>
      <c r="CD174" s="64"/>
      <c r="CE174" s="64"/>
      <c r="CF174" s="64"/>
      <c r="CG174" s="64"/>
    </row>
    <row r="175" spans="1:85" ht="12.75">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4"/>
      <c r="BQ175" s="64"/>
      <c r="BR175" s="64"/>
      <c r="BS175" s="64"/>
      <c r="BT175" s="64"/>
      <c r="BU175" s="64"/>
      <c r="BV175" s="64"/>
      <c r="BW175" s="64"/>
      <c r="BX175" s="64"/>
      <c r="BY175" s="64"/>
      <c r="BZ175" s="64"/>
      <c r="CA175" s="64"/>
      <c r="CB175" s="64"/>
      <c r="CC175" s="64"/>
      <c r="CD175" s="64"/>
      <c r="CE175" s="64"/>
      <c r="CF175" s="64"/>
      <c r="CG175" s="64"/>
    </row>
    <row r="176" spans="1:85" ht="12.75">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64"/>
      <c r="BW176" s="64"/>
      <c r="BX176" s="64"/>
      <c r="BY176" s="64"/>
      <c r="BZ176" s="64"/>
      <c r="CA176" s="64"/>
      <c r="CB176" s="64"/>
      <c r="CC176" s="64"/>
      <c r="CD176" s="64"/>
      <c r="CE176" s="64"/>
      <c r="CF176" s="64"/>
      <c r="CG176" s="64"/>
    </row>
    <row r="177" spans="1:85" ht="12.75">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4"/>
      <c r="BQ177" s="64"/>
      <c r="BR177" s="64"/>
      <c r="BS177" s="64"/>
      <c r="BT177" s="64"/>
      <c r="BU177" s="64"/>
      <c r="BV177" s="64"/>
      <c r="BW177" s="64"/>
      <c r="BX177" s="64"/>
      <c r="BY177" s="64"/>
      <c r="BZ177" s="64"/>
      <c r="CA177" s="64"/>
      <c r="CB177" s="64"/>
      <c r="CC177" s="64"/>
      <c r="CD177" s="64"/>
      <c r="CE177" s="64"/>
      <c r="CF177" s="64"/>
      <c r="CG177" s="64"/>
    </row>
    <row r="178" spans="1:85" ht="12.75">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c r="BI178" s="64"/>
      <c r="BJ178" s="64"/>
      <c r="BK178" s="64"/>
      <c r="BL178" s="64"/>
      <c r="BM178" s="64"/>
      <c r="BN178" s="64"/>
      <c r="BO178" s="64"/>
      <c r="BP178" s="64"/>
      <c r="BQ178" s="64"/>
      <c r="BR178" s="64"/>
      <c r="BS178" s="64"/>
      <c r="BT178" s="64"/>
      <c r="BU178" s="64"/>
      <c r="BV178" s="64"/>
      <c r="BW178" s="64"/>
      <c r="BX178" s="64"/>
      <c r="BY178" s="64"/>
      <c r="BZ178" s="64"/>
      <c r="CA178" s="64"/>
      <c r="CB178" s="64"/>
      <c r="CC178" s="64"/>
      <c r="CD178" s="64"/>
      <c r="CE178" s="64"/>
      <c r="CF178" s="64"/>
      <c r="CG178" s="64"/>
    </row>
    <row r="179" spans="1:85" ht="12.75">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c r="BI179" s="64"/>
      <c r="BJ179" s="64"/>
      <c r="BK179" s="64"/>
      <c r="BL179" s="64"/>
      <c r="BM179" s="64"/>
      <c r="BN179" s="64"/>
      <c r="BO179" s="64"/>
      <c r="BP179" s="64"/>
      <c r="BQ179" s="64"/>
      <c r="BR179" s="64"/>
      <c r="BS179" s="64"/>
      <c r="BT179" s="64"/>
      <c r="BU179" s="64"/>
      <c r="BV179" s="64"/>
      <c r="BW179" s="64"/>
      <c r="BX179" s="64"/>
      <c r="BY179" s="64"/>
      <c r="BZ179" s="64"/>
      <c r="CA179" s="64"/>
      <c r="CB179" s="64"/>
      <c r="CC179" s="64"/>
      <c r="CD179" s="64"/>
      <c r="CE179" s="64"/>
      <c r="CF179" s="64"/>
      <c r="CG179" s="64"/>
    </row>
    <row r="180" spans="1:85" ht="12.75">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c r="BJ180" s="64"/>
      <c r="BK180" s="64"/>
      <c r="BL180" s="64"/>
      <c r="BM180" s="64"/>
      <c r="BN180" s="64"/>
      <c r="BO180" s="64"/>
      <c r="BP180" s="64"/>
      <c r="BQ180" s="64"/>
      <c r="BR180" s="64"/>
      <c r="BS180" s="64"/>
      <c r="BT180" s="64"/>
      <c r="BU180" s="64"/>
      <c r="BV180" s="64"/>
      <c r="BW180" s="64"/>
      <c r="BX180" s="64"/>
      <c r="BY180" s="64"/>
      <c r="BZ180" s="64"/>
      <c r="CA180" s="64"/>
      <c r="CB180" s="64"/>
      <c r="CC180" s="64"/>
      <c r="CD180" s="64"/>
      <c r="CE180" s="64"/>
      <c r="CF180" s="64"/>
      <c r="CG180" s="64"/>
    </row>
    <row r="181" spans="1:85" ht="12.75">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4"/>
      <c r="BQ181" s="64"/>
      <c r="BR181" s="64"/>
      <c r="BS181" s="64"/>
      <c r="BT181" s="64"/>
      <c r="BU181" s="64"/>
      <c r="BV181" s="64"/>
      <c r="BW181" s="64"/>
      <c r="BX181" s="64"/>
      <c r="BY181" s="64"/>
      <c r="BZ181" s="64"/>
      <c r="CA181" s="64"/>
      <c r="CB181" s="64"/>
      <c r="CC181" s="64"/>
      <c r="CD181" s="64"/>
      <c r="CE181" s="64"/>
      <c r="CF181" s="64"/>
      <c r="CG181" s="64"/>
    </row>
    <row r="182" spans="1:85" ht="12.75">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c r="BI182" s="64"/>
      <c r="BJ182" s="64"/>
      <c r="BK182" s="64"/>
      <c r="BL182" s="64"/>
      <c r="BM182" s="64"/>
      <c r="BN182" s="64"/>
      <c r="BO182" s="64"/>
      <c r="BP182" s="64"/>
      <c r="BQ182" s="64"/>
      <c r="BR182" s="64"/>
      <c r="BS182" s="64"/>
      <c r="BT182" s="64"/>
      <c r="BU182" s="64"/>
      <c r="BV182" s="64"/>
      <c r="BW182" s="64"/>
      <c r="BX182" s="64"/>
      <c r="BY182" s="64"/>
      <c r="BZ182" s="64"/>
      <c r="CA182" s="64"/>
      <c r="CB182" s="64"/>
      <c r="CC182" s="64"/>
      <c r="CD182" s="64"/>
      <c r="CE182" s="64"/>
      <c r="CF182" s="64"/>
      <c r="CG182" s="64"/>
    </row>
    <row r="183" spans="1:85" ht="12.75">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c r="BI183" s="64"/>
      <c r="BJ183" s="64"/>
      <c r="BK183" s="64"/>
      <c r="BL183" s="64"/>
      <c r="BM183" s="64"/>
      <c r="BN183" s="64"/>
      <c r="BO183" s="64"/>
      <c r="BP183" s="64"/>
      <c r="BQ183" s="64"/>
      <c r="BR183" s="64"/>
      <c r="BS183" s="64"/>
      <c r="BT183" s="64"/>
      <c r="BU183" s="64"/>
      <c r="BV183" s="64"/>
      <c r="BW183" s="64"/>
      <c r="BX183" s="64"/>
      <c r="BY183" s="64"/>
      <c r="BZ183" s="64"/>
      <c r="CA183" s="64"/>
      <c r="CB183" s="64"/>
      <c r="CC183" s="64"/>
      <c r="CD183" s="64"/>
      <c r="CE183" s="64"/>
      <c r="CF183" s="64"/>
      <c r="CG183" s="64"/>
    </row>
    <row r="184" spans="1:85" ht="12.75">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c r="BI184" s="64"/>
      <c r="BJ184" s="64"/>
      <c r="BK184" s="64"/>
      <c r="BL184" s="64"/>
      <c r="BM184" s="64"/>
      <c r="BN184" s="64"/>
      <c r="BO184" s="64"/>
      <c r="BP184" s="64"/>
      <c r="BQ184" s="64"/>
      <c r="BR184" s="64"/>
      <c r="BS184" s="64"/>
      <c r="BT184" s="64"/>
      <c r="BU184" s="64"/>
      <c r="BV184" s="64"/>
      <c r="BW184" s="64"/>
      <c r="BX184" s="64"/>
      <c r="BY184" s="64"/>
      <c r="BZ184" s="64"/>
      <c r="CA184" s="64"/>
      <c r="CB184" s="64"/>
      <c r="CC184" s="64"/>
      <c r="CD184" s="64"/>
      <c r="CE184" s="64"/>
      <c r="CF184" s="64"/>
      <c r="CG184" s="64"/>
    </row>
    <row r="185" spans="1:85" ht="12.75">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c r="BI185" s="64"/>
      <c r="BJ185" s="64"/>
      <c r="BK185" s="64"/>
      <c r="BL185" s="64"/>
      <c r="BM185" s="64"/>
      <c r="BN185" s="64"/>
      <c r="BO185" s="64"/>
      <c r="BP185" s="64"/>
      <c r="BQ185" s="64"/>
      <c r="BR185" s="64"/>
      <c r="BS185" s="64"/>
      <c r="BT185" s="64"/>
      <c r="BU185" s="64"/>
      <c r="BV185" s="64"/>
      <c r="BW185" s="64"/>
      <c r="BX185" s="64"/>
      <c r="BY185" s="64"/>
      <c r="BZ185" s="64"/>
      <c r="CA185" s="64"/>
      <c r="CB185" s="64"/>
      <c r="CC185" s="64"/>
      <c r="CD185" s="64"/>
      <c r="CE185" s="64"/>
      <c r="CF185" s="64"/>
      <c r="CG185" s="64"/>
    </row>
    <row r="186" spans="1:85" ht="12.75">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c r="BI186" s="64"/>
      <c r="BJ186" s="64"/>
      <c r="BK186" s="64"/>
      <c r="BL186" s="64"/>
      <c r="BM186" s="64"/>
      <c r="BN186" s="64"/>
      <c r="BO186" s="64"/>
      <c r="BP186" s="64"/>
      <c r="BQ186" s="64"/>
      <c r="BR186" s="64"/>
      <c r="BS186" s="64"/>
      <c r="BT186" s="64"/>
      <c r="BU186" s="64"/>
      <c r="BV186" s="64"/>
      <c r="BW186" s="64"/>
      <c r="BX186" s="64"/>
      <c r="BY186" s="64"/>
      <c r="BZ186" s="64"/>
      <c r="CA186" s="64"/>
      <c r="CB186" s="64"/>
      <c r="CC186" s="64"/>
      <c r="CD186" s="64"/>
      <c r="CE186" s="64"/>
      <c r="CF186" s="64"/>
      <c r="CG186" s="64"/>
    </row>
    <row r="187" spans="1:85" ht="12.75">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c r="BI187" s="64"/>
      <c r="BJ187" s="64"/>
      <c r="BK187" s="64"/>
      <c r="BL187" s="64"/>
      <c r="BM187" s="64"/>
      <c r="BN187" s="64"/>
      <c r="BO187" s="64"/>
      <c r="BP187" s="64"/>
      <c r="BQ187" s="64"/>
      <c r="BR187" s="64"/>
      <c r="BS187" s="64"/>
      <c r="BT187" s="64"/>
      <c r="BU187" s="64"/>
      <c r="BV187" s="64"/>
      <c r="BW187" s="64"/>
      <c r="BX187" s="64"/>
      <c r="BY187" s="64"/>
      <c r="BZ187" s="64"/>
      <c r="CA187" s="64"/>
      <c r="CB187" s="64"/>
      <c r="CC187" s="64"/>
      <c r="CD187" s="64"/>
      <c r="CE187" s="64"/>
      <c r="CF187" s="64"/>
      <c r="CG187" s="64"/>
    </row>
    <row r="188" spans="1:85" ht="12.75">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c r="BI188" s="64"/>
      <c r="BJ188" s="64"/>
      <c r="BK188" s="64"/>
      <c r="BL188" s="64"/>
      <c r="BM188" s="64"/>
      <c r="BN188" s="64"/>
      <c r="BO188" s="64"/>
      <c r="BP188" s="64"/>
      <c r="BQ188" s="64"/>
      <c r="BR188" s="64"/>
      <c r="BS188" s="64"/>
      <c r="BT188" s="64"/>
      <c r="BU188" s="64"/>
      <c r="BV188" s="64"/>
      <c r="BW188" s="64"/>
      <c r="BX188" s="64"/>
      <c r="BY188" s="64"/>
      <c r="BZ188" s="64"/>
      <c r="CA188" s="64"/>
      <c r="CB188" s="64"/>
      <c r="CC188" s="64"/>
      <c r="CD188" s="64"/>
      <c r="CE188" s="64"/>
      <c r="CF188" s="64"/>
      <c r="CG188" s="64"/>
    </row>
    <row r="189" spans="1:85" ht="12.75">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c r="BI189" s="64"/>
      <c r="BJ189" s="64"/>
      <c r="BK189" s="64"/>
      <c r="BL189" s="64"/>
      <c r="BM189" s="64"/>
      <c r="BN189" s="64"/>
      <c r="BO189" s="64"/>
      <c r="BP189" s="64"/>
      <c r="BQ189" s="64"/>
      <c r="BR189" s="64"/>
      <c r="BS189" s="64"/>
      <c r="BT189" s="64"/>
      <c r="BU189" s="64"/>
      <c r="BV189" s="64"/>
      <c r="BW189" s="64"/>
      <c r="BX189" s="64"/>
      <c r="BY189" s="64"/>
      <c r="BZ189" s="64"/>
      <c r="CA189" s="64"/>
      <c r="CB189" s="64"/>
      <c r="CC189" s="64"/>
      <c r="CD189" s="64"/>
      <c r="CE189" s="64"/>
      <c r="CF189" s="64"/>
      <c r="CG189" s="64"/>
    </row>
    <row r="190" spans="1:85" ht="12.75">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c r="BG190" s="64"/>
      <c r="BH190" s="64"/>
      <c r="BI190" s="64"/>
      <c r="BJ190" s="64"/>
      <c r="BK190" s="64"/>
      <c r="BL190" s="64"/>
      <c r="BM190" s="64"/>
      <c r="BN190" s="64"/>
      <c r="BO190" s="64"/>
      <c r="BP190" s="64"/>
      <c r="BQ190" s="64"/>
      <c r="BR190" s="64"/>
      <c r="BS190" s="64"/>
      <c r="BT190" s="64"/>
      <c r="BU190" s="64"/>
      <c r="BV190" s="64"/>
      <c r="BW190" s="64"/>
      <c r="BX190" s="64"/>
      <c r="BY190" s="64"/>
      <c r="BZ190" s="64"/>
      <c r="CA190" s="64"/>
      <c r="CB190" s="64"/>
      <c r="CC190" s="64"/>
      <c r="CD190" s="64"/>
      <c r="CE190" s="64"/>
      <c r="CF190" s="64"/>
      <c r="CG190" s="64"/>
    </row>
    <row r="191" spans="1:85" ht="12.75">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c r="BI191" s="64"/>
      <c r="BJ191" s="64"/>
      <c r="BK191" s="64"/>
      <c r="BL191" s="64"/>
      <c r="BM191" s="64"/>
      <c r="BN191" s="64"/>
      <c r="BO191" s="64"/>
      <c r="BP191" s="64"/>
      <c r="BQ191" s="64"/>
      <c r="BR191" s="64"/>
      <c r="BS191" s="64"/>
      <c r="BT191" s="64"/>
      <c r="BU191" s="64"/>
      <c r="BV191" s="64"/>
      <c r="BW191" s="64"/>
      <c r="BX191" s="64"/>
      <c r="BY191" s="64"/>
      <c r="BZ191" s="64"/>
      <c r="CA191" s="64"/>
      <c r="CB191" s="64"/>
      <c r="CC191" s="64"/>
      <c r="CD191" s="64"/>
      <c r="CE191" s="64"/>
      <c r="CF191" s="64"/>
      <c r="CG191" s="64"/>
    </row>
    <row r="192" spans="1:85" ht="12.75">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c r="BI192" s="64"/>
      <c r="BJ192" s="64"/>
      <c r="BK192" s="64"/>
      <c r="BL192" s="64"/>
      <c r="BM192" s="64"/>
      <c r="BN192" s="64"/>
      <c r="BO192" s="64"/>
      <c r="BP192" s="64"/>
      <c r="BQ192" s="64"/>
      <c r="BR192" s="64"/>
      <c r="BS192" s="64"/>
      <c r="BT192" s="64"/>
      <c r="BU192" s="64"/>
      <c r="BV192" s="64"/>
      <c r="BW192" s="64"/>
      <c r="BX192" s="64"/>
      <c r="BY192" s="64"/>
      <c r="BZ192" s="64"/>
      <c r="CA192" s="64"/>
      <c r="CB192" s="64"/>
      <c r="CC192" s="64"/>
      <c r="CD192" s="64"/>
      <c r="CE192" s="64"/>
      <c r="CF192" s="64"/>
      <c r="CG192" s="64"/>
    </row>
    <row r="193" spans="1:85" ht="12.75">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c r="BI193" s="64"/>
      <c r="BJ193" s="64"/>
      <c r="BK193" s="64"/>
      <c r="BL193" s="64"/>
      <c r="BM193" s="64"/>
      <c r="BN193" s="64"/>
      <c r="BO193" s="64"/>
      <c r="BP193" s="64"/>
      <c r="BQ193" s="64"/>
      <c r="BR193" s="64"/>
      <c r="BS193" s="64"/>
      <c r="BT193" s="64"/>
      <c r="BU193" s="64"/>
      <c r="BV193" s="64"/>
      <c r="BW193" s="64"/>
      <c r="BX193" s="64"/>
      <c r="BY193" s="64"/>
      <c r="BZ193" s="64"/>
      <c r="CA193" s="64"/>
      <c r="CB193" s="64"/>
      <c r="CC193" s="64"/>
      <c r="CD193" s="64"/>
      <c r="CE193" s="64"/>
      <c r="CF193" s="64"/>
      <c r="CG193" s="64"/>
    </row>
    <row r="194" spans="1:85" ht="12.75">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c r="BI194" s="64"/>
      <c r="BJ194" s="64"/>
      <c r="BK194" s="64"/>
      <c r="BL194" s="64"/>
      <c r="BM194" s="64"/>
      <c r="BN194" s="64"/>
      <c r="BO194" s="64"/>
      <c r="BP194" s="64"/>
      <c r="BQ194" s="64"/>
      <c r="BR194" s="64"/>
      <c r="BS194" s="64"/>
      <c r="BT194" s="64"/>
      <c r="BU194" s="64"/>
      <c r="BV194" s="64"/>
      <c r="BW194" s="64"/>
      <c r="BX194" s="64"/>
      <c r="BY194" s="64"/>
      <c r="BZ194" s="64"/>
      <c r="CA194" s="64"/>
      <c r="CB194" s="64"/>
      <c r="CC194" s="64"/>
      <c r="CD194" s="64"/>
      <c r="CE194" s="64"/>
      <c r="CF194" s="64"/>
      <c r="CG194" s="64"/>
    </row>
    <row r="195" spans="1:85" ht="12.75">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c r="BI195" s="64"/>
      <c r="BJ195" s="64"/>
      <c r="BK195" s="64"/>
      <c r="BL195" s="64"/>
      <c r="BM195" s="64"/>
      <c r="BN195" s="64"/>
      <c r="BO195" s="64"/>
      <c r="BP195" s="64"/>
      <c r="BQ195" s="64"/>
      <c r="BR195" s="64"/>
      <c r="BS195" s="64"/>
      <c r="BT195" s="64"/>
      <c r="BU195" s="64"/>
      <c r="BV195" s="64"/>
      <c r="BW195" s="64"/>
      <c r="BX195" s="64"/>
      <c r="BY195" s="64"/>
      <c r="BZ195" s="64"/>
      <c r="CA195" s="64"/>
      <c r="CB195" s="64"/>
      <c r="CC195" s="64"/>
      <c r="CD195" s="64"/>
      <c r="CE195" s="64"/>
      <c r="CF195" s="64"/>
      <c r="CG195" s="64"/>
    </row>
    <row r="196" spans="1:85" ht="12.75">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c r="BG196" s="64"/>
      <c r="BH196" s="64"/>
      <c r="BI196" s="64"/>
      <c r="BJ196" s="64"/>
      <c r="BK196" s="64"/>
      <c r="BL196" s="64"/>
      <c r="BM196" s="64"/>
      <c r="BN196" s="64"/>
      <c r="BO196" s="64"/>
      <c r="BP196" s="64"/>
      <c r="BQ196" s="64"/>
      <c r="BR196" s="64"/>
      <c r="BS196" s="64"/>
      <c r="BT196" s="64"/>
      <c r="BU196" s="64"/>
      <c r="BV196" s="64"/>
      <c r="BW196" s="64"/>
      <c r="BX196" s="64"/>
      <c r="BY196" s="64"/>
      <c r="BZ196" s="64"/>
      <c r="CA196" s="64"/>
      <c r="CB196" s="64"/>
      <c r="CC196" s="64"/>
      <c r="CD196" s="64"/>
      <c r="CE196" s="64"/>
      <c r="CF196" s="64"/>
      <c r="CG196" s="64"/>
    </row>
    <row r="197" spans="1:85" ht="12.75">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c r="BG197" s="64"/>
      <c r="BH197" s="64"/>
      <c r="BI197" s="64"/>
      <c r="BJ197" s="64"/>
      <c r="BK197" s="64"/>
      <c r="BL197" s="64"/>
      <c r="BM197" s="64"/>
      <c r="BN197" s="64"/>
      <c r="BO197" s="64"/>
      <c r="BP197" s="64"/>
      <c r="BQ197" s="64"/>
      <c r="BR197" s="64"/>
      <c r="BS197" s="64"/>
      <c r="BT197" s="64"/>
      <c r="BU197" s="64"/>
      <c r="BV197" s="64"/>
      <c r="BW197" s="64"/>
      <c r="BX197" s="64"/>
      <c r="BY197" s="64"/>
      <c r="BZ197" s="64"/>
      <c r="CA197" s="64"/>
      <c r="CB197" s="64"/>
      <c r="CC197" s="64"/>
      <c r="CD197" s="64"/>
      <c r="CE197" s="64"/>
      <c r="CF197" s="64"/>
      <c r="CG197" s="64"/>
    </row>
    <row r="198" spans="1:85" ht="12.75">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c r="BI198" s="64"/>
      <c r="BJ198" s="64"/>
      <c r="BK198" s="64"/>
      <c r="BL198" s="64"/>
      <c r="BM198" s="64"/>
      <c r="BN198" s="64"/>
      <c r="BO198" s="64"/>
      <c r="BP198" s="64"/>
      <c r="BQ198" s="64"/>
      <c r="BR198" s="64"/>
      <c r="BS198" s="64"/>
      <c r="BT198" s="64"/>
      <c r="BU198" s="64"/>
      <c r="BV198" s="64"/>
      <c r="BW198" s="64"/>
      <c r="BX198" s="64"/>
      <c r="BY198" s="64"/>
      <c r="BZ198" s="64"/>
      <c r="CA198" s="64"/>
      <c r="CB198" s="64"/>
      <c r="CC198" s="64"/>
      <c r="CD198" s="64"/>
      <c r="CE198" s="64"/>
      <c r="CF198" s="64"/>
      <c r="CG198" s="64"/>
    </row>
    <row r="199" spans="1:85" ht="12.75">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c r="BG199" s="64"/>
      <c r="BH199" s="64"/>
      <c r="BI199" s="64"/>
      <c r="BJ199" s="64"/>
      <c r="BK199" s="64"/>
      <c r="BL199" s="64"/>
      <c r="BM199" s="64"/>
      <c r="BN199" s="64"/>
      <c r="BO199" s="64"/>
      <c r="BP199" s="64"/>
      <c r="BQ199" s="64"/>
      <c r="BR199" s="64"/>
      <c r="BS199" s="64"/>
      <c r="BT199" s="64"/>
      <c r="BU199" s="64"/>
      <c r="BV199" s="64"/>
      <c r="BW199" s="64"/>
      <c r="BX199" s="64"/>
      <c r="BY199" s="64"/>
      <c r="BZ199" s="64"/>
      <c r="CA199" s="64"/>
      <c r="CB199" s="64"/>
      <c r="CC199" s="64"/>
      <c r="CD199" s="64"/>
      <c r="CE199" s="64"/>
      <c r="CF199" s="64"/>
      <c r="CG199" s="64"/>
    </row>
    <row r="200" spans="1:85" ht="12.75">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c r="BG200" s="64"/>
      <c r="BH200" s="64"/>
      <c r="BI200" s="64"/>
      <c r="BJ200" s="64"/>
      <c r="BK200" s="64"/>
      <c r="BL200" s="64"/>
      <c r="BM200" s="64"/>
      <c r="BN200" s="64"/>
      <c r="BO200" s="64"/>
      <c r="BP200" s="64"/>
      <c r="BQ200" s="64"/>
      <c r="BR200" s="64"/>
      <c r="BS200" s="64"/>
      <c r="BT200" s="64"/>
      <c r="BU200" s="64"/>
      <c r="BV200" s="64"/>
      <c r="BW200" s="64"/>
      <c r="BX200" s="64"/>
      <c r="BY200" s="64"/>
      <c r="BZ200" s="64"/>
      <c r="CA200" s="64"/>
      <c r="CB200" s="64"/>
      <c r="CC200" s="64"/>
      <c r="CD200" s="64"/>
      <c r="CE200" s="64"/>
      <c r="CF200" s="64"/>
      <c r="CG200" s="64"/>
    </row>
    <row r="201" spans="1:85" ht="12.75">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c r="BI201" s="64"/>
      <c r="BJ201" s="64"/>
      <c r="BK201" s="64"/>
      <c r="BL201" s="64"/>
      <c r="BM201" s="64"/>
      <c r="BN201" s="64"/>
      <c r="BO201" s="64"/>
      <c r="BP201" s="64"/>
      <c r="BQ201" s="64"/>
      <c r="BR201" s="64"/>
      <c r="BS201" s="64"/>
      <c r="BT201" s="64"/>
      <c r="BU201" s="64"/>
      <c r="BV201" s="64"/>
      <c r="BW201" s="64"/>
      <c r="BX201" s="64"/>
      <c r="BY201" s="64"/>
      <c r="BZ201" s="64"/>
      <c r="CA201" s="64"/>
      <c r="CB201" s="64"/>
      <c r="CC201" s="64"/>
      <c r="CD201" s="64"/>
      <c r="CE201" s="64"/>
      <c r="CF201" s="64"/>
      <c r="CG201" s="64"/>
    </row>
    <row r="202" spans="1:85" ht="12.75">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c r="BG202" s="64"/>
      <c r="BH202" s="64"/>
      <c r="BI202" s="64"/>
      <c r="BJ202" s="64"/>
      <c r="BK202" s="64"/>
      <c r="BL202" s="64"/>
      <c r="BM202" s="64"/>
      <c r="BN202" s="64"/>
      <c r="BO202" s="64"/>
      <c r="BP202" s="64"/>
      <c r="BQ202" s="64"/>
      <c r="BR202" s="64"/>
      <c r="BS202" s="64"/>
      <c r="BT202" s="64"/>
      <c r="BU202" s="64"/>
      <c r="BV202" s="64"/>
      <c r="BW202" s="64"/>
      <c r="BX202" s="64"/>
      <c r="BY202" s="64"/>
      <c r="BZ202" s="64"/>
      <c r="CA202" s="64"/>
      <c r="CB202" s="64"/>
      <c r="CC202" s="64"/>
      <c r="CD202" s="64"/>
      <c r="CE202" s="64"/>
      <c r="CF202" s="64"/>
      <c r="CG202" s="64"/>
    </row>
    <row r="203" spans="1:85" ht="12.75">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c r="BI203" s="64"/>
      <c r="BJ203" s="64"/>
      <c r="BK203" s="64"/>
      <c r="BL203" s="64"/>
      <c r="BM203" s="64"/>
      <c r="BN203" s="64"/>
      <c r="BO203" s="64"/>
      <c r="BP203" s="64"/>
      <c r="BQ203" s="64"/>
      <c r="BR203" s="64"/>
      <c r="BS203" s="64"/>
      <c r="BT203" s="64"/>
      <c r="BU203" s="64"/>
      <c r="BV203" s="64"/>
      <c r="BW203" s="64"/>
      <c r="BX203" s="64"/>
      <c r="BY203" s="64"/>
      <c r="BZ203" s="64"/>
      <c r="CA203" s="64"/>
      <c r="CB203" s="64"/>
      <c r="CC203" s="64"/>
      <c r="CD203" s="64"/>
      <c r="CE203" s="64"/>
      <c r="CF203" s="64"/>
      <c r="CG203" s="64"/>
    </row>
    <row r="204" spans="1:85" ht="12.75">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c r="BI204" s="64"/>
      <c r="BJ204" s="64"/>
      <c r="BK204" s="64"/>
      <c r="BL204" s="64"/>
      <c r="BM204" s="64"/>
      <c r="BN204" s="64"/>
      <c r="BO204" s="64"/>
      <c r="BP204" s="64"/>
      <c r="BQ204" s="64"/>
      <c r="BR204" s="64"/>
      <c r="BS204" s="64"/>
      <c r="BT204" s="64"/>
      <c r="BU204" s="64"/>
      <c r="BV204" s="64"/>
      <c r="BW204" s="64"/>
      <c r="BX204" s="64"/>
      <c r="BY204" s="64"/>
      <c r="BZ204" s="64"/>
      <c r="CA204" s="64"/>
      <c r="CB204" s="64"/>
      <c r="CC204" s="64"/>
      <c r="CD204" s="64"/>
      <c r="CE204" s="64"/>
      <c r="CF204" s="64"/>
      <c r="CG204" s="64"/>
    </row>
    <row r="205" spans="1:85" ht="12.75">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c r="BG205" s="64"/>
      <c r="BH205" s="64"/>
      <c r="BI205" s="64"/>
      <c r="BJ205" s="64"/>
      <c r="BK205" s="64"/>
      <c r="BL205" s="64"/>
      <c r="BM205" s="64"/>
      <c r="BN205" s="64"/>
      <c r="BO205" s="64"/>
      <c r="BP205" s="64"/>
      <c r="BQ205" s="64"/>
      <c r="BR205" s="64"/>
      <c r="BS205" s="64"/>
      <c r="BT205" s="64"/>
      <c r="BU205" s="64"/>
      <c r="BV205" s="64"/>
      <c r="BW205" s="64"/>
      <c r="BX205" s="64"/>
      <c r="BY205" s="64"/>
      <c r="BZ205" s="64"/>
      <c r="CA205" s="64"/>
      <c r="CB205" s="64"/>
      <c r="CC205" s="64"/>
      <c r="CD205" s="64"/>
      <c r="CE205" s="64"/>
      <c r="CF205" s="64"/>
      <c r="CG205" s="64"/>
    </row>
    <row r="206" spans="1:85" ht="12.75">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c r="BG206" s="64"/>
      <c r="BH206" s="64"/>
      <c r="BI206" s="64"/>
      <c r="BJ206" s="64"/>
      <c r="BK206" s="64"/>
      <c r="BL206" s="64"/>
      <c r="BM206" s="64"/>
      <c r="BN206" s="64"/>
      <c r="BO206" s="64"/>
      <c r="BP206" s="64"/>
      <c r="BQ206" s="64"/>
      <c r="BR206" s="64"/>
      <c r="BS206" s="64"/>
      <c r="BT206" s="64"/>
      <c r="BU206" s="64"/>
      <c r="BV206" s="64"/>
      <c r="BW206" s="64"/>
      <c r="BX206" s="64"/>
      <c r="BY206" s="64"/>
      <c r="BZ206" s="64"/>
      <c r="CA206" s="64"/>
      <c r="CB206" s="64"/>
      <c r="CC206" s="64"/>
      <c r="CD206" s="64"/>
      <c r="CE206" s="64"/>
      <c r="CF206" s="64"/>
      <c r="CG206" s="64"/>
    </row>
    <row r="207" spans="1:85" ht="12.75">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c r="BI207" s="64"/>
      <c r="BJ207" s="64"/>
      <c r="BK207" s="64"/>
      <c r="BL207" s="64"/>
      <c r="BM207" s="64"/>
      <c r="BN207" s="64"/>
      <c r="BO207" s="64"/>
      <c r="BP207" s="64"/>
      <c r="BQ207" s="64"/>
      <c r="BR207" s="64"/>
      <c r="BS207" s="64"/>
      <c r="BT207" s="64"/>
      <c r="BU207" s="64"/>
      <c r="BV207" s="64"/>
      <c r="BW207" s="64"/>
      <c r="BX207" s="64"/>
      <c r="BY207" s="64"/>
      <c r="BZ207" s="64"/>
      <c r="CA207" s="64"/>
      <c r="CB207" s="64"/>
      <c r="CC207" s="64"/>
      <c r="CD207" s="64"/>
      <c r="CE207" s="64"/>
      <c r="CF207" s="64"/>
      <c r="CG207" s="64"/>
    </row>
    <row r="208" spans="1:85" ht="12.75">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c r="BI208" s="64"/>
      <c r="BJ208" s="64"/>
      <c r="BK208" s="64"/>
      <c r="BL208" s="64"/>
      <c r="BM208" s="64"/>
      <c r="BN208" s="64"/>
      <c r="BO208" s="64"/>
      <c r="BP208" s="64"/>
      <c r="BQ208" s="64"/>
      <c r="BR208" s="64"/>
      <c r="BS208" s="64"/>
      <c r="BT208" s="64"/>
      <c r="BU208" s="64"/>
      <c r="BV208" s="64"/>
      <c r="BW208" s="64"/>
      <c r="BX208" s="64"/>
      <c r="BY208" s="64"/>
      <c r="BZ208" s="64"/>
      <c r="CA208" s="64"/>
      <c r="CB208" s="64"/>
      <c r="CC208" s="64"/>
      <c r="CD208" s="64"/>
      <c r="CE208" s="64"/>
      <c r="CF208" s="64"/>
      <c r="CG208" s="64"/>
    </row>
    <row r="209" spans="1:85" ht="12.75">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c r="BI209" s="64"/>
      <c r="BJ209" s="64"/>
      <c r="BK209" s="64"/>
      <c r="BL209" s="64"/>
      <c r="BM209" s="64"/>
      <c r="BN209" s="64"/>
      <c r="BO209" s="64"/>
      <c r="BP209" s="64"/>
      <c r="BQ209" s="64"/>
      <c r="BR209" s="64"/>
      <c r="BS209" s="64"/>
      <c r="BT209" s="64"/>
      <c r="BU209" s="64"/>
      <c r="BV209" s="64"/>
      <c r="BW209" s="64"/>
      <c r="BX209" s="64"/>
      <c r="BY209" s="64"/>
      <c r="BZ209" s="64"/>
      <c r="CA209" s="64"/>
      <c r="CB209" s="64"/>
      <c r="CC209" s="64"/>
      <c r="CD209" s="64"/>
      <c r="CE209" s="64"/>
      <c r="CF209" s="64"/>
      <c r="CG209" s="64"/>
    </row>
    <row r="210" spans="1:85" ht="12.75">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c r="BI210" s="64"/>
      <c r="BJ210" s="64"/>
      <c r="BK210" s="64"/>
      <c r="BL210" s="64"/>
      <c r="BM210" s="64"/>
      <c r="BN210" s="64"/>
      <c r="BO210" s="64"/>
      <c r="BP210" s="64"/>
      <c r="BQ210" s="64"/>
      <c r="BR210" s="64"/>
      <c r="BS210" s="64"/>
      <c r="BT210" s="64"/>
      <c r="BU210" s="64"/>
      <c r="BV210" s="64"/>
      <c r="BW210" s="64"/>
      <c r="BX210" s="64"/>
      <c r="BY210" s="64"/>
      <c r="BZ210" s="64"/>
      <c r="CA210" s="64"/>
      <c r="CB210" s="64"/>
      <c r="CC210" s="64"/>
      <c r="CD210" s="64"/>
      <c r="CE210" s="64"/>
      <c r="CF210" s="64"/>
      <c r="CG210" s="64"/>
    </row>
    <row r="211" spans="1:85" ht="12.75">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c r="BI211" s="64"/>
      <c r="BJ211" s="64"/>
      <c r="BK211" s="64"/>
      <c r="BL211" s="64"/>
      <c r="BM211" s="64"/>
      <c r="BN211" s="64"/>
      <c r="BO211" s="64"/>
      <c r="BP211" s="64"/>
      <c r="BQ211" s="64"/>
      <c r="BR211" s="64"/>
      <c r="BS211" s="64"/>
      <c r="BT211" s="64"/>
      <c r="BU211" s="64"/>
      <c r="BV211" s="64"/>
      <c r="BW211" s="64"/>
      <c r="BX211" s="64"/>
      <c r="BY211" s="64"/>
      <c r="BZ211" s="64"/>
      <c r="CA211" s="64"/>
      <c r="CB211" s="64"/>
      <c r="CC211" s="64"/>
      <c r="CD211" s="64"/>
      <c r="CE211" s="64"/>
      <c r="CF211" s="64"/>
      <c r="CG211" s="64"/>
    </row>
    <row r="212" spans="1:85" ht="12.75">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c r="AQ212" s="64"/>
      <c r="AR212" s="64"/>
      <c r="AS212" s="64"/>
      <c r="AT212" s="64"/>
      <c r="AU212" s="64"/>
      <c r="AV212" s="64"/>
      <c r="AW212" s="64"/>
      <c r="AX212" s="64"/>
      <c r="AY212" s="64"/>
      <c r="AZ212" s="64"/>
      <c r="BA212" s="64"/>
      <c r="BB212" s="64"/>
      <c r="BC212" s="64"/>
      <c r="BD212" s="64"/>
      <c r="BE212" s="64"/>
      <c r="BF212" s="64"/>
      <c r="BG212" s="64"/>
      <c r="BH212" s="64"/>
      <c r="BI212" s="64"/>
      <c r="BJ212" s="64"/>
      <c r="BK212" s="64"/>
      <c r="BL212" s="64"/>
      <c r="BM212" s="64"/>
      <c r="BN212" s="64"/>
      <c r="BO212" s="64"/>
      <c r="BP212" s="64"/>
      <c r="BQ212" s="64"/>
      <c r="BR212" s="64"/>
      <c r="BS212" s="64"/>
      <c r="BT212" s="64"/>
      <c r="BU212" s="64"/>
      <c r="BV212" s="64"/>
      <c r="BW212" s="64"/>
      <c r="BX212" s="64"/>
      <c r="BY212" s="64"/>
      <c r="BZ212" s="64"/>
      <c r="CA212" s="64"/>
      <c r="CB212" s="64"/>
      <c r="CC212" s="64"/>
      <c r="CD212" s="64"/>
      <c r="CE212" s="64"/>
      <c r="CF212" s="64"/>
      <c r="CG212" s="64"/>
    </row>
    <row r="213" spans="1:85" ht="12.75">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c r="BI213" s="64"/>
      <c r="BJ213" s="64"/>
      <c r="BK213" s="64"/>
      <c r="BL213" s="64"/>
      <c r="BM213" s="64"/>
      <c r="BN213" s="64"/>
      <c r="BO213" s="64"/>
      <c r="BP213" s="64"/>
      <c r="BQ213" s="64"/>
      <c r="BR213" s="64"/>
      <c r="BS213" s="64"/>
      <c r="BT213" s="64"/>
      <c r="BU213" s="64"/>
      <c r="BV213" s="64"/>
      <c r="BW213" s="64"/>
      <c r="BX213" s="64"/>
      <c r="BY213" s="64"/>
      <c r="BZ213" s="64"/>
      <c r="CA213" s="64"/>
      <c r="CB213" s="64"/>
      <c r="CC213" s="64"/>
      <c r="CD213" s="64"/>
      <c r="CE213" s="64"/>
      <c r="CF213" s="64"/>
      <c r="CG213" s="64"/>
    </row>
    <row r="214" spans="1:85" ht="12.75">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64"/>
      <c r="BH214" s="64"/>
      <c r="BI214" s="64"/>
      <c r="BJ214" s="64"/>
      <c r="BK214" s="64"/>
      <c r="BL214" s="64"/>
      <c r="BM214" s="64"/>
      <c r="BN214" s="64"/>
      <c r="BO214" s="64"/>
      <c r="BP214" s="64"/>
      <c r="BQ214" s="64"/>
      <c r="BR214" s="64"/>
      <c r="BS214" s="64"/>
      <c r="BT214" s="64"/>
      <c r="BU214" s="64"/>
      <c r="BV214" s="64"/>
      <c r="BW214" s="64"/>
      <c r="BX214" s="64"/>
      <c r="BY214" s="64"/>
      <c r="BZ214" s="64"/>
      <c r="CA214" s="64"/>
      <c r="CB214" s="64"/>
      <c r="CC214" s="64"/>
      <c r="CD214" s="64"/>
      <c r="CE214" s="64"/>
      <c r="CF214" s="64"/>
      <c r="CG214" s="64"/>
    </row>
    <row r="215" spans="1:85" ht="12.75">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c r="AQ215" s="64"/>
      <c r="AR215" s="64"/>
      <c r="AS215" s="64"/>
      <c r="AT215" s="64"/>
      <c r="AU215" s="64"/>
      <c r="AV215" s="64"/>
      <c r="AW215" s="64"/>
      <c r="AX215" s="64"/>
      <c r="AY215" s="64"/>
      <c r="AZ215" s="64"/>
      <c r="BA215" s="64"/>
      <c r="BB215" s="64"/>
      <c r="BC215" s="64"/>
      <c r="BD215" s="64"/>
      <c r="BE215" s="64"/>
      <c r="BF215" s="64"/>
      <c r="BG215" s="64"/>
      <c r="BH215" s="64"/>
      <c r="BI215" s="64"/>
      <c r="BJ215" s="64"/>
      <c r="BK215" s="64"/>
      <c r="BL215" s="64"/>
      <c r="BM215" s="64"/>
      <c r="BN215" s="64"/>
      <c r="BO215" s="64"/>
      <c r="BP215" s="64"/>
      <c r="BQ215" s="64"/>
      <c r="BR215" s="64"/>
      <c r="BS215" s="64"/>
      <c r="BT215" s="64"/>
      <c r="BU215" s="64"/>
      <c r="BV215" s="64"/>
      <c r="BW215" s="64"/>
      <c r="BX215" s="64"/>
      <c r="BY215" s="64"/>
      <c r="BZ215" s="64"/>
      <c r="CA215" s="64"/>
      <c r="CB215" s="64"/>
      <c r="CC215" s="64"/>
      <c r="CD215" s="64"/>
      <c r="CE215" s="64"/>
      <c r="CF215" s="64"/>
      <c r="CG215" s="64"/>
    </row>
    <row r="216" spans="1:85" ht="12.75">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64"/>
      <c r="AS216" s="64"/>
      <c r="AT216" s="64"/>
      <c r="AU216" s="64"/>
      <c r="AV216" s="64"/>
      <c r="AW216" s="64"/>
      <c r="AX216" s="64"/>
      <c r="AY216" s="64"/>
      <c r="AZ216" s="64"/>
      <c r="BA216" s="64"/>
      <c r="BB216" s="64"/>
      <c r="BC216" s="64"/>
      <c r="BD216" s="64"/>
      <c r="BE216" s="64"/>
      <c r="BF216" s="64"/>
      <c r="BG216" s="64"/>
      <c r="BH216" s="64"/>
      <c r="BI216" s="64"/>
      <c r="BJ216" s="64"/>
      <c r="BK216" s="64"/>
      <c r="BL216" s="64"/>
      <c r="BM216" s="64"/>
      <c r="BN216" s="64"/>
      <c r="BO216" s="64"/>
      <c r="BP216" s="64"/>
      <c r="BQ216" s="64"/>
      <c r="BR216" s="64"/>
      <c r="BS216" s="64"/>
      <c r="BT216" s="64"/>
      <c r="BU216" s="64"/>
      <c r="BV216" s="64"/>
      <c r="BW216" s="64"/>
      <c r="BX216" s="64"/>
      <c r="BY216" s="64"/>
      <c r="BZ216" s="64"/>
      <c r="CA216" s="64"/>
      <c r="CB216" s="64"/>
      <c r="CC216" s="64"/>
      <c r="CD216" s="64"/>
      <c r="CE216" s="64"/>
      <c r="CF216" s="64"/>
      <c r="CG216" s="64"/>
    </row>
    <row r="217" spans="1:85" ht="12.75">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c r="BI217" s="64"/>
      <c r="BJ217" s="64"/>
      <c r="BK217" s="64"/>
      <c r="BL217" s="64"/>
      <c r="BM217" s="64"/>
      <c r="BN217" s="64"/>
      <c r="BO217" s="64"/>
      <c r="BP217" s="64"/>
      <c r="BQ217" s="64"/>
      <c r="BR217" s="64"/>
      <c r="BS217" s="64"/>
      <c r="BT217" s="64"/>
      <c r="BU217" s="64"/>
      <c r="BV217" s="64"/>
      <c r="BW217" s="64"/>
      <c r="BX217" s="64"/>
      <c r="BY217" s="64"/>
      <c r="BZ217" s="64"/>
      <c r="CA217" s="64"/>
      <c r="CB217" s="64"/>
      <c r="CC217" s="64"/>
      <c r="CD217" s="64"/>
      <c r="CE217" s="64"/>
      <c r="CF217" s="64"/>
      <c r="CG217" s="64"/>
    </row>
    <row r="218" spans="1:85" ht="12.75">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64"/>
      <c r="AS218" s="64"/>
      <c r="AT218" s="64"/>
      <c r="AU218" s="64"/>
      <c r="AV218" s="64"/>
      <c r="AW218" s="64"/>
      <c r="AX218" s="64"/>
      <c r="AY218" s="64"/>
      <c r="AZ218" s="64"/>
      <c r="BA218" s="64"/>
      <c r="BB218" s="64"/>
      <c r="BC218" s="64"/>
      <c r="BD218" s="64"/>
      <c r="BE218" s="64"/>
      <c r="BF218" s="64"/>
      <c r="BG218" s="64"/>
      <c r="BH218" s="64"/>
      <c r="BI218" s="64"/>
      <c r="BJ218" s="64"/>
      <c r="BK218" s="64"/>
      <c r="BL218" s="64"/>
      <c r="BM218" s="64"/>
      <c r="BN218" s="64"/>
      <c r="BO218" s="64"/>
      <c r="BP218" s="64"/>
      <c r="BQ218" s="64"/>
      <c r="BR218" s="64"/>
      <c r="BS218" s="64"/>
      <c r="BT218" s="64"/>
      <c r="BU218" s="64"/>
      <c r="BV218" s="64"/>
      <c r="BW218" s="64"/>
      <c r="BX218" s="64"/>
      <c r="BY218" s="64"/>
      <c r="BZ218" s="64"/>
      <c r="CA218" s="64"/>
      <c r="CB218" s="64"/>
      <c r="CC218" s="64"/>
      <c r="CD218" s="64"/>
      <c r="CE218" s="64"/>
      <c r="CF218" s="64"/>
      <c r="CG218" s="64"/>
    </row>
    <row r="219" spans="1:85" ht="12.75">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c r="AQ219" s="64"/>
      <c r="AR219" s="64"/>
      <c r="AS219" s="64"/>
      <c r="AT219" s="64"/>
      <c r="AU219" s="64"/>
      <c r="AV219" s="64"/>
      <c r="AW219" s="64"/>
      <c r="AX219" s="64"/>
      <c r="AY219" s="64"/>
      <c r="AZ219" s="64"/>
      <c r="BA219" s="64"/>
      <c r="BB219" s="64"/>
      <c r="BC219" s="64"/>
      <c r="BD219" s="64"/>
      <c r="BE219" s="64"/>
      <c r="BF219" s="64"/>
      <c r="BG219" s="64"/>
      <c r="BH219" s="64"/>
      <c r="BI219" s="64"/>
      <c r="BJ219" s="64"/>
      <c r="BK219" s="64"/>
      <c r="BL219" s="64"/>
      <c r="BM219" s="64"/>
      <c r="BN219" s="64"/>
      <c r="BO219" s="64"/>
      <c r="BP219" s="64"/>
      <c r="BQ219" s="64"/>
      <c r="BR219" s="64"/>
      <c r="BS219" s="64"/>
      <c r="BT219" s="64"/>
      <c r="BU219" s="64"/>
      <c r="BV219" s="64"/>
      <c r="BW219" s="64"/>
      <c r="BX219" s="64"/>
      <c r="BY219" s="64"/>
      <c r="BZ219" s="64"/>
      <c r="CA219" s="64"/>
      <c r="CB219" s="64"/>
      <c r="CC219" s="64"/>
      <c r="CD219" s="64"/>
      <c r="CE219" s="64"/>
      <c r="CF219" s="64"/>
      <c r="CG219" s="64"/>
    </row>
    <row r="220" spans="1:85" ht="12.75">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64"/>
      <c r="BH220" s="64"/>
      <c r="BI220" s="64"/>
      <c r="BJ220" s="64"/>
      <c r="BK220" s="64"/>
      <c r="BL220" s="64"/>
      <c r="BM220" s="64"/>
      <c r="BN220" s="64"/>
      <c r="BO220" s="64"/>
      <c r="BP220" s="64"/>
      <c r="BQ220" s="64"/>
      <c r="BR220" s="64"/>
      <c r="BS220" s="64"/>
      <c r="BT220" s="64"/>
      <c r="BU220" s="64"/>
      <c r="BV220" s="64"/>
      <c r="BW220" s="64"/>
      <c r="BX220" s="64"/>
      <c r="BY220" s="64"/>
      <c r="BZ220" s="64"/>
      <c r="CA220" s="64"/>
      <c r="CB220" s="64"/>
      <c r="CC220" s="64"/>
      <c r="CD220" s="64"/>
      <c r="CE220" s="64"/>
      <c r="CF220" s="64"/>
      <c r="CG220" s="64"/>
    </row>
    <row r="221" spans="1:85" ht="12.75">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c r="AQ221" s="64"/>
      <c r="AR221" s="64"/>
      <c r="AS221" s="64"/>
      <c r="AT221" s="64"/>
      <c r="AU221" s="64"/>
      <c r="AV221" s="64"/>
      <c r="AW221" s="64"/>
      <c r="AX221" s="64"/>
      <c r="AY221" s="64"/>
      <c r="AZ221" s="64"/>
      <c r="BA221" s="64"/>
      <c r="BB221" s="64"/>
      <c r="BC221" s="64"/>
      <c r="BD221" s="64"/>
      <c r="BE221" s="64"/>
      <c r="BF221" s="64"/>
      <c r="BG221" s="64"/>
      <c r="BH221" s="64"/>
      <c r="BI221" s="64"/>
      <c r="BJ221" s="64"/>
      <c r="BK221" s="64"/>
      <c r="BL221" s="64"/>
      <c r="BM221" s="64"/>
      <c r="BN221" s="64"/>
      <c r="BO221" s="64"/>
      <c r="BP221" s="64"/>
      <c r="BQ221" s="64"/>
      <c r="BR221" s="64"/>
      <c r="BS221" s="64"/>
      <c r="BT221" s="64"/>
      <c r="BU221" s="64"/>
      <c r="BV221" s="64"/>
      <c r="BW221" s="64"/>
      <c r="BX221" s="64"/>
      <c r="BY221" s="64"/>
      <c r="BZ221" s="64"/>
      <c r="CA221" s="64"/>
      <c r="CB221" s="64"/>
      <c r="CC221" s="64"/>
      <c r="CD221" s="64"/>
      <c r="CE221" s="64"/>
      <c r="CF221" s="64"/>
      <c r="CG221" s="64"/>
    </row>
    <row r="222" spans="1:85" ht="12.75">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64"/>
      <c r="AS222" s="64"/>
      <c r="AT222" s="64"/>
      <c r="AU222" s="64"/>
      <c r="AV222" s="64"/>
      <c r="AW222" s="64"/>
      <c r="AX222" s="64"/>
      <c r="AY222" s="64"/>
      <c r="AZ222" s="64"/>
      <c r="BA222" s="64"/>
      <c r="BB222" s="64"/>
      <c r="BC222" s="64"/>
      <c r="BD222" s="64"/>
      <c r="BE222" s="64"/>
      <c r="BF222" s="64"/>
      <c r="BG222" s="64"/>
      <c r="BH222" s="64"/>
      <c r="BI222" s="64"/>
      <c r="BJ222" s="64"/>
      <c r="BK222" s="64"/>
      <c r="BL222" s="64"/>
      <c r="BM222" s="64"/>
      <c r="BN222" s="64"/>
      <c r="BO222" s="64"/>
      <c r="BP222" s="64"/>
      <c r="BQ222" s="64"/>
      <c r="BR222" s="64"/>
      <c r="BS222" s="64"/>
      <c r="BT222" s="64"/>
      <c r="BU222" s="64"/>
      <c r="BV222" s="64"/>
      <c r="BW222" s="64"/>
      <c r="BX222" s="64"/>
      <c r="BY222" s="64"/>
      <c r="BZ222" s="64"/>
      <c r="CA222" s="64"/>
      <c r="CB222" s="64"/>
      <c r="CC222" s="64"/>
      <c r="CD222" s="64"/>
      <c r="CE222" s="64"/>
      <c r="CF222" s="64"/>
      <c r="CG222" s="64"/>
    </row>
    <row r="223" spans="1:85" ht="12.75">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c r="AQ223" s="64"/>
      <c r="AR223" s="64"/>
      <c r="AS223" s="64"/>
      <c r="AT223" s="64"/>
      <c r="AU223" s="64"/>
      <c r="AV223" s="64"/>
      <c r="AW223" s="64"/>
      <c r="AX223" s="64"/>
      <c r="AY223" s="64"/>
      <c r="AZ223" s="64"/>
      <c r="BA223" s="64"/>
      <c r="BB223" s="64"/>
      <c r="BC223" s="64"/>
      <c r="BD223" s="64"/>
      <c r="BE223" s="64"/>
      <c r="BF223" s="64"/>
      <c r="BG223" s="64"/>
      <c r="BH223" s="64"/>
      <c r="BI223" s="64"/>
      <c r="BJ223" s="64"/>
      <c r="BK223" s="64"/>
      <c r="BL223" s="64"/>
      <c r="BM223" s="64"/>
      <c r="BN223" s="64"/>
      <c r="BO223" s="64"/>
      <c r="BP223" s="64"/>
      <c r="BQ223" s="64"/>
      <c r="BR223" s="64"/>
      <c r="BS223" s="64"/>
      <c r="BT223" s="64"/>
      <c r="BU223" s="64"/>
      <c r="BV223" s="64"/>
      <c r="BW223" s="64"/>
      <c r="BX223" s="64"/>
      <c r="BY223" s="64"/>
      <c r="BZ223" s="64"/>
      <c r="CA223" s="64"/>
      <c r="CB223" s="64"/>
      <c r="CC223" s="64"/>
      <c r="CD223" s="64"/>
      <c r="CE223" s="64"/>
      <c r="CF223" s="64"/>
      <c r="CG223" s="64"/>
    </row>
    <row r="224" spans="1:85" ht="12.75">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c r="AQ224" s="64"/>
      <c r="AR224" s="64"/>
      <c r="AS224" s="64"/>
      <c r="AT224" s="64"/>
      <c r="AU224" s="64"/>
      <c r="AV224" s="64"/>
      <c r="AW224" s="64"/>
      <c r="AX224" s="64"/>
      <c r="AY224" s="64"/>
      <c r="AZ224" s="64"/>
      <c r="BA224" s="64"/>
      <c r="BB224" s="64"/>
      <c r="BC224" s="64"/>
      <c r="BD224" s="64"/>
      <c r="BE224" s="64"/>
      <c r="BF224" s="64"/>
      <c r="BG224" s="64"/>
      <c r="BH224" s="64"/>
      <c r="BI224" s="64"/>
      <c r="BJ224" s="64"/>
      <c r="BK224" s="64"/>
      <c r="BL224" s="64"/>
      <c r="BM224" s="64"/>
      <c r="BN224" s="64"/>
      <c r="BO224" s="64"/>
      <c r="BP224" s="64"/>
      <c r="BQ224" s="64"/>
      <c r="BR224" s="64"/>
      <c r="BS224" s="64"/>
      <c r="BT224" s="64"/>
      <c r="BU224" s="64"/>
      <c r="BV224" s="64"/>
      <c r="BW224" s="64"/>
      <c r="BX224" s="64"/>
      <c r="BY224" s="64"/>
      <c r="BZ224" s="64"/>
      <c r="CA224" s="64"/>
      <c r="CB224" s="64"/>
      <c r="CC224" s="64"/>
      <c r="CD224" s="64"/>
      <c r="CE224" s="64"/>
      <c r="CF224" s="64"/>
      <c r="CG224" s="64"/>
    </row>
    <row r="225" spans="1:85" ht="12.75">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c r="AQ225" s="64"/>
      <c r="AR225" s="64"/>
      <c r="AS225" s="64"/>
      <c r="AT225" s="64"/>
      <c r="AU225" s="64"/>
      <c r="AV225" s="64"/>
      <c r="AW225" s="64"/>
      <c r="AX225" s="64"/>
      <c r="AY225" s="64"/>
      <c r="AZ225" s="64"/>
      <c r="BA225" s="64"/>
      <c r="BB225" s="64"/>
      <c r="BC225" s="64"/>
      <c r="BD225" s="64"/>
      <c r="BE225" s="64"/>
      <c r="BF225" s="64"/>
      <c r="BG225" s="64"/>
      <c r="BH225" s="64"/>
      <c r="BI225" s="64"/>
      <c r="BJ225" s="64"/>
      <c r="BK225" s="64"/>
      <c r="BL225" s="64"/>
      <c r="BM225" s="64"/>
      <c r="BN225" s="64"/>
      <c r="BO225" s="64"/>
      <c r="BP225" s="64"/>
      <c r="BQ225" s="64"/>
      <c r="BR225" s="64"/>
      <c r="BS225" s="64"/>
      <c r="BT225" s="64"/>
      <c r="BU225" s="64"/>
      <c r="BV225" s="64"/>
      <c r="BW225" s="64"/>
      <c r="BX225" s="64"/>
      <c r="BY225" s="64"/>
      <c r="BZ225" s="64"/>
      <c r="CA225" s="64"/>
      <c r="CB225" s="64"/>
      <c r="CC225" s="64"/>
      <c r="CD225" s="64"/>
      <c r="CE225" s="64"/>
      <c r="CF225" s="64"/>
      <c r="CG225" s="64"/>
    </row>
    <row r="226" spans="1:85" ht="12.75">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c r="AQ226" s="64"/>
      <c r="AR226" s="64"/>
      <c r="AS226" s="64"/>
      <c r="AT226" s="64"/>
      <c r="AU226" s="64"/>
      <c r="AV226" s="64"/>
      <c r="AW226" s="64"/>
      <c r="AX226" s="64"/>
      <c r="AY226" s="64"/>
      <c r="AZ226" s="64"/>
      <c r="BA226" s="64"/>
      <c r="BB226" s="64"/>
      <c r="BC226" s="64"/>
      <c r="BD226" s="64"/>
      <c r="BE226" s="64"/>
      <c r="BF226" s="64"/>
      <c r="BG226" s="64"/>
      <c r="BH226" s="64"/>
      <c r="BI226" s="64"/>
      <c r="BJ226" s="64"/>
      <c r="BK226" s="64"/>
      <c r="BL226" s="64"/>
      <c r="BM226" s="64"/>
      <c r="BN226" s="64"/>
      <c r="BO226" s="64"/>
      <c r="BP226" s="64"/>
      <c r="BQ226" s="64"/>
      <c r="BR226" s="64"/>
      <c r="BS226" s="64"/>
      <c r="BT226" s="64"/>
      <c r="BU226" s="64"/>
      <c r="BV226" s="64"/>
      <c r="BW226" s="64"/>
      <c r="BX226" s="64"/>
      <c r="BY226" s="64"/>
      <c r="BZ226" s="64"/>
      <c r="CA226" s="64"/>
      <c r="CB226" s="64"/>
      <c r="CC226" s="64"/>
      <c r="CD226" s="64"/>
      <c r="CE226" s="64"/>
      <c r="CF226" s="64"/>
      <c r="CG226" s="64"/>
    </row>
    <row r="227" spans="1:85" ht="12.75">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c r="AQ227" s="64"/>
      <c r="AR227" s="64"/>
      <c r="AS227" s="64"/>
      <c r="AT227" s="64"/>
      <c r="AU227" s="64"/>
      <c r="AV227" s="64"/>
      <c r="AW227" s="64"/>
      <c r="AX227" s="64"/>
      <c r="AY227" s="64"/>
      <c r="AZ227" s="64"/>
      <c r="BA227" s="64"/>
      <c r="BB227" s="64"/>
      <c r="BC227" s="64"/>
      <c r="BD227" s="64"/>
      <c r="BE227" s="64"/>
      <c r="BF227" s="64"/>
      <c r="BG227" s="64"/>
      <c r="BH227" s="64"/>
      <c r="BI227" s="64"/>
      <c r="BJ227" s="64"/>
      <c r="BK227" s="64"/>
      <c r="BL227" s="64"/>
      <c r="BM227" s="64"/>
      <c r="BN227" s="64"/>
      <c r="BO227" s="64"/>
      <c r="BP227" s="64"/>
      <c r="BQ227" s="64"/>
      <c r="BR227" s="64"/>
      <c r="BS227" s="64"/>
      <c r="BT227" s="64"/>
      <c r="BU227" s="64"/>
      <c r="BV227" s="64"/>
      <c r="BW227" s="64"/>
      <c r="BX227" s="64"/>
      <c r="BY227" s="64"/>
      <c r="BZ227" s="64"/>
      <c r="CA227" s="64"/>
      <c r="CB227" s="64"/>
      <c r="CC227" s="64"/>
      <c r="CD227" s="64"/>
      <c r="CE227" s="64"/>
      <c r="CF227" s="64"/>
      <c r="CG227" s="64"/>
    </row>
    <row r="228" spans="1:85" ht="12.75">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c r="AQ228" s="64"/>
      <c r="AR228" s="64"/>
      <c r="AS228" s="64"/>
      <c r="AT228" s="64"/>
      <c r="AU228" s="64"/>
      <c r="AV228" s="64"/>
      <c r="AW228" s="64"/>
      <c r="AX228" s="64"/>
      <c r="AY228" s="64"/>
      <c r="AZ228" s="64"/>
      <c r="BA228" s="64"/>
      <c r="BB228" s="64"/>
      <c r="BC228" s="64"/>
      <c r="BD228" s="64"/>
      <c r="BE228" s="64"/>
      <c r="BF228" s="64"/>
      <c r="BG228" s="64"/>
      <c r="BH228" s="64"/>
      <c r="BI228" s="64"/>
      <c r="BJ228" s="64"/>
      <c r="BK228" s="64"/>
      <c r="BL228" s="64"/>
      <c r="BM228" s="64"/>
      <c r="BN228" s="64"/>
      <c r="BO228" s="64"/>
      <c r="BP228" s="64"/>
      <c r="BQ228" s="64"/>
      <c r="BR228" s="64"/>
      <c r="BS228" s="64"/>
      <c r="BT228" s="64"/>
      <c r="BU228" s="64"/>
      <c r="BV228" s="64"/>
      <c r="BW228" s="64"/>
      <c r="BX228" s="64"/>
      <c r="BY228" s="64"/>
      <c r="BZ228" s="64"/>
      <c r="CA228" s="64"/>
      <c r="CB228" s="64"/>
      <c r="CC228" s="64"/>
      <c r="CD228" s="64"/>
      <c r="CE228" s="64"/>
      <c r="CF228" s="64"/>
      <c r="CG228" s="64"/>
    </row>
    <row r="229" spans="1:85" ht="12.75">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c r="AQ229" s="64"/>
      <c r="AR229" s="64"/>
      <c r="AS229" s="64"/>
      <c r="AT229" s="64"/>
      <c r="AU229" s="64"/>
      <c r="AV229" s="64"/>
      <c r="AW229" s="64"/>
      <c r="AX229" s="64"/>
      <c r="AY229" s="64"/>
      <c r="AZ229" s="64"/>
      <c r="BA229" s="64"/>
      <c r="BB229" s="64"/>
      <c r="BC229" s="64"/>
      <c r="BD229" s="64"/>
      <c r="BE229" s="64"/>
      <c r="BF229" s="64"/>
      <c r="BG229" s="64"/>
      <c r="BH229" s="64"/>
      <c r="BI229" s="64"/>
      <c r="BJ229" s="64"/>
      <c r="BK229" s="64"/>
      <c r="BL229" s="64"/>
      <c r="BM229" s="64"/>
      <c r="BN229" s="64"/>
      <c r="BO229" s="64"/>
      <c r="BP229" s="64"/>
      <c r="BQ229" s="64"/>
      <c r="BR229" s="64"/>
      <c r="BS229" s="64"/>
      <c r="BT229" s="64"/>
      <c r="BU229" s="64"/>
      <c r="BV229" s="64"/>
      <c r="BW229" s="64"/>
      <c r="BX229" s="64"/>
      <c r="BY229" s="64"/>
      <c r="BZ229" s="64"/>
      <c r="CA229" s="64"/>
      <c r="CB229" s="64"/>
      <c r="CC229" s="64"/>
      <c r="CD229" s="64"/>
      <c r="CE229" s="64"/>
      <c r="CF229" s="64"/>
      <c r="CG229" s="64"/>
    </row>
    <row r="230" spans="1:85" ht="12.75">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c r="AQ230" s="64"/>
      <c r="AR230" s="64"/>
      <c r="AS230" s="64"/>
      <c r="AT230" s="64"/>
      <c r="AU230" s="64"/>
      <c r="AV230" s="64"/>
      <c r="AW230" s="64"/>
      <c r="AX230" s="64"/>
      <c r="AY230" s="64"/>
      <c r="AZ230" s="64"/>
      <c r="BA230" s="64"/>
      <c r="BB230" s="64"/>
      <c r="BC230" s="64"/>
      <c r="BD230" s="64"/>
      <c r="BE230" s="64"/>
      <c r="BF230" s="64"/>
      <c r="BG230" s="64"/>
      <c r="BH230" s="64"/>
      <c r="BI230" s="64"/>
      <c r="BJ230" s="64"/>
      <c r="BK230" s="64"/>
      <c r="BL230" s="64"/>
      <c r="BM230" s="64"/>
      <c r="BN230" s="64"/>
      <c r="BO230" s="64"/>
      <c r="BP230" s="64"/>
      <c r="BQ230" s="64"/>
      <c r="BR230" s="64"/>
      <c r="BS230" s="64"/>
      <c r="BT230" s="64"/>
      <c r="BU230" s="64"/>
      <c r="BV230" s="64"/>
      <c r="BW230" s="64"/>
      <c r="BX230" s="64"/>
      <c r="BY230" s="64"/>
      <c r="BZ230" s="64"/>
      <c r="CA230" s="64"/>
      <c r="CB230" s="64"/>
      <c r="CC230" s="64"/>
      <c r="CD230" s="64"/>
      <c r="CE230" s="64"/>
      <c r="CF230" s="64"/>
      <c r="CG230" s="64"/>
    </row>
    <row r="231" spans="1:85" ht="12.75">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c r="AQ231" s="64"/>
      <c r="AR231" s="64"/>
      <c r="AS231" s="64"/>
      <c r="AT231" s="64"/>
      <c r="AU231" s="64"/>
      <c r="AV231" s="64"/>
      <c r="AW231" s="64"/>
      <c r="AX231" s="64"/>
      <c r="AY231" s="64"/>
      <c r="AZ231" s="64"/>
      <c r="BA231" s="64"/>
      <c r="BB231" s="64"/>
      <c r="BC231" s="64"/>
      <c r="BD231" s="64"/>
      <c r="BE231" s="64"/>
      <c r="BF231" s="64"/>
      <c r="BG231" s="64"/>
      <c r="BH231" s="64"/>
      <c r="BI231" s="64"/>
      <c r="BJ231" s="64"/>
      <c r="BK231" s="64"/>
      <c r="BL231" s="64"/>
      <c r="BM231" s="64"/>
      <c r="BN231" s="64"/>
      <c r="BO231" s="64"/>
      <c r="BP231" s="64"/>
      <c r="BQ231" s="64"/>
      <c r="BR231" s="64"/>
      <c r="BS231" s="64"/>
      <c r="BT231" s="64"/>
      <c r="BU231" s="64"/>
      <c r="BV231" s="64"/>
      <c r="BW231" s="64"/>
      <c r="BX231" s="64"/>
      <c r="BY231" s="64"/>
      <c r="BZ231" s="64"/>
      <c r="CA231" s="64"/>
      <c r="CB231" s="64"/>
      <c r="CC231" s="64"/>
      <c r="CD231" s="64"/>
      <c r="CE231" s="64"/>
      <c r="CF231" s="64"/>
      <c r="CG231" s="64"/>
    </row>
    <row r="232" spans="1:85" ht="12.75">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c r="AQ232" s="64"/>
      <c r="AR232" s="64"/>
      <c r="AS232" s="64"/>
      <c r="AT232" s="64"/>
      <c r="AU232" s="64"/>
      <c r="AV232" s="64"/>
      <c r="AW232" s="64"/>
      <c r="AX232" s="64"/>
      <c r="AY232" s="64"/>
      <c r="AZ232" s="64"/>
      <c r="BA232" s="64"/>
      <c r="BB232" s="64"/>
      <c r="BC232" s="64"/>
      <c r="BD232" s="64"/>
      <c r="BE232" s="64"/>
      <c r="BF232" s="64"/>
      <c r="BG232" s="64"/>
      <c r="BH232" s="64"/>
      <c r="BI232" s="64"/>
      <c r="BJ232" s="64"/>
      <c r="BK232" s="64"/>
      <c r="BL232" s="64"/>
      <c r="BM232" s="64"/>
      <c r="BN232" s="64"/>
      <c r="BO232" s="64"/>
      <c r="BP232" s="64"/>
      <c r="BQ232" s="64"/>
      <c r="BR232" s="64"/>
      <c r="BS232" s="64"/>
      <c r="BT232" s="64"/>
      <c r="BU232" s="64"/>
      <c r="BV232" s="64"/>
      <c r="BW232" s="64"/>
      <c r="BX232" s="64"/>
      <c r="BY232" s="64"/>
      <c r="BZ232" s="64"/>
      <c r="CA232" s="64"/>
      <c r="CB232" s="64"/>
      <c r="CC232" s="64"/>
      <c r="CD232" s="64"/>
      <c r="CE232" s="64"/>
      <c r="CF232" s="64"/>
      <c r="CG232" s="64"/>
    </row>
    <row r="233" spans="1:85" ht="12.75">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c r="BI233" s="64"/>
      <c r="BJ233" s="64"/>
      <c r="BK233" s="64"/>
      <c r="BL233" s="64"/>
      <c r="BM233" s="64"/>
      <c r="BN233" s="64"/>
      <c r="BO233" s="64"/>
      <c r="BP233" s="64"/>
      <c r="BQ233" s="64"/>
      <c r="BR233" s="64"/>
      <c r="BS233" s="64"/>
      <c r="BT233" s="64"/>
      <c r="BU233" s="64"/>
      <c r="BV233" s="64"/>
      <c r="BW233" s="64"/>
      <c r="BX233" s="64"/>
      <c r="BY233" s="64"/>
      <c r="BZ233" s="64"/>
      <c r="CA233" s="64"/>
      <c r="CB233" s="64"/>
      <c r="CC233" s="64"/>
      <c r="CD233" s="64"/>
      <c r="CE233" s="64"/>
      <c r="CF233" s="64"/>
      <c r="CG233" s="64"/>
    </row>
    <row r="234" spans="1:85" ht="12.75">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c r="AQ234" s="64"/>
      <c r="AR234" s="64"/>
      <c r="AS234" s="64"/>
      <c r="AT234" s="64"/>
      <c r="AU234" s="64"/>
      <c r="AV234" s="64"/>
      <c r="AW234" s="64"/>
      <c r="AX234" s="64"/>
      <c r="AY234" s="64"/>
      <c r="AZ234" s="64"/>
      <c r="BA234" s="64"/>
      <c r="BB234" s="64"/>
      <c r="BC234" s="64"/>
      <c r="BD234" s="64"/>
      <c r="BE234" s="64"/>
      <c r="BF234" s="64"/>
      <c r="BG234" s="64"/>
      <c r="BH234" s="64"/>
      <c r="BI234" s="64"/>
      <c r="BJ234" s="64"/>
      <c r="BK234" s="64"/>
      <c r="BL234" s="64"/>
      <c r="BM234" s="64"/>
      <c r="BN234" s="64"/>
      <c r="BO234" s="64"/>
      <c r="BP234" s="64"/>
      <c r="BQ234" s="64"/>
      <c r="BR234" s="64"/>
      <c r="BS234" s="64"/>
      <c r="BT234" s="64"/>
      <c r="BU234" s="64"/>
      <c r="BV234" s="64"/>
      <c r="BW234" s="64"/>
      <c r="BX234" s="64"/>
      <c r="BY234" s="64"/>
      <c r="BZ234" s="64"/>
      <c r="CA234" s="64"/>
      <c r="CB234" s="64"/>
      <c r="CC234" s="64"/>
      <c r="CD234" s="64"/>
      <c r="CE234" s="64"/>
      <c r="CF234" s="64"/>
      <c r="CG234" s="64"/>
    </row>
    <row r="235" spans="1:85" ht="12.75">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c r="AQ235" s="64"/>
      <c r="AR235" s="64"/>
      <c r="AS235" s="64"/>
      <c r="AT235" s="64"/>
      <c r="AU235" s="64"/>
      <c r="AV235" s="64"/>
      <c r="AW235" s="64"/>
      <c r="AX235" s="64"/>
      <c r="AY235" s="64"/>
      <c r="AZ235" s="64"/>
      <c r="BA235" s="64"/>
      <c r="BB235" s="64"/>
      <c r="BC235" s="64"/>
      <c r="BD235" s="64"/>
      <c r="BE235" s="64"/>
      <c r="BF235" s="64"/>
      <c r="BG235" s="64"/>
      <c r="BH235" s="64"/>
      <c r="BI235" s="64"/>
      <c r="BJ235" s="64"/>
      <c r="BK235" s="64"/>
      <c r="BL235" s="64"/>
      <c r="BM235" s="64"/>
      <c r="BN235" s="64"/>
      <c r="BO235" s="64"/>
      <c r="BP235" s="64"/>
      <c r="BQ235" s="64"/>
      <c r="BR235" s="64"/>
      <c r="BS235" s="64"/>
      <c r="BT235" s="64"/>
      <c r="BU235" s="64"/>
      <c r="BV235" s="64"/>
      <c r="BW235" s="64"/>
      <c r="BX235" s="64"/>
      <c r="BY235" s="64"/>
      <c r="BZ235" s="64"/>
      <c r="CA235" s="64"/>
      <c r="CB235" s="64"/>
      <c r="CC235" s="64"/>
      <c r="CD235" s="64"/>
      <c r="CE235" s="64"/>
      <c r="CF235" s="64"/>
      <c r="CG235" s="64"/>
    </row>
    <row r="236" spans="1:85" ht="12.75">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4"/>
      <c r="BH236" s="64"/>
      <c r="BI236" s="64"/>
      <c r="BJ236" s="64"/>
      <c r="BK236" s="64"/>
      <c r="BL236" s="64"/>
      <c r="BM236" s="64"/>
      <c r="BN236" s="64"/>
      <c r="BO236" s="64"/>
      <c r="BP236" s="64"/>
      <c r="BQ236" s="64"/>
      <c r="BR236" s="64"/>
      <c r="BS236" s="64"/>
      <c r="BT236" s="64"/>
      <c r="BU236" s="64"/>
      <c r="BV236" s="64"/>
      <c r="BW236" s="64"/>
      <c r="BX236" s="64"/>
      <c r="BY236" s="64"/>
      <c r="BZ236" s="64"/>
      <c r="CA236" s="64"/>
      <c r="CB236" s="64"/>
      <c r="CC236" s="64"/>
      <c r="CD236" s="64"/>
      <c r="CE236" s="64"/>
      <c r="CF236" s="64"/>
      <c r="CG236" s="64"/>
    </row>
    <row r="237" spans="1:85" ht="12.75">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64"/>
      <c r="AU237" s="64"/>
      <c r="AV237" s="64"/>
      <c r="AW237" s="64"/>
      <c r="AX237" s="64"/>
      <c r="AY237" s="64"/>
      <c r="AZ237" s="64"/>
      <c r="BA237" s="64"/>
      <c r="BB237" s="64"/>
      <c r="BC237" s="64"/>
      <c r="BD237" s="64"/>
      <c r="BE237" s="64"/>
      <c r="BF237" s="64"/>
      <c r="BG237" s="64"/>
      <c r="BH237" s="64"/>
      <c r="BI237" s="64"/>
      <c r="BJ237" s="64"/>
      <c r="BK237" s="64"/>
      <c r="BL237" s="64"/>
      <c r="BM237" s="64"/>
      <c r="BN237" s="64"/>
      <c r="BO237" s="64"/>
      <c r="BP237" s="64"/>
      <c r="BQ237" s="64"/>
      <c r="BR237" s="64"/>
      <c r="BS237" s="64"/>
      <c r="BT237" s="64"/>
      <c r="BU237" s="64"/>
      <c r="BV237" s="64"/>
      <c r="BW237" s="64"/>
      <c r="BX237" s="64"/>
      <c r="BY237" s="64"/>
      <c r="BZ237" s="64"/>
      <c r="CA237" s="64"/>
      <c r="CB237" s="64"/>
      <c r="CC237" s="64"/>
      <c r="CD237" s="64"/>
      <c r="CE237" s="64"/>
      <c r="CF237" s="64"/>
      <c r="CG237" s="64"/>
    </row>
    <row r="238" spans="1:85" ht="12.75">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c r="BI238" s="64"/>
      <c r="BJ238" s="64"/>
      <c r="BK238" s="64"/>
      <c r="BL238" s="64"/>
      <c r="BM238" s="64"/>
      <c r="BN238" s="64"/>
      <c r="BO238" s="64"/>
      <c r="BP238" s="64"/>
      <c r="BQ238" s="64"/>
      <c r="BR238" s="64"/>
      <c r="BS238" s="64"/>
      <c r="BT238" s="64"/>
      <c r="BU238" s="64"/>
      <c r="BV238" s="64"/>
      <c r="BW238" s="64"/>
      <c r="BX238" s="64"/>
      <c r="BY238" s="64"/>
      <c r="BZ238" s="64"/>
      <c r="CA238" s="64"/>
      <c r="CB238" s="64"/>
      <c r="CC238" s="64"/>
      <c r="CD238" s="64"/>
      <c r="CE238" s="64"/>
      <c r="CF238" s="64"/>
      <c r="CG238" s="64"/>
    </row>
    <row r="239" spans="1:85" ht="12.75">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64"/>
      <c r="BH239" s="64"/>
      <c r="BI239" s="64"/>
      <c r="BJ239" s="64"/>
      <c r="BK239" s="64"/>
      <c r="BL239" s="64"/>
      <c r="BM239" s="64"/>
      <c r="BN239" s="64"/>
      <c r="BO239" s="64"/>
      <c r="BP239" s="64"/>
      <c r="BQ239" s="64"/>
      <c r="BR239" s="64"/>
      <c r="BS239" s="64"/>
      <c r="BT239" s="64"/>
      <c r="BU239" s="64"/>
      <c r="BV239" s="64"/>
      <c r="BW239" s="64"/>
      <c r="BX239" s="64"/>
      <c r="BY239" s="64"/>
      <c r="BZ239" s="64"/>
      <c r="CA239" s="64"/>
      <c r="CB239" s="64"/>
      <c r="CC239" s="64"/>
      <c r="CD239" s="64"/>
      <c r="CE239" s="64"/>
      <c r="CF239" s="64"/>
      <c r="CG239" s="64"/>
    </row>
    <row r="240" spans="1:85" ht="12.75">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c r="AQ240" s="64"/>
      <c r="AR240" s="64"/>
      <c r="AS240" s="64"/>
      <c r="AT240" s="64"/>
      <c r="AU240" s="64"/>
      <c r="AV240" s="64"/>
      <c r="AW240" s="64"/>
      <c r="AX240" s="64"/>
      <c r="AY240" s="64"/>
      <c r="AZ240" s="64"/>
      <c r="BA240" s="64"/>
      <c r="BB240" s="64"/>
      <c r="BC240" s="64"/>
      <c r="BD240" s="64"/>
      <c r="BE240" s="64"/>
      <c r="BF240" s="64"/>
      <c r="BG240" s="64"/>
      <c r="BH240" s="64"/>
      <c r="BI240" s="64"/>
      <c r="BJ240" s="64"/>
      <c r="BK240" s="64"/>
      <c r="BL240" s="64"/>
      <c r="BM240" s="64"/>
      <c r="BN240" s="64"/>
      <c r="BO240" s="64"/>
      <c r="BP240" s="64"/>
      <c r="BQ240" s="64"/>
      <c r="BR240" s="64"/>
      <c r="BS240" s="64"/>
      <c r="BT240" s="64"/>
      <c r="BU240" s="64"/>
      <c r="BV240" s="64"/>
      <c r="BW240" s="64"/>
      <c r="BX240" s="64"/>
      <c r="BY240" s="64"/>
      <c r="BZ240" s="64"/>
      <c r="CA240" s="64"/>
      <c r="CB240" s="64"/>
      <c r="CC240" s="64"/>
      <c r="CD240" s="64"/>
      <c r="CE240" s="64"/>
      <c r="CF240" s="64"/>
      <c r="CG240" s="64"/>
    </row>
    <row r="241" spans="1:85" ht="12.75">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c r="AQ241" s="64"/>
      <c r="AR241" s="64"/>
      <c r="AS241" s="64"/>
      <c r="AT241" s="64"/>
      <c r="AU241" s="64"/>
      <c r="AV241" s="64"/>
      <c r="AW241" s="64"/>
      <c r="AX241" s="64"/>
      <c r="AY241" s="64"/>
      <c r="AZ241" s="64"/>
      <c r="BA241" s="64"/>
      <c r="BB241" s="64"/>
      <c r="BC241" s="64"/>
      <c r="BD241" s="64"/>
      <c r="BE241" s="64"/>
      <c r="BF241" s="64"/>
      <c r="BG241" s="64"/>
      <c r="BH241" s="64"/>
      <c r="BI241" s="64"/>
      <c r="BJ241" s="64"/>
      <c r="BK241" s="64"/>
      <c r="BL241" s="64"/>
      <c r="BM241" s="64"/>
      <c r="BN241" s="64"/>
      <c r="BO241" s="64"/>
      <c r="BP241" s="64"/>
      <c r="BQ241" s="64"/>
      <c r="BR241" s="64"/>
      <c r="BS241" s="64"/>
      <c r="BT241" s="64"/>
      <c r="BU241" s="64"/>
      <c r="BV241" s="64"/>
      <c r="BW241" s="64"/>
      <c r="BX241" s="64"/>
      <c r="BY241" s="64"/>
      <c r="BZ241" s="64"/>
      <c r="CA241" s="64"/>
      <c r="CB241" s="64"/>
      <c r="CC241" s="64"/>
      <c r="CD241" s="64"/>
      <c r="CE241" s="64"/>
      <c r="CF241" s="64"/>
      <c r="CG241" s="64"/>
    </row>
    <row r="242" spans="1:85" ht="12.75">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c r="BI242" s="64"/>
      <c r="BJ242" s="64"/>
      <c r="BK242" s="64"/>
      <c r="BL242" s="64"/>
      <c r="BM242" s="64"/>
      <c r="BN242" s="64"/>
      <c r="BO242" s="64"/>
      <c r="BP242" s="64"/>
      <c r="BQ242" s="64"/>
      <c r="BR242" s="64"/>
      <c r="BS242" s="64"/>
      <c r="BT242" s="64"/>
      <c r="BU242" s="64"/>
      <c r="BV242" s="64"/>
      <c r="BW242" s="64"/>
      <c r="BX242" s="64"/>
      <c r="BY242" s="64"/>
      <c r="BZ242" s="64"/>
      <c r="CA242" s="64"/>
      <c r="CB242" s="64"/>
      <c r="CC242" s="64"/>
      <c r="CD242" s="64"/>
      <c r="CE242" s="64"/>
      <c r="CF242" s="64"/>
      <c r="CG242" s="64"/>
    </row>
    <row r="243" spans="1:85" ht="12.75">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c r="AQ243" s="64"/>
      <c r="AR243" s="64"/>
      <c r="AS243" s="64"/>
      <c r="AT243" s="64"/>
      <c r="AU243" s="64"/>
      <c r="AV243" s="64"/>
      <c r="AW243" s="64"/>
      <c r="AX243" s="64"/>
      <c r="AY243" s="64"/>
      <c r="AZ243" s="64"/>
      <c r="BA243" s="64"/>
      <c r="BB243" s="64"/>
      <c r="BC243" s="64"/>
      <c r="BD243" s="64"/>
      <c r="BE243" s="64"/>
      <c r="BF243" s="64"/>
      <c r="BG243" s="64"/>
      <c r="BH243" s="64"/>
      <c r="BI243" s="64"/>
      <c r="BJ243" s="64"/>
      <c r="BK243" s="64"/>
      <c r="BL243" s="64"/>
      <c r="BM243" s="64"/>
      <c r="BN243" s="64"/>
      <c r="BO243" s="64"/>
      <c r="BP243" s="64"/>
      <c r="BQ243" s="64"/>
      <c r="BR243" s="64"/>
      <c r="BS243" s="64"/>
      <c r="BT243" s="64"/>
      <c r="BU243" s="64"/>
      <c r="BV243" s="64"/>
      <c r="BW243" s="64"/>
      <c r="BX243" s="64"/>
      <c r="BY243" s="64"/>
      <c r="BZ243" s="64"/>
      <c r="CA243" s="64"/>
      <c r="CB243" s="64"/>
      <c r="CC243" s="64"/>
      <c r="CD243" s="64"/>
      <c r="CE243" s="64"/>
      <c r="CF243" s="64"/>
      <c r="CG243" s="64"/>
    </row>
    <row r="244" spans="1:85" ht="12.75">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c r="BI244" s="64"/>
      <c r="BJ244" s="64"/>
      <c r="BK244" s="64"/>
      <c r="BL244" s="64"/>
      <c r="BM244" s="64"/>
      <c r="BN244" s="64"/>
      <c r="BO244" s="64"/>
      <c r="BP244" s="64"/>
      <c r="BQ244" s="64"/>
      <c r="BR244" s="64"/>
      <c r="BS244" s="64"/>
      <c r="BT244" s="64"/>
      <c r="BU244" s="64"/>
      <c r="BV244" s="64"/>
      <c r="BW244" s="64"/>
      <c r="BX244" s="64"/>
      <c r="BY244" s="64"/>
      <c r="BZ244" s="64"/>
      <c r="CA244" s="64"/>
      <c r="CB244" s="64"/>
      <c r="CC244" s="64"/>
      <c r="CD244" s="64"/>
      <c r="CE244" s="64"/>
      <c r="CF244" s="64"/>
      <c r="CG244" s="64"/>
    </row>
    <row r="245" spans="1:85" ht="12.75">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c r="AQ245" s="64"/>
      <c r="AR245" s="64"/>
      <c r="AS245" s="64"/>
      <c r="AT245" s="64"/>
      <c r="AU245" s="64"/>
      <c r="AV245" s="64"/>
      <c r="AW245" s="64"/>
      <c r="AX245" s="64"/>
      <c r="AY245" s="64"/>
      <c r="AZ245" s="64"/>
      <c r="BA245" s="64"/>
      <c r="BB245" s="64"/>
      <c r="BC245" s="64"/>
      <c r="BD245" s="64"/>
      <c r="BE245" s="64"/>
      <c r="BF245" s="64"/>
      <c r="BG245" s="64"/>
      <c r="BH245" s="64"/>
      <c r="BI245" s="64"/>
      <c r="BJ245" s="64"/>
      <c r="BK245" s="64"/>
      <c r="BL245" s="64"/>
      <c r="BM245" s="64"/>
      <c r="BN245" s="64"/>
      <c r="BO245" s="64"/>
      <c r="BP245" s="64"/>
      <c r="BQ245" s="64"/>
      <c r="BR245" s="64"/>
      <c r="BS245" s="64"/>
      <c r="BT245" s="64"/>
      <c r="BU245" s="64"/>
      <c r="BV245" s="64"/>
      <c r="BW245" s="64"/>
      <c r="BX245" s="64"/>
      <c r="BY245" s="64"/>
      <c r="BZ245" s="64"/>
      <c r="CA245" s="64"/>
      <c r="CB245" s="64"/>
      <c r="CC245" s="64"/>
      <c r="CD245" s="64"/>
      <c r="CE245" s="64"/>
      <c r="CF245" s="64"/>
      <c r="CG245" s="64"/>
    </row>
    <row r="246" spans="1:85" ht="12.75">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c r="AQ246" s="64"/>
      <c r="AR246" s="64"/>
      <c r="AS246" s="64"/>
      <c r="AT246" s="64"/>
      <c r="AU246" s="64"/>
      <c r="AV246" s="64"/>
      <c r="AW246" s="64"/>
      <c r="AX246" s="64"/>
      <c r="AY246" s="64"/>
      <c r="AZ246" s="64"/>
      <c r="BA246" s="64"/>
      <c r="BB246" s="64"/>
      <c r="BC246" s="64"/>
      <c r="BD246" s="64"/>
      <c r="BE246" s="64"/>
      <c r="BF246" s="64"/>
      <c r="BG246" s="64"/>
      <c r="BH246" s="64"/>
      <c r="BI246" s="64"/>
      <c r="BJ246" s="64"/>
      <c r="BK246" s="64"/>
      <c r="BL246" s="64"/>
      <c r="BM246" s="64"/>
      <c r="BN246" s="64"/>
      <c r="BO246" s="64"/>
      <c r="BP246" s="64"/>
      <c r="BQ246" s="64"/>
      <c r="BR246" s="64"/>
      <c r="BS246" s="64"/>
      <c r="BT246" s="64"/>
      <c r="BU246" s="64"/>
      <c r="BV246" s="64"/>
      <c r="BW246" s="64"/>
      <c r="BX246" s="64"/>
      <c r="BY246" s="64"/>
      <c r="BZ246" s="64"/>
      <c r="CA246" s="64"/>
      <c r="CB246" s="64"/>
      <c r="CC246" s="64"/>
      <c r="CD246" s="64"/>
      <c r="CE246" s="64"/>
      <c r="CF246" s="64"/>
      <c r="CG246" s="64"/>
    </row>
    <row r="247" spans="1:85" ht="12.75">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c r="AQ247" s="64"/>
      <c r="AR247" s="64"/>
      <c r="AS247" s="64"/>
      <c r="AT247" s="64"/>
      <c r="AU247" s="64"/>
      <c r="AV247" s="64"/>
      <c r="AW247" s="64"/>
      <c r="AX247" s="64"/>
      <c r="AY247" s="64"/>
      <c r="AZ247" s="64"/>
      <c r="BA247" s="64"/>
      <c r="BB247" s="64"/>
      <c r="BC247" s="64"/>
      <c r="BD247" s="64"/>
      <c r="BE247" s="64"/>
      <c r="BF247" s="64"/>
      <c r="BG247" s="64"/>
      <c r="BH247" s="64"/>
      <c r="BI247" s="64"/>
      <c r="BJ247" s="64"/>
      <c r="BK247" s="64"/>
      <c r="BL247" s="64"/>
      <c r="BM247" s="64"/>
      <c r="BN247" s="64"/>
      <c r="BO247" s="64"/>
      <c r="BP247" s="64"/>
      <c r="BQ247" s="64"/>
      <c r="BR247" s="64"/>
      <c r="BS247" s="64"/>
      <c r="BT247" s="64"/>
      <c r="BU247" s="64"/>
      <c r="BV247" s="64"/>
      <c r="BW247" s="64"/>
      <c r="BX247" s="64"/>
      <c r="BY247" s="64"/>
      <c r="BZ247" s="64"/>
      <c r="CA247" s="64"/>
      <c r="CB247" s="64"/>
      <c r="CC247" s="64"/>
      <c r="CD247" s="64"/>
      <c r="CE247" s="64"/>
      <c r="CF247" s="64"/>
      <c r="CG247" s="64"/>
    </row>
    <row r="248" spans="1:85" ht="12.75">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c r="AQ248" s="64"/>
      <c r="AR248" s="64"/>
      <c r="AS248" s="64"/>
      <c r="AT248" s="64"/>
      <c r="AU248" s="64"/>
      <c r="AV248" s="64"/>
      <c r="AW248" s="64"/>
      <c r="AX248" s="64"/>
      <c r="AY248" s="64"/>
      <c r="AZ248" s="64"/>
      <c r="BA248" s="64"/>
      <c r="BB248" s="64"/>
      <c r="BC248" s="64"/>
      <c r="BD248" s="64"/>
      <c r="BE248" s="64"/>
      <c r="BF248" s="64"/>
      <c r="BG248" s="64"/>
      <c r="BH248" s="64"/>
      <c r="BI248" s="64"/>
      <c r="BJ248" s="64"/>
      <c r="BK248" s="64"/>
      <c r="BL248" s="64"/>
      <c r="BM248" s="64"/>
      <c r="BN248" s="64"/>
      <c r="BO248" s="64"/>
      <c r="BP248" s="64"/>
      <c r="BQ248" s="64"/>
      <c r="BR248" s="64"/>
      <c r="BS248" s="64"/>
      <c r="BT248" s="64"/>
      <c r="BU248" s="64"/>
      <c r="BV248" s="64"/>
      <c r="BW248" s="64"/>
      <c r="BX248" s="64"/>
      <c r="BY248" s="64"/>
      <c r="BZ248" s="64"/>
      <c r="CA248" s="64"/>
      <c r="CB248" s="64"/>
      <c r="CC248" s="64"/>
      <c r="CD248" s="64"/>
      <c r="CE248" s="64"/>
      <c r="CF248" s="64"/>
      <c r="CG248" s="64"/>
    </row>
    <row r="249" spans="1:85" ht="12.75">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c r="AQ249" s="64"/>
      <c r="AR249" s="64"/>
      <c r="AS249" s="64"/>
      <c r="AT249" s="64"/>
      <c r="AU249" s="64"/>
      <c r="AV249" s="64"/>
      <c r="AW249" s="64"/>
      <c r="AX249" s="64"/>
      <c r="AY249" s="64"/>
      <c r="AZ249" s="64"/>
      <c r="BA249" s="64"/>
      <c r="BB249" s="64"/>
      <c r="BC249" s="64"/>
      <c r="BD249" s="64"/>
      <c r="BE249" s="64"/>
      <c r="BF249" s="64"/>
      <c r="BG249" s="64"/>
      <c r="BH249" s="64"/>
      <c r="BI249" s="64"/>
      <c r="BJ249" s="64"/>
      <c r="BK249" s="64"/>
      <c r="BL249" s="64"/>
      <c r="BM249" s="64"/>
      <c r="BN249" s="64"/>
      <c r="BO249" s="64"/>
      <c r="BP249" s="64"/>
      <c r="BQ249" s="64"/>
      <c r="BR249" s="64"/>
      <c r="BS249" s="64"/>
      <c r="BT249" s="64"/>
      <c r="BU249" s="64"/>
      <c r="BV249" s="64"/>
      <c r="BW249" s="64"/>
      <c r="BX249" s="64"/>
      <c r="BY249" s="64"/>
      <c r="BZ249" s="64"/>
      <c r="CA249" s="64"/>
      <c r="CB249" s="64"/>
      <c r="CC249" s="64"/>
      <c r="CD249" s="64"/>
      <c r="CE249" s="64"/>
      <c r="CF249" s="64"/>
      <c r="CG249" s="64"/>
    </row>
    <row r="250" spans="1:85" ht="12.75">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c r="AQ250" s="64"/>
      <c r="AR250" s="64"/>
      <c r="AS250" s="64"/>
      <c r="AT250" s="64"/>
      <c r="AU250" s="64"/>
      <c r="AV250" s="64"/>
      <c r="AW250" s="64"/>
      <c r="AX250" s="64"/>
      <c r="AY250" s="64"/>
      <c r="AZ250" s="64"/>
      <c r="BA250" s="64"/>
      <c r="BB250" s="64"/>
      <c r="BC250" s="64"/>
      <c r="BD250" s="64"/>
      <c r="BE250" s="64"/>
      <c r="BF250" s="64"/>
      <c r="BG250" s="64"/>
      <c r="BH250" s="64"/>
      <c r="BI250" s="64"/>
      <c r="BJ250" s="64"/>
      <c r="BK250" s="64"/>
      <c r="BL250" s="64"/>
      <c r="BM250" s="64"/>
      <c r="BN250" s="64"/>
      <c r="BO250" s="64"/>
      <c r="BP250" s="64"/>
      <c r="BQ250" s="64"/>
      <c r="BR250" s="64"/>
      <c r="BS250" s="64"/>
      <c r="BT250" s="64"/>
      <c r="BU250" s="64"/>
      <c r="BV250" s="64"/>
      <c r="BW250" s="64"/>
      <c r="BX250" s="64"/>
      <c r="BY250" s="64"/>
      <c r="BZ250" s="64"/>
      <c r="CA250" s="64"/>
      <c r="CB250" s="64"/>
      <c r="CC250" s="64"/>
      <c r="CD250" s="64"/>
      <c r="CE250" s="64"/>
      <c r="CF250" s="64"/>
      <c r="CG250" s="64"/>
    </row>
    <row r="251" spans="1:85" ht="12.75">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c r="AQ251" s="64"/>
      <c r="AR251" s="64"/>
      <c r="AS251" s="64"/>
      <c r="AT251" s="64"/>
      <c r="AU251" s="64"/>
      <c r="AV251" s="64"/>
      <c r="AW251" s="64"/>
      <c r="AX251" s="64"/>
      <c r="AY251" s="64"/>
      <c r="AZ251" s="64"/>
      <c r="BA251" s="64"/>
      <c r="BB251" s="64"/>
      <c r="BC251" s="64"/>
      <c r="BD251" s="64"/>
      <c r="BE251" s="64"/>
      <c r="BF251" s="64"/>
      <c r="BG251" s="64"/>
      <c r="BH251" s="64"/>
      <c r="BI251" s="64"/>
      <c r="BJ251" s="64"/>
      <c r="BK251" s="64"/>
      <c r="BL251" s="64"/>
      <c r="BM251" s="64"/>
      <c r="BN251" s="64"/>
      <c r="BO251" s="64"/>
      <c r="BP251" s="64"/>
      <c r="BQ251" s="64"/>
      <c r="BR251" s="64"/>
      <c r="BS251" s="64"/>
      <c r="BT251" s="64"/>
      <c r="BU251" s="64"/>
      <c r="BV251" s="64"/>
      <c r="BW251" s="64"/>
      <c r="BX251" s="64"/>
      <c r="BY251" s="64"/>
      <c r="BZ251" s="64"/>
      <c r="CA251" s="64"/>
      <c r="CB251" s="64"/>
      <c r="CC251" s="64"/>
      <c r="CD251" s="64"/>
      <c r="CE251" s="64"/>
      <c r="CF251" s="64"/>
      <c r="CG251" s="64"/>
    </row>
    <row r="252" spans="1:85" ht="12.75">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c r="AQ252" s="64"/>
      <c r="AR252" s="64"/>
      <c r="AS252" s="64"/>
      <c r="AT252" s="64"/>
      <c r="AU252" s="64"/>
      <c r="AV252" s="64"/>
      <c r="AW252" s="64"/>
      <c r="AX252" s="64"/>
      <c r="AY252" s="64"/>
      <c r="AZ252" s="64"/>
      <c r="BA252" s="64"/>
      <c r="BB252" s="64"/>
      <c r="BC252" s="64"/>
      <c r="BD252" s="64"/>
      <c r="BE252" s="64"/>
      <c r="BF252" s="64"/>
      <c r="BG252" s="64"/>
      <c r="BH252" s="64"/>
      <c r="BI252" s="64"/>
      <c r="BJ252" s="64"/>
      <c r="BK252" s="64"/>
      <c r="BL252" s="64"/>
      <c r="BM252" s="64"/>
      <c r="BN252" s="64"/>
      <c r="BO252" s="64"/>
      <c r="BP252" s="64"/>
      <c r="BQ252" s="64"/>
      <c r="BR252" s="64"/>
      <c r="BS252" s="64"/>
      <c r="BT252" s="64"/>
      <c r="BU252" s="64"/>
      <c r="BV252" s="64"/>
      <c r="BW252" s="64"/>
      <c r="BX252" s="64"/>
      <c r="BY252" s="64"/>
      <c r="BZ252" s="64"/>
      <c r="CA252" s="64"/>
      <c r="CB252" s="64"/>
      <c r="CC252" s="64"/>
      <c r="CD252" s="64"/>
      <c r="CE252" s="64"/>
      <c r="CF252" s="64"/>
      <c r="CG252" s="64"/>
    </row>
    <row r="253" spans="1:85" ht="12.75">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c r="AQ253" s="64"/>
      <c r="AR253" s="64"/>
      <c r="AS253" s="64"/>
      <c r="AT253" s="64"/>
      <c r="AU253" s="64"/>
      <c r="AV253" s="64"/>
      <c r="AW253" s="64"/>
      <c r="AX253" s="64"/>
      <c r="AY253" s="64"/>
      <c r="AZ253" s="64"/>
      <c r="BA253" s="64"/>
      <c r="BB253" s="64"/>
      <c r="BC253" s="64"/>
      <c r="BD253" s="64"/>
      <c r="BE253" s="64"/>
      <c r="BF253" s="64"/>
      <c r="BG253" s="64"/>
      <c r="BH253" s="64"/>
      <c r="BI253" s="64"/>
      <c r="BJ253" s="64"/>
      <c r="BK253" s="64"/>
      <c r="BL253" s="64"/>
      <c r="BM253" s="64"/>
      <c r="BN253" s="64"/>
      <c r="BO253" s="64"/>
      <c r="BP253" s="64"/>
      <c r="BQ253" s="64"/>
      <c r="BR253" s="64"/>
      <c r="BS253" s="64"/>
      <c r="BT253" s="64"/>
      <c r="BU253" s="64"/>
      <c r="BV253" s="64"/>
      <c r="BW253" s="64"/>
      <c r="BX253" s="64"/>
      <c r="BY253" s="64"/>
      <c r="BZ253" s="64"/>
      <c r="CA253" s="64"/>
      <c r="CB253" s="64"/>
      <c r="CC253" s="64"/>
      <c r="CD253" s="64"/>
      <c r="CE253" s="64"/>
      <c r="CF253" s="64"/>
      <c r="CG253" s="64"/>
    </row>
    <row r="254" spans="1:85" ht="12.75">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c r="AQ254" s="64"/>
      <c r="AR254" s="64"/>
      <c r="AS254" s="64"/>
      <c r="AT254" s="64"/>
      <c r="AU254" s="64"/>
      <c r="AV254" s="64"/>
      <c r="AW254" s="64"/>
      <c r="AX254" s="64"/>
      <c r="AY254" s="64"/>
      <c r="AZ254" s="64"/>
      <c r="BA254" s="64"/>
      <c r="BB254" s="64"/>
      <c r="BC254" s="64"/>
      <c r="BD254" s="64"/>
      <c r="BE254" s="64"/>
      <c r="BF254" s="64"/>
      <c r="BG254" s="64"/>
      <c r="BH254" s="64"/>
      <c r="BI254" s="64"/>
      <c r="BJ254" s="64"/>
      <c r="BK254" s="64"/>
      <c r="BL254" s="64"/>
      <c r="BM254" s="64"/>
      <c r="BN254" s="64"/>
      <c r="BO254" s="64"/>
      <c r="BP254" s="64"/>
      <c r="BQ254" s="64"/>
      <c r="BR254" s="64"/>
      <c r="BS254" s="64"/>
      <c r="BT254" s="64"/>
      <c r="BU254" s="64"/>
      <c r="BV254" s="64"/>
      <c r="BW254" s="64"/>
      <c r="BX254" s="64"/>
      <c r="BY254" s="64"/>
      <c r="BZ254" s="64"/>
      <c r="CA254" s="64"/>
      <c r="CB254" s="64"/>
      <c r="CC254" s="64"/>
      <c r="CD254" s="64"/>
      <c r="CE254" s="64"/>
      <c r="CF254" s="64"/>
      <c r="CG254" s="64"/>
    </row>
    <row r="255" spans="1:85" ht="12.75">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c r="AQ255" s="64"/>
      <c r="AR255" s="64"/>
      <c r="AS255" s="64"/>
      <c r="AT255" s="64"/>
      <c r="AU255" s="64"/>
      <c r="AV255" s="64"/>
      <c r="AW255" s="64"/>
      <c r="AX255" s="64"/>
      <c r="AY255" s="64"/>
      <c r="AZ255" s="64"/>
      <c r="BA255" s="64"/>
      <c r="BB255" s="64"/>
      <c r="BC255" s="64"/>
      <c r="BD255" s="64"/>
      <c r="BE255" s="64"/>
      <c r="BF255" s="64"/>
      <c r="BG255" s="64"/>
      <c r="BH255" s="64"/>
      <c r="BI255" s="64"/>
      <c r="BJ255" s="64"/>
      <c r="BK255" s="64"/>
      <c r="BL255" s="64"/>
      <c r="BM255" s="64"/>
      <c r="BN255" s="64"/>
      <c r="BO255" s="64"/>
      <c r="BP255" s="64"/>
      <c r="BQ255" s="64"/>
      <c r="BR255" s="64"/>
      <c r="BS255" s="64"/>
      <c r="BT255" s="64"/>
      <c r="BU255" s="64"/>
      <c r="BV255" s="64"/>
      <c r="BW255" s="64"/>
      <c r="BX255" s="64"/>
      <c r="BY255" s="64"/>
      <c r="BZ255" s="64"/>
      <c r="CA255" s="64"/>
      <c r="CB255" s="64"/>
      <c r="CC255" s="64"/>
      <c r="CD255" s="64"/>
      <c r="CE255" s="64"/>
      <c r="CF255" s="64"/>
      <c r="CG255" s="64"/>
    </row>
    <row r="256" spans="1:85" ht="12.75">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c r="AQ256" s="64"/>
      <c r="AR256" s="64"/>
      <c r="AS256" s="64"/>
      <c r="AT256" s="64"/>
      <c r="AU256" s="64"/>
      <c r="AV256" s="64"/>
      <c r="AW256" s="64"/>
      <c r="AX256" s="64"/>
      <c r="AY256" s="64"/>
      <c r="AZ256" s="64"/>
      <c r="BA256" s="64"/>
      <c r="BB256" s="64"/>
      <c r="BC256" s="64"/>
      <c r="BD256" s="64"/>
      <c r="BE256" s="64"/>
      <c r="BF256" s="64"/>
      <c r="BG256" s="64"/>
      <c r="BH256" s="64"/>
      <c r="BI256" s="64"/>
      <c r="BJ256" s="64"/>
      <c r="BK256" s="64"/>
      <c r="BL256" s="64"/>
      <c r="BM256" s="64"/>
      <c r="BN256" s="64"/>
      <c r="BO256" s="64"/>
      <c r="BP256" s="64"/>
      <c r="BQ256" s="64"/>
      <c r="BR256" s="64"/>
      <c r="BS256" s="64"/>
      <c r="BT256" s="64"/>
      <c r="BU256" s="64"/>
      <c r="BV256" s="64"/>
      <c r="BW256" s="64"/>
      <c r="BX256" s="64"/>
      <c r="BY256" s="64"/>
      <c r="BZ256" s="64"/>
      <c r="CA256" s="64"/>
      <c r="CB256" s="64"/>
      <c r="CC256" s="64"/>
      <c r="CD256" s="64"/>
      <c r="CE256" s="64"/>
      <c r="CF256" s="64"/>
      <c r="CG256" s="64"/>
    </row>
    <row r="257" spans="1:85" ht="12.75">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c r="AQ257" s="64"/>
      <c r="AR257" s="64"/>
      <c r="AS257" s="64"/>
      <c r="AT257" s="64"/>
      <c r="AU257" s="64"/>
      <c r="AV257" s="64"/>
      <c r="AW257" s="64"/>
      <c r="AX257" s="64"/>
      <c r="AY257" s="64"/>
      <c r="AZ257" s="64"/>
      <c r="BA257" s="64"/>
      <c r="BB257" s="64"/>
      <c r="BC257" s="64"/>
      <c r="BD257" s="64"/>
      <c r="BE257" s="64"/>
      <c r="BF257" s="64"/>
      <c r="BG257" s="64"/>
      <c r="BH257" s="64"/>
      <c r="BI257" s="64"/>
      <c r="BJ257" s="64"/>
      <c r="BK257" s="64"/>
      <c r="BL257" s="64"/>
      <c r="BM257" s="64"/>
      <c r="BN257" s="64"/>
      <c r="BO257" s="64"/>
      <c r="BP257" s="64"/>
      <c r="BQ257" s="64"/>
      <c r="BR257" s="64"/>
      <c r="BS257" s="64"/>
      <c r="BT257" s="64"/>
      <c r="BU257" s="64"/>
      <c r="BV257" s="64"/>
      <c r="BW257" s="64"/>
      <c r="BX257" s="64"/>
      <c r="BY257" s="64"/>
      <c r="BZ257" s="64"/>
      <c r="CA257" s="64"/>
      <c r="CB257" s="64"/>
      <c r="CC257" s="64"/>
      <c r="CD257" s="64"/>
      <c r="CE257" s="64"/>
      <c r="CF257" s="64"/>
      <c r="CG257" s="64"/>
    </row>
    <row r="258" spans="1:85" ht="12.75">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c r="AQ258" s="64"/>
      <c r="AR258" s="64"/>
      <c r="AS258" s="64"/>
      <c r="AT258" s="64"/>
      <c r="AU258" s="64"/>
      <c r="AV258" s="64"/>
      <c r="AW258" s="64"/>
      <c r="AX258" s="64"/>
      <c r="AY258" s="64"/>
      <c r="AZ258" s="64"/>
      <c r="BA258" s="64"/>
      <c r="BB258" s="64"/>
      <c r="BC258" s="64"/>
      <c r="BD258" s="64"/>
      <c r="BE258" s="64"/>
      <c r="BF258" s="64"/>
      <c r="BG258" s="64"/>
      <c r="BH258" s="64"/>
      <c r="BI258" s="64"/>
      <c r="BJ258" s="64"/>
      <c r="BK258" s="64"/>
      <c r="BL258" s="64"/>
      <c r="BM258" s="64"/>
      <c r="BN258" s="64"/>
      <c r="BO258" s="64"/>
      <c r="BP258" s="64"/>
      <c r="BQ258" s="64"/>
      <c r="BR258" s="64"/>
      <c r="BS258" s="64"/>
      <c r="BT258" s="64"/>
      <c r="BU258" s="64"/>
      <c r="BV258" s="64"/>
      <c r="BW258" s="64"/>
      <c r="BX258" s="64"/>
      <c r="BY258" s="64"/>
      <c r="BZ258" s="64"/>
      <c r="CA258" s="64"/>
      <c r="CB258" s="64"/>
      <c r="CC258" s="64"/>
      <c r="CD258" s="64"/>
      <c r="CE258" s="64"/>
      <c r="CF258" s="64"/>
      <c r="CG258" s="64"/>
    </row>
    <row r="259" spans="1:85" ht="12.75">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c r="AQ259" s="64"/>
      <c r="AR259" s="64"/>
      <c r="AS259" s="64"/>
      <c r="AT259" s="64"/>
      <c r="AU259" s="64"/>
      <c r="AV259" s="64"/>
      <c r="AW259" s="64"/>
      <c r="AX259" s="64"/>
      <c r="AY259" s="64"/>
      <c r="AZ259" s="64"/>
      <c r="BA259" s="64"/>
      <c r="BB259" s="64"/>
      <c r="BC259" s="64"/>
      <c r="BD259" s="64"/>
      <c r="BE259" s="64"/>
      <c r="BF259" s="64"/>
      <c r="BG259" s="64"/>
      <c r="BH259" s="64"/>
      <c r="BI259" s="64"/>
      <c r="BJ259" s="64"/>
      <c r="BK259" s="64"/>
      <c r="BL259" s="64"/>
      <c r="BM259" s="64"/>
      <c r="BN259" s="64"/>
      <c r="BO259" s="64"/>
      <c r="BP259" s="64"/>
      <c r="BQ259" s="64"/>
      <c r="BR259" s="64"/>
      <c r="BS259" s="64"/>
      <c r="BT259" s="64"/>
      <c r="BU259" s="64"/>
      <c r="BV259" s="64"/>
      <c r="BW259" s="64"/>
      <c r="BX259" s="64"/>
      <c r="BY259" s="64"/>
      <c r="BZ259" s="64"/>
      <c r="CA259" s="64"/>
      <c r="CB259" s="64"/>
      <c r="CC259" s="64"/>
      <c r="CD259" s="64"/>
      <c r="CE259" s="64"/>
      <c r="CF259" s="64"/>
      <c r="CG259" s="64"/>
    </row>
    <row r="260" spans="1:85" ht="12.75">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c r="AQ260" s="64"/>
      <c r="AR260" s="64"/>
      <c r="AS260" s="64"/>
      <c r="AT260" s="64"/>
      <c r="AU260" s="64"/>
      <c r="AV260" s="64"/>
      <c r="AW260" s="64"/>
      <c r="AX260" s="64"/>
      <c r="AY260" s="64"/>
      <c r="AZ260" s="64"/>
      <c r="BA260" s="64"/>
      <c r="BB260" s="64"/>
      <c r="BC260" s="64"/>
      <c r="BD260" s="64"/>
      <c r="BE260" s="64"/>
      <c r="BF260" s="64"/>
      <c r="BG260" s="64"/>
      <c r="BH260" s="64"/>
      <c r="BI260" s="64"/>
      <c r="BJ260" s="64"/>
      <c r="BK260" s="64"/>
      <c r="BL260" s="64"/>
      <c r="BM260" s="64"/>
      <c r="BN260" s="64"/>
      <c r="BO260" s="64"/>
      <c r="BP260" s="64"/>
      <c r="BQ260" s="64"/>
      <c r="BR260" s="64"/>
      <c r="BS260" s="64"/>
      <c r="BT260" s="64"/>
      <c r="BU260" s="64"/>
      <c r="BV260" s="64"/>
      <c r="BW260" s="64"/>
      <c r="BX260" s="64"/>
      <c r="BY260" s="64"/>
      <c r="BZ260" s="64"/>
      <c r="CA260" s="64"/>
      <c r="CB260" s="64"/>
      <c r="CC260" s="64"/>
      <c r="CD260" s="64"/>
      <c r="CE260" s="64"/>
      <c r="CF260" s="64"/>
      <c r="CG260" s="64"/>
    </row>
    <row r="261" spans="1:85" ht="12.75">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c r="AQ261" s="64"/>
      <c r="AR261" s="64"/>
      <c r="AS261" s="64"/>
      <c r="AT261" s="64"/>
      <c r="AU261" s="64"/>
      <c r="AV261" s="64"/>
      <c r="AW261" s="64"/>
      <c r="AX261" s="64"/>
      <c r="AY261" s="64"/>
      <c r="AZ261" s="64"/>
      <c r="BA261" s="64"/>
      <c r="BB261" s="64"/>
      <c r="BC261" s="64"/>
      <c r="BD261" s="64"/>
      <c r="BE261" s="64"/>
      <c r="BF261" s="64"/>
      <c r="BG261" s="64"/>
      <c r="BH261" s="64"/>
      <c r="BI261" s="64"/>
      <c r="BJ261" s="64"/>
      <c r="BK261" s="64"/>
      <c r="BL261" s="64"/>
      <c r="BM261" s="64"/>
      <c r="BN261" s="64"/>
      <c r="BO261" s="64"/>
      <c r="BP261" s="64"/>
      <c r="BQ261" s="64"/>
      <c r="BR261" s="64"/>
      <c r="BS261" s="64"/>
      <c r="BT261" s="64"/>
      <c r="BU261" s="64"/>
      <c r="BV261" s="64"/>
      <c r="BW261" s="64"/>
      <c r="BX261" s="64"/>
      <c r="BY261" s="64"/>
      <c r="BZ261" s="64"/>
      <c r="CA261" s="64"/>
      <c r="CB261" s="64"/>
      <c r="CC261" s="64"/>
      <c r="CD261" s="64"/>
      <c r="CE261" s="64"/>
      <c r="CF261" s="64"/>
      <c r="CG261" s="64"/>
    </row>
    <row r="262" spans="1:85" ht="12.75">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c r="AQ262" s="64"/>
      <c r="AR262" s="64"/>
      <c r="AS262" s="64"/>
      <c r="AT262" s="64"/>
      <c r="AU262" s="64"/>
      <c r="AV262" s="64"/>
      <c r="AW262" s="64"/>
      <c r="AX262" s="64"/>
      <c r="AY262" s="64"/>
      <c r="AZ262" s="64"/>
      <c r="BA262" s="64"/>
      <c r="BB262" s="64"/>
      <c r="BC262" s="64"/>
      <c r="BD262" s="64"/>
      <c r="BE262" s="64"/>
      <c r="BF262" s="64"/>
      <c r="BG262" s="64"/>
      <c r="BH262" s="64"/>
      <c r="BI262" s="64"/>
      <c r="BJ262" s="64"/>
      <c r="BK262" s="64"/>
      <c r="BL262" s="64"/>
      <c r="BM262" s="64"/>
      <c r="BN262" s="64"/>
      <c r="BO262" s="64"/>
      <c r="BP262" s="64"/>
      <c r="BQ262" s="64"/>
      <c r="BR262" s="64"/>
      <c r="BS262" s="64"/>
      <c r="BT262" s="64"/>
      <c r="BU262" s="64"/>
      <c r="BV262" s="64"/>
      <c r="BW262" s="64"/>
      <c r="BX262" s="64"/>
      <c r="BY262" s="64"/>
      <c r="BZ262" s="64"/>
      <c r="CA262" s="64"/>
      <c r="CB262" s="64"/>
      <c r="CC262" s="64"/>
      <c r="CD262" s="64"/>
      <c r="CE262" s="64"/>
      <c r="CF262" s="64"/>
      <c r="CG262" s="64"/>
    </row>
    <row r="263" spans="1:85" ht="12.75">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c r="AQ263" s="64"/>
      <c r="AR263" s="64"/>
      <c r="AS263" s="64"/>
      <c r="AT263" s="64"/>
      <c r="AU263" s="64"/>
      <c r="AV263" s="64"/>
      <c r="AW263" s="64"/>
      <c r="AX263" s="64"/>
      <c r="AY263" s="64"/>
      <c r="AZ263" s="64"/>
      <c r="BA263" s="64"/>
      <c r="BB263" s="64"/>
      <c r="BC263" s="64"/>
      <c r="BD263" s="64"/>
      <c r="BE263" s="64"/>
      <c r="BF263" s="64"/>
      <c r="BG263" s="64"/>
      <c r="BH263" s="64"/>
      <c r="BI263" s="64"/>
      <c r="BJ263" s="64"/>
      <c r="BK263" s="64"/>
      <c r="BL263" s="64"/>
      <c r="BM263" s="64"/>
      <c r="BN263" s="64"/>
      <c r="BO263" s="64"/>
      <c r="BP263" s="64"/>
      <c r="BQ263" s="64"/>
      <c r="BR263" s="64"/>
      <c r="BS263" s="64"/>
      <c r="BT263" s="64"/>
      <c r="BU263" s="64"/>
      <c r="BV263" s="64"/>
      <c r="BW263" s="64"/>
      <c r="BX263" s="64"/>
      <c r="BY263" s="64"/>
      <c r="BZ263" s="64"/>
      <c r="CA263" s="64"/>
      <c r="CB263" s="64"/>
      <c r="CC263" s="64"/>
      <c r="CD263" s="64"/>
      <c r="CE263" s="64"/>
      <c r="CF263" s="64"/>
      <c r="CG263" s="64"/>
    </row>
    <row r="264" spans="1:85" ht="12.75">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c r="AQ264" s="64"/>
      <c r="AR264" s="64"/>
      <c r="AS264" s="64"/>
      <c r="AT264" s="64"/>
      <c r="AU264" s="64"/>
      <c r="AV264" s="64"/>
      <c r="AW264" s="64"/>
      <c r="AX264" s="64"/>
      <c r="AY264" s="64"/>
      <c r="AZ264" s="64"/>
      <c r="BA264" s="64"/>
      <c r="BB264" s="64"/>
      <c r="BC264" s="64"/>
      <c r="BD264" s="64"/>
      <c r="BE264" s="64"/>
      <c r="BF264" s="64"/>
      <c r="BG264" s="64"/>
      <c r="BH264" s="64"/>
      <c r="BI264" s="64"/>
      <c r="BJ264" s="64"/>
      <c r="BK264" s="64"/>
      <c r="BL264" s="64"/>
      <c r="BM264" s="64"/>
      <c r="BN264" s="64"/>
      <c r="BO264" s="64"/>
      <c r="BP264" s="64"/>
      <c r="BQ264" s="64"/>
      <c r="BR264" s="64"/>
      <c r="BS264" s="64"/>
      <c r="BT264" s="64"/>
      <c r="BU264" s="64"/>
      <c r="BV264" s="64"/>
      <c r="BW264" s="64"/>
      <c r="BX264" s="64"/>
      <c r="BY264" s="64"/>
      <c r="BZ264" s="64"/>
      <c r="CA264" s="64"/>
      <c r="CB264" s="64"/>
      <c r="CC264" s="64"/>
      <c r="CD264" s="64"/>
      <c r="CE264" s="64"/>
      <c r="CF264" s="64"/>
      <c r="CG264" s="64"/>
    </row>
    <row r="265" spans="1:85" ht="12.75">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c r="AP265" s="64"/>
      <c r="AQ265" s="64"/>
      <c r="AR265" s="64"/>
      <c r="AS265" s="64"/>
      <c r="AT265" s="64"/>
      <c r="AU265" s="64"/>
      <c r="AV265" s="64"/>
      <c r="AW265" s="64"/>
      <c r="AX265" s="64"/>
      <c r="AY265" s="64"/>
      <c r="AZ265" s="64"/>
      <c r="BA265" s="64"/>
      <c r="BB265" s="64"/>
      <c r="BC265" s="64"/>
      <c r="BD265" s="64"/>
      <c r="BE265" s="64"/>
      <c r="BF265" s="64"/>
      <c r="BG265" s="64"/>
      <c r="BH265" s="64"/>
      <c r="BI265" s="64"/>
      <c r="BJ265" s="64"/>
      <c r="BK265" s="64"/>
      <c r="BL265" s="64"/>
      <c r="BM265" s="64"/>
      <c r="BN265" s="64"/>
      <c r="BO265" s="64"/>
      <c r="BP265" s="64"/>
      <c r="BQ265" s="64"/>
      <c r="BR265" s="64"/>
      <c r="BS265" s="64"/>
      <c r="BT265" s="64"/>
      <c r="BU265" s="64"/>
      <c r="BV265" s="64"/>
      <c r="BW265" s="64"/>
      <c r="BX265" s="64"/>
      <c r="BY265" s="64"/>
      <c r="BZ265" s="64"/>
      <c r="CA265" s="64"/>
      <c r="CB265" s="64"/>
      <c r="CC265" s="64"/>
      <c r="CD265" s="64"/>
      <c r="CE265" s="64"/>
      <c r="CF265" s="64"/>
      <c r="CG265" s="64"/>
    </row>
    <row r="266" spans="1:85" ht="12.75">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c r="AP266" s="64"/>
      <c r="AQ266" s="64"/>
      <c r="AR266" s="64"/>
      <c r="AS266" s="64"/>
      <c r="AT266" s="64"/>
      <c r="AU266" s="64"/>
      <c r="AV266" s="64"/>
      <c r="AW266" s="64"/>
      <c r="AX266" s="64"/>
      <c r="AY266" s="64"/>
      <c r="AZ266" s="64"/>
      <c r="BA266" s="64"/>
      <c r="BB266" s="64"/>
      <c r="BC266" s="64"/>
      <c r="BD266" s="64"/>
      <c r="BE266" s="64"/>
      <c r="BF266" s="64"/>
      <c r="BG266" s="64"/>
      <c r="BH266" s="64"/>
      <c r="BI266" s="64"/>
      <c r="BJ266" s="64"/>
      <c r="BK266" s="64"/>
      <c r="BL266" s="64"/>
      <c r="BM266" s="64"/>
      <c r="BN266" s="64"/>
      <c r="BO266" s="64"/>
      <c r="BP266" s="64"/>
      <c r="BQ266" s="64"/>
      <c r="BR266" s="64"/>
      <c r="BS266" s="64"/>
      <c r="BT266" s="64"/>
      <c r="BU266" s="64"/>
      <c r="BV266" s="64"/>
      <c r="BW266" s="64"/>
      <c r="BX266" s="64"/>
      <c r="BY266" s="64"/>
      <c r="BZ266" s="64"/>
      <c r="CA266" s="64"/>
      <c r="CB266" s="64"/>
      <c r="CC266" s="64"/>
      <c r="CD266" s="64"/>
      <c r="CE266" s="64"/>
      <c r="CF266" s="64"/>
      <c r="CG266" s="64"/>
    </row>
    <row r="267" spans="1:85" ht="12.75">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c r="AQ267" s="64"/>
      <c r="AR267" s="64"/>
      <c r="AS267" s="64"/>
      <c r="AT267" s="64"/>
      <c r="AU267" s="64"/>
      <c r="AV267" s="64"/>
      <c r="AW267" s="64"/>
      <c r="AX267" s="64"/>
      <c r="AY267" s="64"/>
      <c r="AZ267" s="64"/>
      <c r="BA267" s="64"/>
      <c r="BB267" s="64"/>
      <c r="BC267" s="64"/>
      <c r="BD267" s="64"/>
      <c r="BE267" s="64"/>
      <c r="BF267" s="64"/>
      <c r="BG267" s="64"/>
      <c r="BH267" s="64"/>
      <c r="BI267" s="64"/>
      <c r="BJ267" s="64"/>
      <c r="BK267" s="64"/>
      <c r="BL267" s="64"/>
      <c r="BM267" s="64"/>
      <c r="BN267" s="64"/>
      <c r="BO267" s="64"/>
      <c r="BP267" s="64"/>
      <c r="BQ267" s="64"/>
      <c r="BR267" s="64"/>
      <c r="BS267" s="64"/>
      <c r="BT267" s="64"/>
      <c r="BU267" s="64"/>
      <c r="BV267" s="64"/>
      <c r="BW267" s="64"/>
      <c r="BX267" s="64"/>
      <c r="BY267" s="64"/>
      <c r="BZ267" s="64"/>
      <c r="CA267" s="64"/>
      <c r="CB267" s="64"/>
      <c r="CC267" s="64"/>
      <c r="CD267" s="64"/>
      <c r="CE267" s="64"/>
      <c r="CF267" s="64"/>
      <c r="CG267" s="64"/>
    </row>
    <row r="268" spans="1:85" ht="12.75">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c r="AQ268" s="64"/>
      <c r="AR268" s="64"/>
      <c r="AS268" s="64"/>
      <c r="AT268" s="64"/>
      <c r="AU268" s="64"/>
      <c r="AV268" s="64"/>
      <c r="AW268" s="64"/>
      <c r="AX268" s="64"/>
      <c r="AY268" s="64"/>
      <c r="AZ268" s="64"/>
      <c r="BA268" s="64"/>
      <c r="BB268" s="64"/>
      <c r="BC268" s="64"/>
      <c r="BD268" s="64"/>
      <c r="BE268" s="64"/>
      <c r="BF268" s="64"/>
      <c r="BG268" s="64"/>
      <c r="BH268" s="64"/>
      <c r="BI268" s="64"/>
      <c r="BJ268" s="64"/>
      <c r="BK268" s="64"/>
      <c r="BL268" s="64"/>
      <c r="BM268" s="64"/>
      <c r="BN268" s="64"/>
      <c r="BO268" s="64"/>
      <c r="BP268" s="64"/>
      <c r="BQ268" s="64"/>
      <c r="BR268" s="64"/>
      <c r="BS268" s="64"/>
      <c r="BT268" s="64"/>
      <c r="BU268" s="64"/>
      <c r="BV268" s="64"/>
      <c r="BW268" s="64"/>
      <c r="BX268" s="64"/>
      <c r="BY268" s="64"/>
      <c r="BZ268" s="64"/>
      <c r="CA268" s="64"/>
      <c r="CB268" s="64"/>
      <c r="CC268" s="64"/>
      <c r="CD268" s="64"/>
      <c r="CE268" s="64"/>
      <c r="CF268" s="64"/>
      <c r="CG268" s="64"/>
    </row>
    <row r="269" spans="1:85" ht="12.75">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c r="AQ269" s="64"/>
      <c r="AR269" s="64"/>
      <c r="AS269" s="64"/>
      <c r="AT269" s="64"/>
      <c r="AU269" s="64"/>
      <c r="AV269" s="64"/>
      <c r="AW269" s="64"/>
      <c r="AX269" s="64"/>
      <c r="AY269" s="64"/>
      <c r="AZ269" s="64"/>
      <c r="BA269" s="64"/>
      <c r="BB269" s="64"/>
      <c r="BC269" s="64"/>
      <c r="BD269" s="64"/>
      <c r="BE269" s="64"/>
      <c r="BF269" s="64"/>
      <c r="BG269" s="64"/>
      <c r="BH269" s="64"/>
      <c r="BI269" s="64"/>
      <c r="BJ269" s="64"/>
      <c r="BK269" s="64"/>
      <c r="BL269" s="64"/>
      <c r="BM269" s="64"/>
      <c r="BN269" s="64"/>
      <c r="BO269" s="64"/>
      <c r="BP269" s="64"/>
      <c r="BQ269" s="64"/>
      <c r="BR269" s="64"/>
      <c r="BS269" s="64"/>
      <c r="BT269" s="64"/>
      <c r="BU269" s="64"/>
      <c r="BV269" s="64"/>
      <c r="BW269" s="64"/>
      <c r="BX269" s="64"/>
      <c r="BY269" s="64"/>
      <c r="BZ269" s="64"/>
      <c r="CA269" s="64"/>
      <c r="CB269" s="64"/>
      <c r="CC269" s="64"/>
      <c r="CD269" s="64"/>
      <c r="CE269" s="64"/>
      <c r="CF269" s="64"/>
      <c r="CG269" s="64"/>
    </row>
    <row r="270" spans="1:85" ht="12.75">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c r="AP270" s="64"/>
      <c r="AQ270" s="64"/>
      <c r="AR270" s="64"/>
      <c r="AS270" s="64"/>
      <c r="AT270" s="64"/>
      <c r="AU270" s="64"/>
      <c r="AV270" s="64"/>
      <c r="AW270" s="64"/>
      <c r="AX270" s="64"/>
      <c r="AY270" s="64"/>
      <c r="AZ270" s="64"/>
      <c r="BA270" s="64"/>
      <c r="BB270" s="64"/>
      <c r="BC270" s="64"/>
      <c r="BD270" s="64"/>
      <c r="BE270" s="64"/>
      <c r="BF270" s="64"/>
      <c r="BG270" s="64"/>
      <c r="BH270" s="64"/>
      <c r="BI270" s="64"/>
      <c r="BJ270" s="64"/>
      <c r="BK270" s="64"/>
      <c r="BL270" s="64"/>
      <c r="BM270" s="64"/>
      <c r="BN270" s="64"/>
      <c r="BO270" s="64"/>
      <c r="BP270" s="64"/>
      <c r="BQ270" s="64"/>
      <c r="BR270" s="64"/>
      <c r="BS270" s="64"/>
      <c r="BT270" s="64"/>
      <c r="BU270" s="64"/>
      <c r="BV270" s="64"/>
      <c r="BW270" s="64"/>
      <c r="BX270" s="64"/>
      <c r="BY270" s="64"/>
      <c r="BZ270" s="64"/>
      <c r="CA270" s="64"/>
      <c r="CB270" s="64"/>
      <c r="CC270" s="64"/>
      <c r="CD270" s="64"/>
      <c r="CE270" s="64"/>
      <c r="CF270" s="64"/>
      <c r="CG270" s="64"/>
    </row>
    <row r="271" spans="1:85" ht="12.75">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c r="AP271" s="64"/>
      <c r="AQ271" s="64"/>
      <c r="AR271" s="64"/>
      <c r="AS271" s="64"/>
      <c r="AT271" s="64"/>
      <c r="AU271" s="64"/>
      <c r="AV271" s="64"/>
      <c r="AW271" s="64"/>
      <c r="AX271" s="64"/>
      <c r="AY271" s="64"/>
      <c r="AZ271" s="64"/>
      <c r="BA271" s="64"/>
      <c r="BB271" s="64"/>
      <c r="BC271" s="64"/>
      <c r="BD271" s="64"/>
      <c r="BE271" s="64"/>
      <c r="BF271" s="64"/>
      <c r="BG271" s="64"/>
      <c r="BH271" s="64"/>
      <c r="BI271" s="64"/>
      <c r="BJ271" s="64"/>
      <c r="BK271" s="64"/>
      <c r="BL271" s="64"/>
      <c r="BM271" s="64"/>
      <c r="BN271" s="64"/>
      <c r="BO271" s="64"/>
      <c r="BP271" s="64"/>
      <c r="BQ271" s="64"/>
      <c r="BR271" s="64"/>
      <c r="BS271" s="64"/>
      <c r="BT271" s="64"/>
      <c r="BU271" s="64"/>
      <c r="BV271" s="64"/>
      <c r="BW271" s="64"/>
      <c r="BX271" s="64"/>
      <c r="BY271" s="64"/>
      <c r="BZ271" s="64"/>
      <c r="CA271" s="64"/>
      <c r="CB271" s="64"/>
      <c r="CC271" s="64"/>
      <c r="CD271" s="64"/>
      <c r="CE271" s="64"/>
      <c r="CF271" s="64"/>
      <c r="CG271" s="64"/>
    </row>
    <row r="272" spans="1:85" ht="12.75">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c r="AP272" s="64"/>
      <c r="AQ272" s="64"/>
      <c r="AR272" s="64"/>
      <c r="AS272" s="64"/>
      <c r="AT272" s="64"/>
      <c r="AU272" s="64"/>
      <c r="AV272" s="64"/>
      <c r="AW272" s="64"/>
      <c r="AX272" s="64"/>
      <c r="AY272" s="64"/>
      <c r="AZ272" s="64"/>
      <c r="BA272" s="64"/>
      <c r="BB272" s="64"/>
      <c r="BC272" s="64"/>
      <c r="BD272" s="64"/>
      <c r="BE272" s="64"/>
      <c r="BF272" s="64"/>
      <c r="BG272" s="64"/>
      <c r="BH272" s="64"/>
      <c r="BI272" s="64"/>
      <c r="BJ272" s="64"/>
      <c r="BK272" s="64"/>
      <c r="BL272" s="64"/>
      <c r="BM272" s="64"/>
      <c r="BN272" s="64"/>
      <c r="BO272" s="64"/>
      <c r="BP272" s="64"/>
      <c r="BQ272" s="64"/>
      <c r="BR272" s="64"/>
      <c r="BS272" s="64"/>
      <c r="BT272" s="64"/>
      <c r="BU272" s="64"/>
      <c r="BV272" s="64"/>
      <c r="BW272" s="64"/>
      <c r="BX272" s="64"/>
      <c r="BY272" s="64"/>
      <c r="BZ272" s="64"/>
      <c r="CA272" s="64"/>
      <c r="CB272" s="64"/>
      <c r="CC272" s="64"/>
      <c r="CD272" s="64"/>
      <c r="CE272" s="64"/>
      <c r="CF272" s="64"/>
      <c r="CG272" s="64"/>
    </row>
    <row r="273" spans="1:85" ht="12.75">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c r="AQ273" s="64"/>
      <c r="AR273" s="64"/>
      <c r="AS273" s="64"/>
      <c r="AT273" s="64"/>
      <c r="AU273" s="64"/>
      <c r="AV273" s="64"/>
      <c r="AW273" s="64"/>
      <c r="AX273" s="64"/>
      <c r="AY273" s="64"/>
      <c r="AZ273" s="64"/>
      <c r="BA273" s="64"/>
      <c r="BB273" s="64"/>
      <c r="BC273" s="64"/>
      <c r="BD273" s="64"/>
      <c r="BE273" s="64"/>
      <c r="BF273" s="64"/>
      <c r="BG273" s="64"/>
      <c r="BH273" s="64"/>
      <c r="BI273" s="64"/>
      <c r="BJ273" s="64"/>
      <c r="BK273" s="64"/>
      <c r="BL273" s="64"/>
      <c r="BM273" s="64"/>
      <c r="BN273" s="64"/>
      <c r="BO273" s="64"/>
      <c r="BP273" s="64"/>
      <c r="BQ273" s="64"/>
      <c r="BR273" s="64"/>
      <c r="BS273" s="64"/>
      <c r="BT273" s="64"/>
      <c r="BU273" s="64"/>
      <c r="BV273" s="64"/>
      <c r="BW273" s="64"/>
      <c r="BX273" s="64"/>
      <c r="BY273" s="64"/>
      <c r="BZ273" s="64"/>
      <c r="CA273" s="64"/>
      <c r="CB273" s="64"/>
      <c r="CC273" s="64"/>
      <c r="CD273" s="64"/>
      <c r="CE273" s="64"/>
      <c r="CF273" s="64"/>
      <c r="CG273" s="64"/>
    </row>
    <row r="274" spans="1:85" ht="12.75">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c r="AQ274" s="64"/>
      <c r="AR274" s="64"/>
      <c r="AS274" s="64"/>
      <c r="AT274" s="64"/>
      <c r="AU274" s="64"/>
      <c r="AV274" s="64"/>
      <c r="AW274" s="64"/>
      <c r="AX274" s="64"/>
      <c r="AY274" s="64"/>
      <c r="AZ274" s="64"/>
      <c r="BA274" s="64"/>
      <c r="BB274" s="64"/>
      <c r="BC274" s="64"/>
      <c r="BD274" s="64"/>
      <c r="BE274" s="64"/>
      <c r="BF274" s="64"/>
      <c r="BG274" s="64"/>
      <c r="BH274" s="64"/>
      <c r="BI274" s="64"/>
      <c r="BJ274" s="64"/>
      <c r="BK274" s="64"/>
      <c r="BL274" s="64"/>
      <c r="BM274" s="64"/>
      <c r="BN274" s="64"/>
      <c r="BO274" s="64"/>
      <c r="BP274" s="64"/>
      <c r="BQ274" s="64"/>
      <c r="BR274" s="64"/>
      <c r="BS274" s="64"/>
      <c r="BT274" s="64"/>
      <c r="BU274" s="64"/>
      <c r="BV274" s="64"/>
      <c r="BW274" s="64"/>
      <c r="BX274" s="64"/>
      <c r="BY274" s="64"/>
      <c r="BZ274" s="64"/>
      <c r="CA274" s="64"/>
      <c r="CB274" s="64"/>
      <c r="CC274" s="64"/>
      <c r="CD274" s="64"/>
      <c r="CE274" s="64"/>
      <c r="CF274" s="64"/>
      <c r="CG274" s="64"/>
    </row>
    <row r="275" spans="1:85" ht="12.75">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c r="AP275" s="64"/>
      <c r="AQ275" s="64"/>
      <c r="AR275" s="64"/>
      <c r="AS275" s="64"/>
      <c r="AT275" s="64"/>
      <c r="AU275" s="64"/>
      <c r="AV275" s="64"/>
      <c r="AW275" s="64"/>
      <c r="AX275" s="64"/>
      <c r="AY275" s="64"/>
      <c r="AZ275" s="64"/>
      <c r="BA275" s="64"/>
      <c r="BB275" s="64"/>
      <c r="BC275" s="64"/>
      <c r="BD275" s="64"/>
      <c r="BE275" s="64"/>
      <c r="BF275" s="64"/>
      <c r="BG275" s="64"/>
      <c r="BH275" s="64"/>
      <c r="BI275" s="64"/>
      <c r="BJ275" s="64"/>
      <c r="BK275" s="64"/>
      <c r="BL275" s="64"/>
      <c r="BM275" s="64"/>
      <c r="BN275" s="64"/>
      <c r="BO275" s="64"/>
      <c r="BP275" s="64"/>
      <c r="BQ275" s="64"/>
      <c r="BR275" s="64"/>
      <c r="BS275" s="64"/>
      <c r="BT275" s="64"/>
      <c r="BU275" s="64"/>
      <c r="BV275" s="64"/>
      <c r="BW275" s="64"/>
      <c r="BX275" s="64"/>
      <c r="BY275" s="64"/>
      <c r="BZ275" s="64"/>
      <c r="CA275" s="64"/>
      <c r="CB275" s="64"/>
      <c r="CC275" s="64"/>
      <c r="CD275" s="64"/>
      <c r="CE275" s="64"/>
      <c r="CF275" s="64"/>
      <c r="CG275" s="64"/>
    </row>
    <row r="276" spans="1:85" ht="12.75">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c r="AP276" s="64"/>
      <c r="AQ276" s="64"/>
      <c r="AR276" s="64"/>
      <c r="AS276" s="64"/>
      <c r="AT276" s="64"/>
      <c r="AU276" s="64"/>
      <c r="AV276" s="64"/>
      <c r="AW276" s="64"/>
      <c r="AX276" s="64"/>
      <c r="AY276" s="64"/>
      <c r="AZ276" s="64"/>
      <c r="BA276" s="64"/>
      <c r="BB276" s="64"/>
      <c r="BC276" s="64"/>
      <c r="BD276" s="64"/>
      <c r="BE276" s="64"/>
      <c r="BF276" s="64"/>
      <c r="BG276" s="64"/>
      <c r="BH276" s="64"/>
      <c r="BI276" s="64"/>
      <c r="BJ276" s="64"/>
      <c r="BK276" s="64"/>
      <c r="BL276" s="64"/>
      <c r="BM276" s="64"/>
      <c r="BN276" s="64"/>
      <c r="BO276" s="64"/>
      <c r="BP276" s="64"/>
      <c r="BQ276" s="64"/>
      <c r="BR276" s="64"/>
      <c r="BS276" s="64"/>
      <c r="BT276" s="64"/>
      <c r="BU276" s="64"/>
      <c r="BV276" s="64"/>
      <c r="BW276" s="64"/>
      <c r="BX276" s="64"/>
      <c r="BY276" s="64"/>
      <c r="BZ276" s="64"/>
      <c r="CA276" s="64"/>
      <c r="CB276" s="64"/>
      <c r="CC276" s="64"/>
      <c r="CD276" s="64"/>
      <c r="CE276" s="64"/>
      <c r="CF276" s="64"/>
      <c r="CG276" s="64"/>
    </row>
    <row r="277" spans="1:85" ht="12.75">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c r="AQ277" s="64"/>
      <c r="AR277" s="64"/>
      <c r="AS277" s="64"/>
      <c r="AT277" s="64"/>
      <c r="AU277" s="64"/>
      <c r="AV277" s="64"/>
      <c r="AW277" s="64"/>
      <c r="AX277" s="64"/>
      <c r="AY277" s="64"/>
      <c r="AZ277" s="64"/>
      <c r="BA277" s="64"/>
      <c r="BB277" s="64"/>
      <c r="BC277" s="64"/>
      <c r="BD277" s="64"/>
      <c r="BE277" s="64"/>
      <c r="BF277" s="64"/>
      <c r="BG277" s="64"/>
      <c r="BH277" s="64"/>
      <c r="BI277" s="64"/>
      <c r="BJ277" s="64"/>
      <c r="BK277" s="64"/>
      <c r="BL277" s="64"/>
      <c r="BM277" s="64"/>
      <c r="BN277" s="64"/>
      <c r="BO277" s="64"/>
      <c r="BP277" s="64"/>
      <c r="BQ277" s="64"/>
      <c r="BR277" s="64"/>
      <c r="BS277" s="64"/>
      <c r="BT277" s="64"/>
      <c r="BU277" s="64"/>
      <c r="BV277" s="64"/>
      <c r="BW277" s="64"/>
      <c r="BX277" s="64"/>
      <c r="BY277" s="64"/>
      <c r="BZ277" s="64"/>
      <c r="CA277" s="64"/>
      <c r="CB277" s="64"/>
      <c r="CC277" s="64"/>
      <c r="CD277" s="64"/>
      <c r="CE277" s="64"/>
      <c r="CF277" s="64"/>
      <c r="CG277" s="64"/>
    </row>
    <row r="278" spans="1:85" ht="12.75">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c r="AQ278" s="64"/>
      <c r="AR278" s="64"/>
      <c r="AS278" s="64"/>
      <c r="AT278" s="64"/>
      <c r="AU278" s="64"/>
      <c r="AV278" s="64"/>
      <c r="AW278" s="64"/>
      <c r="AX278" s="64"/>
      <c r="AY278" s="64"/>
      <c r="AZ278" s="64"/>
      <c r="BA278" s="64"/>
      <c r="BB278" s="64"/>
      <c r="BC278" s="64"/>
      <c r="BD278" s="64"/>
      <c r="BE278" s="64"/>
      <c r="BF278" s="64"/>
      <c r="BG278" s="64"/>
      <c r="BH278" s="64"/>
      <c r="BI278" s="64"/>
      <c r="BJ278" s="64"/>
      <c r="BK278" s="64"/>
      <c r="BL278" s="64"/>
      <c r="BM278" s="64"/>
      <c r="BN278" s="64"/>
      <c r="BO278" s="64"/>
      <c r="BP278" s="64"/>
      <c r="BQ278" s="64"/>
      <c r="BR278" s="64"/>
      <c r="BS278" s="64"/>
      <c r="BT278" s="64"/>
      <c r="BU278" s="64"/>
      <c r="BV278" s="64"/>
      <c r="BW278" s="64"/>
      <c r="BX278" s="64"/>
      <c r="BY278" s="64"/>
      <c r="BZ278" s="64"/>
      <c r="CA278" s="64"/>
      <c r="CB278" s="64"/>
      <c r="CC278" s="64"/>
      <c r="CD278" s="64"/>
      <c r="CE278" s="64"/>
      <c r="CF278" s="64"/>
      <c r="CG278" s="64"/>
    </row>
    <row r="279" spans="1:85" ht="12.75">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c r="AQ279" s="64"/>
      <c r="AR279" s="64"/>
      <c r="AS279" s="64"/>
      <c r="AT279" s="64"/>
      <c r="AU279" s="64"/>
      <c r="AV279" s="64"/>
      <c r="AW279" s="64"/>
      <c r="AX279" s="64"/>
      <c r="AY279" s="64"/>
      <c r="AZ279" s="64"/>
      <c r="BA279" s="64"/>
      <c r="BB279" s="64"/>
      <c r="BC279" s="64"/>
      <c r="BD279" s="64"/>
      <c r="BE279" s="64"/>
      <c r="BF279" s="64"/>
      <c r="BG279" s="64"/>
      <c r="BH279" s="64"/>
      <c r="BI279" s="64"/>
      <c r="BJ279" s="64"/>
      <c r="BK279" s="64"/>
      <c r="BL279" s="64"/>
      <c r="BM279" s="64"/>
      <c r="BN279" s="64"/>
      <c r="BO279" s="64"/>
      <c r="BP279" s="64"/>
      <c r="BQ279" s="64"/>
      <c r="BR279" s="64"/>
      <c r="BS279" s="64"/>
      <c r="BT279" s="64"/>
      <c r="BU279" s="64"/>
      <c r="BV279" s="64"/>
      <c r="BW279" s="64"/>
      <c r="BX279" s="64"/>
      <c r="BY279" s="64"/>
      <c r="BZ279" s="64"/>
      <c r="CA279" s="64"/>
      <c r="CB279" s="64"/>
      <c r="CC279" s="64"/>
      <c r="CD279" s="64"/>
      <c r="CE279" s="64"/>
      <c r="CF279" s="64"/>
      <c r="CG279" s="64"/>
    </row>
    <row r="280" spans="1:85" ht="12.75">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c r="AP280" s="64"/>
      <c r="AQ280" s="64"/>
      <c r="AR280" s="64"/>
      <c r="AS280" s="64"/>
      <c r="AT280" s="64"/>
      <c r="AU280" s="64"/>
      <c r="AV280" s="64"/>
      <c r="AW280" s="64"/>
      <c r="AX280" s="64"/>
      <c r="AY280" s="64"/>
      <c r="AZ280" s="64"/>
      <c r="BA280" s="64"/>
      <c r="BB280" s="64"/>
      <c r="BC280" s="64"/>
      <c r="BD280" s="64"/>
      <c r="BE280" s="64"/>
      <c r="BF280" s="64"/>
      <c r="BG280" s="64"/>
      <c r="BH280" s="64"/>
      <c r="BI280" s="64"/>
      <c r="BJ280" s="64"/>
      <c r="BK280" s="64"/>
      <c r="BL280" s="64"/>
      <c r="BM280" s="64"/>
      <c r="BN280" s="64"/>
      <c r="BO280" s="64"/>
      <c r="BP280" s="64"/>
      <c r="BQ280" s="64"/>
      <c r="BR280" s="64"/>
      <c r="BS280" s="64"/>
      <c r="BT280" s="64"/>
      <c r="BU280" s="64"/>
      <c r="BV280" s="64"/>
      <c r="BW280" s="64"/>
      <c r="BX280" s="64"/>
      <c r="BY280" s="64"/>
      <c r="BZ280" s="64"/>
      <c r="CA280" s="64"/>
      <c r="CB280" s="64"/>
      <c r="CC280" s="64"/>
      <c r="CD280" s="64"/>
      <c r="CE280" s="64"/>
      <c r="CF280" s="64"/>
      <c r="CG280" s="64"/>
    </row>
    <row r="281" spans="1:85" ht="12.75">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c r="AQ281" s="64"/>
      <c r="AR281" s="64"/>
      <c r="AS281" s="64"/>
      <c r="AT281" s="64"/>
      <c r="AU281" s="64"/>
      <c r="AV281" s="64"/>
      <c r="AW281" s="64"/>
      <c r="AX281" s="64"/>
      <c r="AY281" s="64"/>
      <c r="AZ281" s="64"/>
      <c r="BA281" s="64"/>
      <c r="BB281" s="64"/>
      <c r="BC281" s="64"/>
      <c r="BD281" s="64"/>
      <c r="BE281" s="64"/>
      <c r="BF281" s="64"/>
      <c r="BG281" s="64"/>
      <c r="BH281" s="64"/>
      <c r="BI281" s="64"/>
      <c r="BJ281" s="64"/>
      <c r="BK281" s="64"/>
      <c r="BL281" s="64"/>
      <c r="BM281" s="64"/>
      <c r="BN281" s="64"/>
      <c r="BO281" s="64"/>
      <c r="BP281" s="64"/>
      <c r="BQ281" s="64"/>
      <c r="BR281" s="64"/>
      <c r="BS281" s="64"/>
      <c r="BT281" s="64"/>
      <c r="BU281" s="64"/>
      <c r="BV281" s="64"/>
      <c r="BW281" s="64"/>
      <c r="BX281" s="64"/>
      <c r="BY281" s="64"/>
      <c r="BZ281" s="64"/>
      <c r="CA281" s="64"/>
      <c r="CB281" s="64"/>
      <c r="CC281" s="64"/>
      <c r="CD281" s="64"/>
      <c r="CE281" s="64"/>
      <c r="CF281" s="64"/>
      <c r="CG281" s="64"/>
    </row>
    <row r="282" spans="1:85" ht="12.75">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c r="AQ282" s="64"/>
      <c r="AR282" s="64"/>
      <c r="AS282" s="64"/>
      <c r="AT282" s="64"/>
      <c r="AU282" s="64"/>
      <c r="AV282" s="64"/>
      <c r="AW282" s="64"/>
      <c r="AX282" s="64"/>
      <c r="AY282" s="64"/>
      <c r="AZ282" s="64"/>
      <c r="BA282" s="64"/>
      <c r="BB282" s="64"/>
      <c r="BC282" s="64"/>
      <c r="BD282" s="64"/>
      <c r="BE282" s="64"/>
      <c r="BF282" s="64"/>
      <c r="BG282" s="64"/>
      <c r="BH282" s="64"/>
      <c r="BI282" s="64"/>
      <c r="BJ282" s="64"/>
      <c r="BK282" s="64"/>
      <c r="BL282" s="64"/>
      <c r="BM282" s="64"/>
      <c r="BN282" s="64"/>
      <c r="BO282" s="64"/>
      <c r="BP282" s="64"/>
      <c r="BQ282" s="64"/>
      <c r="BR282" s="64"/>
      <c r="BS282" s="64"/>
      <c r="BT282" s="64"/>
      <c r="BU282" s="64"/>
      <c r="BV282" s="64"/>
      <c r="BW282" s="64"/>
      <c r="BX282" s="64"/>
      <c r="BY282" s="64"/>
      <c r="BZ282" s="64"/>
      <c r="CA282" s="64"/>
      <c r="CB282" s="64"/>
      <c r="CC282" s="64"/>
      <c r="CD282" s="64"/>
      <c r="CE282" s="64"/>
      <c r="CF282" s="64"/>
      <c r="CG282" s="64"/>
    </row>
    <row r="283" spans="1:85" ht="12.75">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c r="AP283" s="64"/>
      <c r="AQ283" s="64"/>
      <c r="AR283" s="64"/>
      <c r="AS283" s="64"/>
      <c r="AT283" s="64"/>
      <c r="AU283" s="64"/>
      <c r="AV283" s="64"/>
      <c r="AW283" s="64"/>
      <c r="AX283" s="64"/>
      <c r="AY283" s="64"/>
      <c r="AZ283" s="64"/>
      <c r="BA283" s="64"/>
      <c r="BB283" s="64"/>
      <c r="BC283" s="64"/>
      <c r="BD283" s="64"/>
      <c r="BE283" s="64"/>
      <c r="BF283" s="64"/>
      <c r="BG283" s="64"/>
      <c r="BH283" s="64"/>
      <c r="BI283" s="64"/>
      <c r="BJ283" s="64"/>
      <c r="BK283" s="64"/>
      <c r="BL283" s="64"/>
      <c r="BM283" s="64"/>
      <c r="BN283" s="64"/>
      <c r="BO283" s="64"/>
      <c r="BP283" s="64"/>
      <c r="BQ283" s="64"/>
      <c r="BR283" s="64"/>
      <c r="BS283" s="64"/>
      <c r="BT283" s="64"/>
      <c r="BU283" s="64"/>
      <c r="BV283" s="64"/>
      <c r="BW283" s="64"/>
      <c r="BX283" s="64"/>
      <c r="BY283" s="64"/>
      <c r="BZ283" s="64"/>
      <c r="CA283" s="64"/>
      <c r="CB283" s="64"/>
      <c r="CC283" s="64"/>
      <c r="CD283" s="64"/>
      <c r="CE283" s="64"/>
      <c r="CF283" s="64"/>
      <c r="CG283" s="64"/>
    </row>
    <row r="284" spans="1:85" ht="12.75">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c r="AQ284" s="64"/>
      <c r="AR284" s="64"/>
      <c r="AS284" s="64"/>
      <c r="AT284" s="64"/>
      <c r="AU284" s="64"/>
      <c r="AV284" s="64"/>
      <c r="AW284" s="64"/>
      <c r="AX284" s="64"/>
      <c r="AY284" s="64"/>
      <c r="AZ284" s="64"/>
      <c r="BA284" s="64"/>
      <c r="BB284" s="64"/>
      <c r="BC284" s="64"/>
      <c r="BD284" s="64"/>
      <c r="BE284" s="64"/>
      <c r="BF284" s="64"/>
      <c r="BG284" s="64"/>
      <c r="BH284" s="64"/>
      <c r="BI284" s="64"/>
      <c r="BJ284" s="64"/>
      <c r="BK284" s="64"/>
      <c r="BL284" s="64"/>
      <c r="BM284" s="64"/>
      <c r="BN284" s="64"/>
      <c r="BO284" s="64"/>
      <c r="BP284" s="64"/>
      <c r="BQ284" s="64"/>
      <c r="BR284" s="64"/>
      <c r="BS284" s="64"/>
      <c r="BT284" s="64"/>
      <c r="BU284" s="64"/>
      <c r="BV284" s="64"/>
      <c r="BW284" s="64"/>
      <c r="BX284" s="64"/>
      <c r="BY284" s="64"/>
      <c r="BZ284" s="64"/>
      <c r="CA284" s="64"/>
      <c r="CB284" s="64"/>
      <c r="CC284" s="64"/>
      <c r="CD284" s="64"/>
      <c r="CE284" s="64"/>
      <c r="CF284" s="64"/>
      <c r="CG284" s="64"/>
    </row>
    <row r="285" spans="1:85" ht="12.75">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c r="AP285" s="64"/>
      <c r="AQ285" s="64"/>
      <c r="AR285" s="64"/>
      <c r="AS285" s="64"/>
      <c r="AT285" s="64"/>
      <c r="AU285" s="64"/>
      <c r="AV285" s="64"/>
      <c r="AW285" s="64"/>
      <c r="AX285" s="64"/>
      <c r="AY285" s="64"/>
      <c r="AZ285" s="64"/>
      <c r="BA285" s="64"/>
      <c r="BB285" s="64"/>
      <c r="BC285" s="64"/>
      <c r="BD285" s="64"/>
      <c r="BE285" s="64"/>
      <c r="BF285" s="64"/>
      <c r="BG285" s="64"/>
      <c r="BH285" s="64"/>
      <c r="BI285" s="64"/>
      <c r="BJ285" s="64"/>
      <c r="BK285" s="64"/>
      <c r="BL285" s="64"/>
      <c r="BM285" s="64"/>
      <c r="BN285" s="64"/>
      <c r="BO285" s="64"/>
      <c r="BP285" s="64"/>
      <c r="BQ285" s="64"/>
      <c r="BR285" s="64"/>
      <c r="BS285" s="64"/>
      <c r="BT285" s="64"/>
      <c r="BU285" s="64"/>
      <c r="BV285" s="64"/>
      <c r="BW285" s="64"/>
      <c r="BX285" s="64"/>
      <c r="BY285" s="64"/>
      <c r="BZ285" s="64"/>
      <c r="CA285" s="64"/>
      <c r="CB285" s="64"/>
      <c r="CC285" s="64"/>
      <c r="CD285" s="64"/>
      <c r="CE285" s="64"/>
      <c r="CF285" s="64"/>
      <c r="CG285" s="64"/>
    </row>
    <row r="286" spans="1:85" ht="12.75">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c r="AQ286" s="64"/>
      <c r="AR286" s="64"/>
      <c r="AS286" s="64"/>
      <c r="AT286" s="64"/>
      <c r="AU286" s="64"/>
      <c r="AV286" s="64"/>
      <c r="AW286" s="64"/>
      <c r="AX286" s="64"/>
      <c r="AY286" s="64"/>
      <c r="AZ286" s="64"/>
      <c r="BA286" s="64"/>
      <c r="BB286" s="64"/>
      <c r="BC286" s="64"/>
      <c r="BD286" s="64"/>
      <c r="BE286" s="64"/>
      <c r="BF286" s="64"/>
      <c r="BG286" s="64"/>
      <c r="BH286" s="64"/>
      <c r="BI286" s="64"/>
      <c r="BJ286" s="64"/>
      <c r="BK286" s="64"/>
      <c r="BL286" s="64"/>
      <c r="BM286" s="64"/>
      <c r="BN286" s="64"/>
      <c r="BO286" s="64"/>
      <c r="BP286" s="64"/>
      <c r="BQ286" s="64"/>
      <c r="BR286" s="64"/>
      <c r="BS286" s="64"/>
      <c r="BT286" s="64"/>
      <c r="BU286" s="64"/>
      <c r="BV286" s="64"/>
      <c r="BW286" s="64"/>
      <c r="BX286" s="64"/>
      <c r="BY286" s="64"/>
      <c r="BZ286" s="64"/>
      <c r="CA286" s="64"/>
      <c r="CB286" s="64"/>
      <c r="CC286" s="64"/>
      <c r="CD286" s="64"/>
      <c r="CE286" s="64"/>
      <c r="CF286" s="64"/>
      <c r="CG286" s="64"/>
    </row>
    <row r="287" spans="1:85" ht="12.75">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c r="AQ287" s="64"/>
      <c r="AR287" s="64"/>
      <c r="AS287" s="64"/>
      <c r="AT287" s="64"/>
      <c r="AU287" s="64"/>
      <c r="AV287" s="64"/>
      <c r="AW287" s="64"/>
      <c r="AX287" s="64"/>
      <c r="AY287" s="64"/>
      <c r="AZ287" s="64"/>
      <c r="BA287" s="64"/>
      <c r="BB287" s="64"/>
      <c r="BC287" s="64"/>
      <c r="BD287" s="64"/>
      <c r="BE287" s="64"/>
      <c r="BF287" s="64"/>
      <c r="BG287" s="64"/>
      <c r="BH287" s="64"/>
      <c r="BI287" s="64"/>
      <c r="BJ287" s="64"/>
      <c r="BK287" s="64"/>
      <c r="BL287" s="64"/>
      <c r="BM287" s="64"/>
      <c r="BN287" s="64"/>
      <c r="BO287" s="64"/>
      <c r="BP287" s="64"/>
      <c r="BQ287" s="64"/>
      <c r="BR287" s="64"/>
      <c r="BS287" s="64"/>
      <c r="BT287" s="64"/>
      <c r="BU287" s="64"/>
      <c r="BV287" s="64"/>
      <c r="BW287" s="64"/>
      <c r="BX287" s="64"/>
      <c r="BY287" s="64"/>
      <c r="BZ287" s="64"/>
      <c r="CA287" s="64"/>
      <c r="CB287" s="64"/>
      <c r="CC287" s="64"/>
      <c r="CD287" s="64"/>
      <c r="CE287" s="64"/>
      <c r="CF287" s="64"/>
      <c r="CG287" s="64"/>
    </row>
    <row r="288" spans="1:85" ht="12.75">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c r="AQ288" s="64"/>
      <c r="AR288" s="64"/>
      <c r="AS288" s="64"/>
      <c r="AT288" s="64"/>
      <c r="AU288" s="64"/>
      <c r="AV288" s="64"/>
      <c r="AW288" s="64"/>
      <c r="AX288" s="64"/>
      <c r="AY288" s="64"/>
      <c r="AZ288" s="64"/>
      <c r="BA288" s="64"/>
      <c r="BB288" s="64"/>
      <c r="BC288" s="64"/>
      <c r="BD288" s="64"/>
      <c r="BE288" s="64"/>
      <c r="BF288" s="64"/>
      <c r="BG288" s="64"/>
      <c r="BH288" s="64"/>
      <c r="BI288" s="64"/>
      <c r="BJ288" s="64"/>
      <c r="BK288" s="64"/>
      <c r="BL288" s="64"/>
      <c r="BM288" s="64"/>
      <c r="BN288" s="64"/>
      <c r="BO288" s="64"/>
      <c r="BP288" s="64"/>
      <c r="BQ288" s="64"/>
      <c r="BR288" s="64"/>
      <c r="BS288" s="64"/>
      <c r="BT288" s="64"/>
      <c r="BU288" s="64"/>
      <c r="BV288" s="64"/>
      <c r="BW288" s="64"/>
      <c r="BX288" s="64"/>
      <c r="BY288" s="64"/>
      <c r="BZ288" s="64"/>
      <c r="CA288" s="64"/>
      <c r="CB288" s="64"/>
      <c r="CC288" s="64"/>
      <c r="CD288" s="64"/>
      <c r="CE288" s="64"/>
      <c r="CF288" s="64"/>
      <c r="CG288" s="64"/>
    </row>
    <row r="289" spans="1:85" ht="12.75">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c r="AQ289" s="64"/>
      <c r="AR289" s="64"/>
      <c r="AS289" s="64"/>
      <c r="AT289" s="64"/>
      <c r="AU289" s="64"/>
      <c r="AV289" s="64"/>
      <c r="AW289" s="64"/>
      <c r="AX289" s="64"/>
      <c r="AY289" s="64"/>
      <c r="AZ289" s="64"/>
      <c r="BA289" s="64"/>
      <c r="BB289" s="64"/>
      <c r="BC289" s="64"/>
      <c r="BD289" s="64"/>
      <c r="BE289" s="64"/>
      <c r="BF289" s="64"/>
      <c r="BG289" s="64"/>
      <c r="BH289" s="64"/>
      <c r="BI289" s="64"/>
      <c r="BJ289" s="64"/>
      <c r="BK289" s="64"/>
      <c r="BL289" s="64"/>
      <c r="BM289" s="64"/>
      <c r="BN289" s="64"/>
      <c r="BO289" s="64"/>
      <c r="BP289" s="64"/>
      <c r="BQ289" s="64"/>
      <c r="BR289" s="64"/>
      <c r="BS289" s="64"/>
      <c r="BT289" s="64"/>
      <c r="BU289" s="64"/>
      <c r="BV289" s="64"/>
      <c r="BW289" s="64"/>
      <c r="BX289" s="64"/>
      <c r="BY289" s="64"/>
      <c r="BZ289" s="64"/>
      <c r="CA289" s="64"/>
      <c r="CB289" s="64"/>
      <c r="CC289" s="64"/>
      <c r="CD289" s="64"/>
      <c r="CE289" s="64"/>
      <c r="CF289" s="64"/>
      <c r="CG289" s="64"/>
    </row>
    <row r="290" spans="1:85" ht="12.75">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c r="AQ290" s="64"/>
      <c r="AR290" s="64"/>
      <c r="AS290" s="64"/>
      <c r="AT290" s="64"/>
      <c r="AU290" s="64"/>
      <c r="AV290" s="64"/>
      <c r="AW290" s="64"/>
      <c r="AX290" s="64"/>
      <c r="AY290" s="64"/>
      <c r="AZ290" s="64"/>
      <c r="BA290" s="64"/>
      <c r="BB290" s="64"/>
      <c r="BC290" s="64"/>
      <c r="BD290" s="64"/>
      <c r="BE290" s="64"/>
      <c r="BF290" s="64"/>
      <c r="BG290" s="64"/>
      <c r="BH290" s="64"/>
      <c r="BI290" s="64"/>
      <c r="BJ290" s="64"/>
      <c r="BK290" s="64"/>
      <c r="BL290" s="64"/>
      <c r="BM290" s="64"/>
      <c r="BN290" s="64"/>
      <c r="BO290" s="64"/>
      <c r="BP290" s="64"/>
      <c r="BQ290" s="64"/>
      <c r="BR290" s="64"/>
      <c r="BS290" s="64"/>
      <c r="BT290" s="64"/>
      <c r="BU290" s="64"/>
      <c r="BV290" s="64"/>
      <c r="BW290" s="64"/>
      <c r="BX290" s="64"/>
      <c r="BY290" s="64"/>
      <c r="BZ290" s="64"/>
      <c r="CA290" s="64"/>
      <c r="CB290" s="64"/>
      <c r="CC290" s="64"/>
      <c r="CD290" s="64"/>
      <c r="CE290" s="64"/>
      <c r="CF290" s="64"/>
      <c r="CG290" s="64"/>
    </row>
    <row r="291" spans="1:85" ht="12.75">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c r="AP291" s="64"/>
      <c r="AQ291" s="64"/>
      <c r="AR291" s="64"/>
      <c r="AS291" s="64"/>
      <c r="AT291" s="64"/>
      <c r="AU291" s="64"/>
      <c r="AV291" s="64"/>
      <c r="AW291" s="64"/>
      <c r="AX291" s="64"/>
      <c r="AY291" s="64"/>
      <c r="AZ291" s="64"/>
      <c r="BA291" s="64"/>
      <c r="BB291" s="64"/>
      <c r="BC291" s="64"/>
      <c r="BD291" s="64"/>
      <c r="BE291" s="64"/>
      <c r="BF291" s="64"/>
      <c r="BG291" s="64"/>
      <c r="BH291" s="64"/>
      <c r="BI291" s="64"/>
      <c r="BJ291" s="64"/>
      <c r="BK291" s="64"/>
      <c r="BL291" s="64"/>
      <c r="BM291" s="64"/>
      <c r="BN291" s="64"/>
      <c r="BO291" s="64"/>
      <c r="BP291" s="64"/>
      <c r="BQ291" s="64"/>
      <c r="BR291" s="64"/>
      <c r="BS291" s="64"/>
      <c r="BT291" s="64"/>
      <c r="BU291" s="64"/>
      <c r="BV291" s="64"/>
      <c r="BW291" s="64"/>
      <c r="BX291" s="64"/>
      <c r="BY291" s="64"/>
      <c r="BZ291" s="64"/>
      <c r="CA291" s="64"/>
      <c r="CB291" s="64"/>
      <c r="CC291" s="64"/>
      <c r="CD291" s="64"/>
      <c r="CE291" s="64"/>
      <c r="CF291" s="64"/>
      <c r="CG291" s="64"/>
    </row>
    <row r="292" spans="1:85" ht="12.75">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c r="AQ292" s="64"/>
      <c r="AR292" s="64"/>
      <c r="AS292" s="64"/>
      <c r="AT292" s="64"/>
      <c r="AU292" s="64"/>
      <c r="AV292" s="64"/>
      <c r="AW292" s="64"/>
      <c r="AX292" s="64"/>
      <c r="AY292" s="64"/>
      <c r="AZ292" s="64"/>
      <c r="BA292" s="64"/>
      <c r="BB292" s="64"/>
      <c r="BC292" s="64"/>
      <c r="BD292" s="64"/>
      <c r="BE292" s="64"/>
      <c r="BF292" s="64"/>
      <c r="BG292" s="64"/>
      <c r="BH292" s="64"/>
      <c r="BI292" s="64"/>
      <c r="BJ292" s="64"/>
      <c r="BK292" s="64"/>
      <c r="BL292" s="64"/>
      <c r="BM292" s="64"/>
      <c r="BN292" s="64"/>
      <c r="BO292" s="64"/>
      <c r="BP292" s="64"/>
      <c r="BQ292" s="64"/>
      <c r="BR292" s="64"/>
      <c r="BS292" s="64"/>
      <c r="BT292" s="64"/>
      <c r="BU292" s="64"/>
      <c r="BV292" s="64"/>
      <c r="BW292" s="64"/>
      <c r="BX292" s="64"/>
      <c r="BY292" s="64"/>
      <c r="BZ292" s="64"/>
      <c r="CA292" s="64"/>
      <c r="CB292" s="64"/>
      <c r="CC292" s="64"/>
      <c r="CD292" s="64"/>
      <c r="CE292" s="64"/>
      <c r="CF292" s="64"/>
      <c r="CG292" s="64"/>
    </row>
    <row r="293" spans="1:85" ht="12.75">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c r="AQ293" s="64"/>
      <c r="AR293" s="64"/>
      <c r="AS293" s="64"/>
      <c r="AT293" s="64"/>
      <c r="AU293" s="64"/>
      <c r="AV293" s="64"/>
      <c r="AW293" s="64"/>
      <c r="AX293" s="64"/>
      <c r="AY293" s="64"/>
      <c r="AZ293" s="64"/>
      <c r="BA293" s="64"/>
      <c r="BB293" s="64"/>
      <c r="BC293" s="64"/>
      <c r="BD293" s="64"/>
      <c r="BE293" s="64"/>
      <c r="BF293" s="64"/>
      <c r="BG293" s="64"/>
      <c r="BH293" s="64"/>
      <c r="BI293" s="64"/>
      <c r="BJ293" s="64"/>
      <c r="BK293" s="64"/>
      <c r="BL293" s="64"/>
      <c r="BM293" s="64"/>
      <c r="BN293" s="64"/>
      <c r="BO293" s="64"/>
      <c r="BP293" s="64"/>
      <c r="BQ293" s="64"/>
      <c r="BR293" s="64"/>
      <c r="BS293" s="64"/>
      <c r="BT293" s="64"/>
      <c r="BU293" s="64"/>
      <c r="BV293" s="64"/>
      <c r="BW293" s="64"/>
      <c r="BX293" s="64"/>
      <c r="BY293" s="64"/>
      <c r="BZ293" s="64"/>
      <c r="CA293" s="64"/>
      <c r="CB293" s="64"/>
      <c r="CC293" s="64"/>
      <c r="CD293" s="64"/>
      <c r="CE293" s="64"/>
      <c r="CF293" s="64"/>
      <c r="CG293" s="64"/>
    </row>
    <row r="294" spans="1:85" ht="12.75">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c r="AQ294" s="64"/>
      <c r="AR294" s="64"/>
      <c r="AS294" s="64"/>
      <c r="AT294" s="64"/>
      <c r="AU294" s="64"/>
      <c r="AV294" s="64"/>
      <c r="AW294" s="64"/>
      <c r="AX294" s="64"/>
      <c r="AY294" s="64"/>
      <c r="AZ294" s="64"/>
      <c r="BA294" s="64"/>
      <c r="BB294" s="64"/>
      <c r="BC294" s="64"/>
      <c r="BD294" s="64"/>
      <c r="BE294" s="64"/>
      <c r="BF294" s="64"/>
      <c r="BG294" s="64"/>
      <c r="BH294" s="64"/>
      <c r="BI294" s="64"/>
      <c r="BJ294" s="64"/>
      <c r="BK294" s="64"/>
      <c r="BL294" s="64"/>
      <c r="BM294" s="64"/>
      <c r="BN294" s="64"/>
      <c r="BO294" s="64"/>
      <c r="BP294" s="64"/>
      <c r="BQ294" s="64"/>
      <c r="BR294" s="64"/>
      <c r="BS294" s="64"/>
      <c r="BT294" s="64"/>
      <c r="BU294" s="64"/>
      <c r="BV294" s="64"/>
      <c r="BW294" s="64"/>
      <c r="BX294" s="64"/>
      <c r="BY294" s="64"/>
      <c r="BZ294" s="64"/>
      <c r="CA294" s="64"/>
      <c r="CB294" s="64"/>
      <c r="CC294" s="64"/>
      <c r="CD294" s="64"/>
      <c r="CE294" s="64"/>
      <c r="CF294" s="64"/>
      <c r="CG294" s="64"/>
    </row>
    <row r="295" spans="1:85" ht="12.75">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c r="AQ295" s="64"/>
      <c r="AR295" s="64"/>
      <c r="AS295" s="64"/>
      <c r="AT295" s="64"/>
      <c r="AU295" s="64"/>
      <c r="AV295" s="64"/>
      <c r="AW295" s="64"/>
      <c r="AX295" s="64"/>
      <c r="AY295" s="64"/>
      <c r="AZ295" s="64"/>
      <c r="BA295" s="64"/>
      <c r="BB295" s="64"/>
      <c r="BC295" s="64"/>
      <c r="BD295" s="64"/>
      <c r="BE295" s="64"/>
      <c r="BF295" s="64"/>
      <c r="BG295" s="64"/>
      <c r="BH295" s="64"/>
      <c r="BI295" s="64"/>
      <c r="BJ295" s="64"/>
      <c r="BK295" s="64"/>
      <c r="BL295" s="64"/>
      <c r="BM295" s="64"/>
      <c r="BN295" s="64"/>
      <c r="BO295" s="64"/>
      <c r="BP295" s="64"/>
      <c r="BQ295" s="64"/>
      <c r="BR295" s="64"/>
      <c r="BS295" s="64"/>
      <c r="BT295" s="64"/>
      <c r="BU295" s="64"/>
      <c r="BV295" s="64"/>
      <c r="BW295" s="64"/>
      <c r="BX295" s="64"/>
      <c r="BY295" s="64"/>
      <c r="BZ295" s="64"/>
      <c r="CA295" s="64"/>
      <c r="CB295" s="64"/>
      <c r="CC295" s="64"/>
      <c r="CD295" s="64"/>
      <c r="CE295" s="64"/>
      <c r="CF295" s="64"/>
      <c r="CG295" s="64"/>
    </row>
    <row r="296" spans="1:85" ht="12.75">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c r="AQ296" s="64"/>
      <c r="AR296" s="64"/>
      <c r="AS296" s="64"/>
      <c r="AT296" s="64"/>
      <c r="AU296" s="64"/>
      <c r="AV296" s="64"/>
      <c r="AW296" s="64"/>
      <c r="AX296" s="64"/>
      <c r="AY296" s="64"/>
      <c r="AZ296" s="64"/>
      <c r="BA296" s="64"/>
      <c r="BB296" s="64"/>
      <c r="BC296" s="64"/>
      <c r="BD296" s="64"/>
      <c r="BE296" s="64"/>
      <c r="BF296" s="64"/>
      <c r="BG296" s="64"/>
      <c r="BH296" s="64"/>
      <c r="BI296" s="64"/>
      <c r="BJ296" s="64"/>
      <c r="BK296" s="64"/>
      <c r="BL296" s="64"/>
      <c r="BM296" s="64"/>
      <c r="BN296" s="64"/>
      <c r="BO296" s="64"/>
      <c r="BP296" s="64"/>
      <c r="BQ296" s="64"/>
      <c r="BR296" s="64"/>
      <c r="BS296" s="64"/>
      <c r="BT296" s="64"/>
      <c r="BU296" s="64"/>
      <c r="BV296" s="64"/>
      <c r="BW296" s="64"/>
      <c r="BX296" s="64"/>
      <c r="BY296" s="64"/>
      <c r="BZ296" s="64"/>
      <c r="CA296" s="64"/>
      <c r="CB296" s="64"/>
      <c r="CC296" s="64"/>
      <c r="CD296" s="64"/>
      <c r="CE296" s="64"/>
      <c r="CF296" s="64"/>
      <c r="CG296" s="64"/>
    </row>
    <row r="297" spans="1:85" ht="12.75">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c r="AQ297" s="64"/>
      <c r="AR297" s="64"/>
      <c r="AS297" s="64"/>
      <c r="AT297" s="64"/>
      <c r="AU297" s="64"/>
      <c r="AV297" s="64"/>
      <c r="AW297" s="64"/>
      <c r="AX297" s="64"/>
      <c r="AY297" s="64"/>
      <c r="AZ297" s="64"/>
      <c r="BA297" s="64"/>
      <c r="BB297" s="64"/>
      <c r="BC297" s="64"/>
      <c r="BD297" s="64"/>
      <c r="BE297" s="64"/>
      <c r="BF297" s="64"/>
      <c r="BG297" s="64"/>
      <c r="BH297" s="64"/>
      <c r="BI297" s="64"/>
      <c r="BJ297" s="64"/>
      <c r="BK297" s="64"/>
      <c r="BL297" s="64"/>
      <c r="BM297" s="64"/>
      <c r="BN297" s="64"/>
      <c r="BO297" s="64"/>
      <c r="BP297" s="64"/>
      <c r="BQ297" s="64"/>
      <c r="BR297" s="64"/>
      <c r="BS297" s="64"/>
      <c r="BT297" s="64"/>
      <c r="BU297" s="64"/>
      <c r="BV297" s="64"/>
      <c r="BW297" s="64"/>
      <c r="BX297" s="64"/>
      <c r="BY297" s="64"/>
      <c r="BZ297" s="64"/>
      <c r="CA297" s="64"/>
      <c r="CB297" s="64"/>
      <c r="CC297" s="64"/>
      <c r="CD297" s="64"/>
      <c r="CE297" s="64"/>
      <c r="CF297" s="64"/>
      <c r="CG297" s="64"/>
    </row>
    <row r="298" spans="1:85" ht="12.75">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c r="AQ298" s="64"/>
      <c r="AR298" s="64"/>
      <c r="AS298" s="64"/>
      <c r="AT298" s="64"/>
      <c r="AU298" s="64"/>
      <c r="AV298" s="64"/>
      <c r="AW298" s="64"/>
      <c r="AX298" s="64"/>
      <c r="AY298" s="64"/>
      <c r="AZ298" s="64"/>
      <c r="BA298" s="64"/>
      <c r="BB298" s="64"/>
      <c r="BC298" s="64"/>
      <c r="BD298" s="64"/>
      <c r="BE298" s="64"/>
      <c r="BF298" s="64"/>
      <c r="BG298" s="64"/>
      <c r="BH298" s="64"/>
      <c r="BI298" s="64"/>
      <c r="BJ298" s="64"/>
      <c r="BK298" s="64"/>
      <c r="BL298" s="64"/>
      <c r="BM298" s="64"/>
      <c r="BN298" s="64"/>
      <c r="BO298" s="64"/>
      <c r="BP298" s="64"/>
      <c r="BQ298" s="64"/>
      <c r="BR298" s="64"/>
      <c r="BS298" s="64"/>
      <c r="BT298" s="64"/>
      <c r="BU298" s="64"/>
      <c r="BV298" s="64"/>
      <c r="BW298" s="64"/>
      <c r="BX298" s="64"/>
      <c r="BY298" s="64"/>
      <c r="BZ298" s="64"/>
      <c r="CA298" s="64"/>
      <c r="CB298" s="64"/>
      <c r="CC298" s="64"/>
      <c r="CD298" s="64"/>
      <c r="CE298" s="64"/>
      <c r="CF298" s="64"/>
      <c r="CG298" s="64"/>
    </row>
    <row r="299" spans="1:85" ht="12.75">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c r="AQ299" s="64"/>
      <c r="AR299" s="64"/>
      <c r="AS299" s="64"/>
      <c r="AT299" s="64"/>
      <c r="AU299" s="64"/>
      <c r="AV299" s="64"/>
      <c r="AW299" s="64"/>
      <c r="AX299" s="64"/>
      <c r="AY299" s="64"/>
      <c r="AZ299" s="64"/>
      <c r="BA299" s="64"/>
      <c r="BB299" s="64"/>
      <c r="BC299" s="64"/>
      <c r="BD299" s="64"/>
      <c r="BE299" s="64"/>
      <c r="BF299" s="64"/>
      <c r="BG299" s="64"/>
      <c r="BH299" s="64"/>
      <c r="BI299" s="64"/>
      <c r="BJ299" s="64"/>
      <c r="BK299" s="64"/>
      <c r="BL299" s="64"/>
      <c r="BM299" s="64"/>
      <c r="BN299" s="64"/>
      <c r="BO299" s="64"/>
      <c r="BP299" s="64"/>
      <c r="BQ299" s="64"/>
      <c r="BR299" s="64"/>
      <c r="BS299" s="64"/>
      <c r="BT299" s="64"/>
      <c r="BU299" s="64"/>
      <c r="BV299" s="64"/>
      <c r="BW299" s="64"/>
      <c r="BX299" s="64"/>
      <c r="BY299" s="64"/>
      <c r="BZ299" s="64"/>
      <c r="CA299" s="64"/>
      <c r="CB299" s="64"/>
      <c r="CC299" s="64"/>
      <c r="CD299" s="64"/>
      <c r="CE299" s="64"/>
      <c r="CF299" s="64"/>
      <c r="CG299" s="64"/>
    </row>
    <row r="300" spans="1:85" ht="12.75">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c r="AQ300" s="64"/>
      <c r="AR300" s="64"/>
      <c r="AS300" s="64"/>
      <c r="AT300" s="64"/>
      <c r="AU300" s="64"/>
      <c r="AV300" s="64"/>
      <c r="AW300" s="64"/>
      <c r="AX300" s="64"/>
      <c r="AY300" s="64"/>
      <c r="AZ300" s="64"/>
      <c r="BA300" s="64"/>
      <c r="BB300" s="64"/>
      <c r="BC300" s="64"/>
      <c r="BD300" s="64"/>
      <c r="BE300" s="64"/>
      <c r="BF300" s="64"/>
      <c r="BG300" s="64"/>
      <c r="BH300" s="64"/>
      <c r="BI300" s="64"/>
      <c r="BJ300" s="64"/>
      <c r="BK300" s="64"/>
      <c r="BL300" s="64"/>
      <c r="BM300" s="64"/>
      <c r="BN300" s="64"/>
      <c r="BO300" s="64"/>
      <c r="BP300" s="64"/>
      <c r="BQ300" s="64"/>
      <c r="BR300" s="64"/>
      <c r="BS300" s="64"/>
      <c r="BT300" s="64"/>
      <c r="BU300" s="64"/>
      <c r="BV300" s="64"/>
      <c r="BW300" s="64"/>
      <c r="BX300" s="64"/>
      <c r="BY300" s="64"/>
      <c r="BZ300" s="64"/>
      <c r="CA300" s="64"/>
      <c r="CB300" s="64"/>
      <c r="CC300" s="64"/>
      <c r="CD300" s="64"/>
      <c r="CE300" s="64"/>
      <c r="CF300" s="64"/>
      <c r="CG300" s="64"/>
    </row>
    <row r="301" spans="1:85" ht="12.75">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c r="AQ301" s="64"/>
      <c r="AR301" s="64"/>
      <c r="AS301" s="64"/>
      <c r="AT301" s="64"/>
      <c r="AU301" s="64"/>
      <c r="AV301" s="64"/>
      <c r="AW301" s="64"/>
      <c r="AX301" s="64"/>
      <c r="AY301" s="64"/>
      <c r="AZ301" s="64"/>
      <c r="BA301" s="64"/>
      <c r="BB301" s="64"/>
      <c r="BC301" s="64"/>
      <c r="BD301" s="64"/>
      <c r="BE301" s="64"/>
      <c r="BF301" s="64"/>
      <c r="BG301" s="64"/>
      <c r="BH301" s="64"/>
      <c r="BI301" s="64"/>
      <c r="BJ301" s="64"/>
      <c r="BK301" s="64"/>
      <c r="BL301" s="64"/>
      <c r="BM301" s="64"/>
      <c r="BN301" s="64"/>
      <c r="BO301" s="64"/>
      <c r="BP301" s="64"/>
      <c r="BQ301" s="64"/>
      <c r="BR301" s="64"/>
      <c r="BS301" s="64"/>
      <c r="BT301" s="64"/>
      <c r="BU301" s="64"/>
      <c r="BV301" s="64"/>
      <c r="BW301" s="64"/>
      <c r="BX301" s="64"/>
      <c r="BY301" s="64"/>
      <c r="BZ301" s="64"/>
      <c r="CA301" s="64"/>
      <c r="CB301" s="64"/>
      <c r="CC301" s="64"/>
      <c r="CD301" s="64"/>
      <c r="CE301" s="64"/>
      <c r="CF301" s="64"/>
      <c r="CG301" s="64"/>
    </row>
    <row r="302" spans="1:85" ht="12.75">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c r="AQ302" s="64"/>
      <c r="AR302" s="64"/>
      <c r="AS302" s="64"/>
      <c r="AT302" s="64"/>
      <c r="AU302" s="64"/>
      <c r="AV302" s="64"/>
      <c r="AW302" s="64"/>
      <c r="AX302" s="64"/>
      <c r="AY302" s="64"/>
      <c r="AZ302" s="64"/>
      <c r="BA302" s="64"/>
      <c r="BB302" s="64"/>
      <c r="BC302" s="64"/>
      <c r="BD302" s="64"/>
      <c r="BE302" s="64"/>
      <c r="BF302" s="64"/>
      <c r="BG302" s="64"/>
      <c r="BH302" s="64"/>
      <c r="BI302" s="64"/>
      <c r="BJ302" s="64"/>
      <c r="BK302" s="64"/>
      <c r="BL302" s="64"/>
      <c r="BM302" s="64"/>
      <c r="BN302" s="64"/>
      <c r="BO302" s="64"/>
      <c r="BP302" s="64"/>
      <c r="BQ302" s="64"/>
      <c r="BR302" s="64"/>
      <c r="BS302" s="64"/>
      <c r="BT302" s="64"/>
      <c r="BU302" s="64"/>
      <c r="BV302" s="64"/>
      <c r="BW302" s="64"/>
      <c r="BX302" s="64"/>
      <c r="BY302" s="64"/>
      <c r="BZ302" s="64"/>
      <c r="CA302" s="64"/>
      <c r="CB302" s="64"/>
      <c r="CC302" s="64"/>
      <c r="CD302" s="64"/>
      <c r="CE302" s="64"/>
      <c r="CF302" s="64"/>
      <c r="CG302" s="64"/>
    </row>
    <row r="303" spans="1:85" ht="12.75">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c r="AQ303" s="64"/>
      <c r="AR303" s="64"/>
      <c r="AS303" s="64"/>
      <c r="AT303" s="64"/>
      <c r="AU303" s="64"/>
      <c r="AV303" s="64"/>
      <c r="AW303" s="64"/>
      <c r="AX303" s="64"/>
      <c r="AY303" s="64"/>
      <c r="AZ303" s="64"/>
      <c r="BA303" s="64"/>
      <c r="BB303" s="64"/>
      <c r="BC303" s="64"/>
      <c r="BD303" s="64"/>
      <c r="BE303" s="64"/>
      <c r="BF303" s="64"/>
      <c r="BG303" s="64"/>
      <c r="BH303" s="64"/>
      <c r="BI303" s="64"/>
      <c r="BJ303" s="64"/>
      <c r="BK303" s="64"/>
      <c r="BL303" s="64"/>
      <c r="BM303" s="64"/>
      <c r="BN303" s="64"/>
      <c r="BO303" s="64"/>
      <c r="BP303" s="64"/>
      <c r="BQ303" s="64"/>
      <c r="BR303" s="64"/>
      <c r="BS303" s="64"/>
      <c r="BT303" s="64"/>
      <c r="BU303" s="64"/>
      <c r="BV303" s="64"/>
      <c r="BW303" s="64"/>
      <c r="BX303" s="64"/>
      <c r="BY303" s="64"/>
      <c r="BZ303" s="64"/>
      <c r="CA303" s="64"/>
      <c r="CB303" s="64"/>
      <c r="CC303" s="64"/>
      <c r="CD303" s="64"/>
      <c r="CE303" s="64"/>
      <c r="CF303" s="64"/>
      <c r="CG303" s="64"/>
    </row>
    <row r="304" spans="1:85" ht="12.75">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c r="AP304" s="64"/>
      <c r="AQ304" s="64"/>
      <c r="AR304" s="64"/>
      <c r="AS304" s="64"/>
      <c r="AT304" s="64"/>
      <c r="AU304" s="64"/>
      <c r="AV304" s="64"/>
      <c r="AW304" s="64"/>
      <c r="AX304" s="64"/>
      <c r="AY304" s="64"/>
      <c r="AZ304" s="64"/>
      <c r="BA304" s="64"/>
      <c r="BB304" s="64"/>
      <c r="BC304" s="64"/>
      <c r="BD304" s="64"/>
      <c r="BE304" s="64"/>
      <c r="BF304" s="64"/>
      <c r="BG304" s="64"/>
      <c r="BH304" s="64"/>
      <c r="BI304" s="64"/>
      <c r="BJ304" s="64"/>
      <c r="BK304" s="64"/>
      <c r="BL304" s="64"/>
      <c r="BM304" s="64"/>
      <c r="BN304" s="64"/>
      <c r="BO304" s="64"/>
      <c r="BP304" s="64"/>
      <c r="BQ304" s="64"/>
      <c r="BR304" s="64"/>
      <c r="BS304" s="64"/>
      <c r="BT304" s="64"/>
      <c r="BU304" s="64"/>
      <c r="BV304" s="64"/>
      <c r="BW304" s="64"/>
      <c r="BX304" s="64"/>
      <c r="BY304" s="64"/>
      <c r="BZ304" s="64"/>
      <c r="CA304" s="64"/>
      <c r="CB304" s="64"/>
      <c r="CC304" s="64"/>
      <c r="CD304" s="64"/>
      <c r="CE304" s="64"/>
      <c r="CF304" s="64"/>
      <c r="CG304" s="64"/>
    </row>
    <row r="305" spans="1:85" ht="12.75">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c r="AQ305" s="64"/>
      <c r="AR305" s="64"/>
      <c r="AS305" s="64"/>
      <c r="AT305" s="64"/>
      <c r="AU305" s="64"/>
      <c r="AV305" s="64"/>
      <c r="AW305" s="64"/>
      <c r="AX305" s="64"/>
      <c r="AY305" s="64"/>
      <c r="AZ305" s="64"/>
      <c r="BA305" s="64"/>
      <c r="BB305" s="64"/>
      <c r="BC305" s="64"/>
      <c r="BD305" s="64"/>
      <c r="BE305" s="64"/>
      <c r="BF305" s="64"/>
      <c r="BG305" s="64"/>
      <c r="BH305" s="64"/>
      <c r="BI305" s="64"/>
      <c r="BJ305" s="64"/>
      <c r="BK305" s="64"/>
      <c r="BL305" s="64"/>
      <c r="BM305" s="64"/>
      <c r="BN305" s="64"/>
      <c r="BO305" s="64"/>
      <c r="BP305" s="64"/>
      <c r="BQ305" s="64"/>
      <c r="BR305" s="64"/>
      <c r="BS305" s="64"/>
      <c r="BT305" s="64"/>
      <c r="BU305" s="64"/>
      <c r="BV305" s="64"/>
      <c r="BW305" s="64"/>
      <c r="BX305" s="64"/>
      <c r="BY305" s="64"/>
      <c r="BZ305" s="64"/>
      <c r="CA305" s="64"/>
      <c r="CB305" s="64"/>
      <c r="CC305" s="64"/>
      <c r="CD305" s="64"/>
      <c r="CE305" s="64"/>
      <c r="CF305" s="64"/>
      <c r="CG305" s="64"/>
    </row>
    <row r="306" spans="1:85" ht="12.75">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c r="AQ306" s="64"/>
      <c r="AR306" s="64"/>
      <c r="AS306" s="64"/>
      <c r="AT306" s="64"/>
      <c r="AU306" s="64"/>
      <c r="AV306" s="64"/>
      <c r="AW306" s="64"/>
      <c r="AX306" s="64"/>
      <c r="AY306" s="64"/>
      <c r="AZ306" s="64"/>
      <c r="BA306" s="64"/>
      <c r="BB306" s="64"/>
      <c r="BC306" s="64"/>
      <c r="BD306" s="64"/>
      <c r="BE306" s="64"/>
      <c r="BF306" s="64"/>
      <c r="BG306" s="64"/>
      <c r="BH306" s="64"/>
      <c r="BI306" s="64"/>
      <c r="BJ306" s="64"/>
      <c r="BK306" s="64"/>
      <c r="BL306" s="64"/>
      <c r="BM306" s="64"/>
      <c r="BN306" s="64"/>
      <c r="BO306" s="64"/>
      <c r="BP306" s="64"/>
      <c r="BQ306" s="64"/>
      <c r="BR306" s="64"/>
      <c r="BS306" s="64"/>
      <c r="BT306" s="64"/>
      <c r="BU306" s="64"/>
      <c r="BV306" s="64"/>
      <c r="BW306" s="64"/>
      <c r="BX306" s="64"/>
      <c r="BY306" s="64"/>
      <c r="BZ306" s="64"/>
      <c r="CA306" s="64"/>
      <c r="CB306" s="64"/>
      <c r="CC306" s="64"/>
      <c r="CD306" s="64"/>
      <c r="CE306" s="64"/>
      <c r="CF306" s="64"/>
      <c r="CG306" s="64"/>
    </row>
    <row r="307" spans="1:85" ht="12.75">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c r="AQ307" s="64"/>
      <c r="AR307" s="64"/>
      <c r="AS307" s="64"/>
      <c r="AT307" s="64"/>
      <c r="AU307" s="64"/>
      <c r="AV307" s="64"/>
      <c r="AW307" s="64"/>
      <c r="AX307" s="64"/>
      <c r="AY307" s="64"/>
      <c r="AZ307" s="64"/>
      <c r="BA307" s="64"/>
      <c r="BB307" s="64"/>
      <c r="BC307" s="64"/>
      <c r="BD307" s="64"/>
      <c r="BE307" s="64"/>
      <c r="BF307" s="64"/>
      <c r="BG307" s="64"/>
      <c r="BH307" s="64"/>
      <c r="BI307" s="64"/>
      <c r="BJ307" s="64"/>
      <c r="BK307" s="64"/>
      <c r="BL307" s="64"/>
      <c r="BM307" s="64"/>
      <c r="BN307" s="64"/>
      <c r="BO307" s="64"/>
      <c r="BP307" s="64"/>
      <c r="BQ307" s="64"/>
      <c r="BR307" s="64"/>
      <c r="BS307" s="64"/>
      <c r="BT307" s="64"/>
      <c r="BU307" s="64"/>
      <c r="BV307" s="64"/>
      <c r="BW307" s="64"/>
      <c r="BX307" s="64"/>
      <c r="BY307" s="64"/>
      <c r="BZ307" s="64"/>
      <c r="CA307" s="64"/>
      <c r="CB307" s="64"/>
      <c r="CC307" s="64"/>
      <c r="CD307" s="64"/>
      <c r="CE307" s="64"/>
      <c r="CF307" s="64"/>
      <c r="CG307" s="64"/>
    </row>
    <row r="308" spans="1:85" ht="12.75">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c r="AQ308" s="64"/>
      <c r="AR308" s="64"/>
      <c r="AS308" s="64"/>
      <c r="AT308" s="64"/>
      <c r="AU308" s="64"/>
      <c r="AV308" s="64"/>
      <c r="AW308" s="64"/>
      <c r="AX308" s="64"/>
      <c r="AY308" s="64"/>
      <c r="AZ308" s="64"/>
      <c r="BA308" s="64"/>
      <c r="BB308" s="64"/>
      <c r="BC308" s="64"/>
      <c r="BD308" s="64"/>
      <c r="BE308" s="64"/>
      <c r="BF308" s="64"/>
      <c r="BG308" s="64"/>
      <c r="BH308" s="64"/>
      <c r="BI308" s="64"/>
      <c r="BJ308" s="64"/>
      <c r="BK308" s="64"/>
      <c r="BL308" s="64"/>
      <c r="BM308" s="64"/>
      <c r="BN308" s="64"/>
      <c r="BO308" s="64"/>
      <c r="BP308" s="64"/>
      <c r="BQ308" s="64"/>
      <c r="BR308" s="64"/>
      <c r="BS308" s="64"/>
      <c r="BT308" s="64"/>
      <c r="BU308" s="64"/>
      <c r="BV308" s="64"/>
      <c r="BW308" s="64"/>
      <c r="BX308" s="64"/>
      <c r="BY308" s="64"/>
      <c r="BZ308" s="64"/>
      <c r="CA308" s="64"/>
      <c r="CB308" s="64"/>
      <c r="CC308" s="64"/>
      <c r="CD308" s="64"/>
      <c r="CE308" s="64"/>
      <c r="CF308" s="64"/>
      <c r="CG308" s="64"/>
    </row>
    <row r="309" spans="1:85" ht="12.75">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c r="AQ309" s="64"/>
      <c r="AR309" s="64"/>
      <c r="AS309" s="64"/>
      <c r="AT309" s="64"/>
      <c r="AU309" s="64"/>
      <c r="AV309" s="64"/>
      <c r="AW309" s="64"/>
      <c r="AX309" s="64"/>
      <c r="AY309" s="64"/>
      <c r="AZ309" s="64"/>
      <c r="BA309" s="64"/>
      <c r="BB309" s="64"/>
      <c r="BC309" s="64"/>
      <c r="BD309" s="64"/>
      <c r="BE309" s="64"/>
      <c r="BF309" s="64"/>
      <c r="BG309" s="64"/>
      <c r="BH309" s="64"/>
      <c r="BI309" s="64"/>
      <c r="BJ309" s="64"/>
      <c r="BK309" s="64"/>
      <c r="BL309" s="64"/>
      <c r="BM309" s="64"/>
      <c r="BN309" s="64"/>
      <c r="BO309" s="64"/>
      <c r="BP309" s="64"/>
      <c r="BQ309" s="64"/>
      <c r="BR309" s="64"/>
      <c r="BS309" s="64"/>
      <c r="BT309" s="64"/>
      <c r="BU309" s="64"/>
      <c r="BV309" s="64"/>
      <c r="BW309" s="64"/>
      <c r="BX309" s="64"/>
      <c r="BY309" s="64"/>
      <c r="BZ309" s="64"/>
      <c r="CA309" s="64"/>
      <c r="CB309" s="64"/>
      <c r="CC309" s="64"/>
      <c r="CD309" s="64"/>
      <c r="CE309" s="64"/>
      <c r="CF309" s="64"/>
      <c r="CG309" s="64"/>
    </row>
    <row r="310" spans="1:85" ht="12.75">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c r="AP310" s="64"/>
      <c r="AQ310" s="64"/>
      <c r="AR310" s="64"/>
      <c r="AS310" s="64"/>
      <c r="AT310" s="64"/>
      <c r="AU310" s="64"/>
      <c r="AV310" s="64"/>
      <c r="AW310" s="64"/>
      <c r="AX310" s="64"/>
      <c r="AY310" s="64"/>
      <c r="AZ310" s="64"/>
      <c r="BA310" s="64"/>
      <c r="BB310" s="64"/>
      <c r="BC310" s="64"/>
      <c r="BD310" s="64"/>
      <c r="BE310" s="64"/>
      <c r="BF310" s="64"/>
      <c r="BG310" s="64"/>
      <c r="BH310" s="64"/>
      <c r="BI310" s="64"/>
      <c r="BJ310" s="64"/>
      <c r="BK310" s="64"/>
      <c r="BL310" s="64"/>
      <c r="BM310" s="64"/>
      <c r="BN310" s="64"/>
      <c r="BO310" s="64"/>
      <c r="BP310" s="64"/>
      <c r="BQ310" s="64"/>
      <c r="BR310" s="64"/>
      <c r="BS310" s="64"/>
      <c r="BT310" s="64"/>
      <c r="BU310" s="64"/>
      <c r="BV310" s="64"/>
      <c r="BW310" s="64"/>
      <c r="BX310" s="64"/>
      <c r="BY310" s="64"/>
      <c r="BZ310" s="64"/>
      <c r="CA310" s="64"/>
      <c r="CB310" s="64"/>
      <c r="CC310" s="64"/>
      <c r="CD310" s="64"/>
      <c r="CE310" s="64"/>
      <c r="CF310" s="64"/>
      <c r="CG310" s="64"/>
    </row>
    <row r="311" spans="1:85" ht="12.75">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c r="AQ311" s="64"/>
      <c r="AR311" s="64"/>
      <c r="AS311" s="64"/>
      <c r="AT311" s="64"/>
      <c r="AU311" s="64"/>
      <c r="AV311" s="64"/>
      <c r="AW311" s="64"/>
      <c r="AX311" s="64"/>
      <c r="AY311" s="64"/>
      <c r="AZ311" s="64"/>
      <c r="BA311" s="64"/>
      <c r="BB311" s="64"/>
      <c r="BC311" s="64"/>
      <c r="BD311" s="64"/>
      <c r="BE311" s="64"/>
      <c r="BF311" s="64"/>
      <c r="BG311" s="64"/>
      <c r="BH311" s="64"/>
      <c r="BI311" s="64"/>
      <c r="BJ311" s="64"/>
      <c r="BK311" s="64"/>
      <c r="BL311" s="64"/>
      <c r="BM311" s="64"/>
      <c r="BN311" s="64"/>
      <c r="BO311" s="64"/>
      <c r="BP311" s="64"/>
      <c r="BQ311" s="64"/>
      <c r="BR311" s="64"/>
      <c r="BS311" s="64"/>
      <c r="BT311" s="64"/>
      <c r="BU311" s="64"/>
      <c r="BV311" s="64"/>
      <c r="BW311" s="64"/>
      <c r="BX311" s="64"/>
      <c r="BY311" s="64"/>
      <c r="BZ311" s="64"/>
      <c r="CA311" s="64"/>
      <c r="CB311" s="64"/>
      <c r="CC311" s="64"/>
      <c r="CD311" s="64"/>
      <c r="CE311" s="64"/>
      <c r="CF311" s="64"/>
      <c r="CG311" s="64"/>
    </row>
    <row r="312" spans="1:85" ht="12.75">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c r="AQ312" s="64"/>
      <c r="AR312" s="64"/>
      <c r="AS312" s="64"/>
      <c r="AT312" s="64"/>
      <c r="AU312" s="64"/>
      <c r="AV312" s="64"/>
      <c r="AW312" s="64"/>
      <c r="AX312" s="64"/>
      <c r="AY312" s="64"/>
      <c r="AZ312" s="64"/>
      <c r="BA312" s="64"/>
      <c r="BB312" s="64"/>
      <c r="BC312" s="64"/>
      <c r="BD312" s="64"/>
      <c r="BE312" s="64"/>
      <c r="BF312" s="64"/>
      <c r="BG312" s="64"/>
      <c r="BH312" s="64"/>
      <c r="BI312" s="64"/>
      <c r="BJ312" s="64"/>
      <c r="BK312" s="64"/>
      <c r="BL312" s="64"/>
      <c r="BM312" s="64"/>
      <c r="BN312" s="64"/>
      <c r="BO312" s="64"/>
      <c r="BP312" s="64"/>
      <c r="BQ312" s="64"/>
      <c r="BR312" s="64"/>
      <c r="BS312" s="64"/>
      <c r="BT312" s="64"/>
      <c r="BU312" s="64"/>
      <c r="BV312" s="64"/>
      <c r="BW312" s="64"/>
      <c r="BX312" s="64"/>
      <c r="BY312" s="64"/>
      <c r="BZ312" s="64"/>
      <c r="CA312" s="64"/>
      <c r="CB312" s="64"/>
      <c r="CC312" s="64"/>
      <c r="CD312" s="64"/>
      <c r="CE312" s="64"/>
      <c r="CF312" s="64"/>
      <c r="CG312" s="64"/>
    </row>
    <row r="313" spans="1:85" ht="12.75">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c r="AQ313" s="64"/>
      <c r="AR313" s="64"/>
      <c r="AS313" s="64"/>
      <c r="AT313" s="64"/>
      <c r="AU313" s="64"/>
      <c r="AV313" s="64"/>
      <c r="AW313" s="64"/>
      <c r="AX313" s="64"/>
      <c r="AY313" s="64"/>
      <c r="AZ313" s="64"/>
      <c r="BA313" s="64"/>
      <c r="BB313" s="64"/>
      <c r="BC313" s="64"/>
      <c r="BD313" s="64"/>
      <c r="BE313" s="64"/>
      <c r="BF313" s="64"/>
      <c r="BG313" s="64"/>
      <c r="BH313" s="64"/>
      <c r="BI313" s="64"/>
      <c r="BJ313" s="64"/>
      <c r="BK313" s="64"/>
      <c r="BL313" s="64"/>
      <c r="BM313" s="64"/>
      <c r="BN313" s="64"/>
      <c r="BO313" s="64"/>
      <c r="BP313" s="64"/>
      <c r="BQ313" s="64"/>
      <c r="BR313" s="64"/>
      <c r="BS313" s="64"/>
      <c r="BT313" s="64"/>
      <c r="BU313" s="64"/>
      <c r="BV313" s="64"/>
      <c r="BW313" s="64"/>
      <c r="BX313" s="64"/>
      <c r="BY313" s="64"/>
      <c r="BZ313" s="64"/>
      <c r="CA313" s="64"/>
      <c r="CB313" s="64"/>
      <c r="CC313" s="64"/>
      <c r="CD313" s="64"/>
      <c r="CE313" s="64"/>
      <c r="CF313" s="64"/>
      <c r="CG313" s="64"/>
    </row>
    <row r="314" spans="1:85" ht="12.75">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c r="AQ314" s="64"/>
      <c r="AR314" s="64"/>
      <c r="AS314" s="64"/>
      <c r="AT314" s="64"/>
      <c r="AU314" s="64"/>
      <c r="AV314" s="64"/>
      <c r="AW314" s="64"/>
      <c r="AX314" s="64"/>
      <c r="AY314" s="64"/>
      <c r="AZ314" s="64"/>
      <c r="BA314" s="64"/>
      <c r="BB314" s="64"/>
      <c r="BC314" s="64"/>
      <c r="BD314" s="64"/>
      <c r="BE314" s="64"/>
      <c r="BF314" s="64"/>
      <c r="BG314" s="64"/>
      <c r="BH314" s="64"/>
      <c r="BI314" s="64"/>
      <c r="BJ314" s="64"/>
      <c r="BK314" s="64"/>
      <c r="BL314" s="64"/>
      <c r="BM314" s="64"/>
      <c r="BN314" s="64"/>
      <c r="BO314" s="64"/>
      <c r="BP314" s="64"/>
      <c r="BQ314" s="64"/>
      <c r="BR314" s="64"/>
      <c r="BS314" s="64"/>
      <c r="BT314" s="64"/>
      <c r="BU314" s="64"/>
      <c r="BV314" s="64"/>
      <c r="BW314" s="64"/>
      <c r="BX314" s="64"/>
      <c r="BY314" s="64"/>
      <c r="BZ314" s="64"/>
      <c r="CA314" s="64"/>
      <c r="CB314" s="64"/>
      <c r="CC314" s="64"/>
      <c r="CD314" s="64"/>
      <c r="CE314" s="64"/>
      <c r="CF314" s="64"/>
      <c r="CG314" s="64"/>
    </row>
    <row r="315" spans="1:85" ht="12.75">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c r="AQ315" s="64"/>
      <c r="AR315" s="64"/>
      <c r="AS315" s="64"/>
      <c r="AT315" s="64"/>
      <c r="AU315" s="64"/>
      <c r="AV315" s="64"/>
      <c r="AW315" s="64"/>
      <c r="AX315" s="64"/>
      <c r="AY315" s="64"/>
      <c r="AZ315" s="64"/>
      <c r="BA315" s="64"/>
      <c r="BB315" s="64"/>
      <c r="BC315" s="64"/>
      <c r="BD315" s="64"/>
      <c r="BE315" s="64"/>
      <c r="BF315" s="64"/>
      <c r="BG315" s="64"/>
      <c r="BH315" s="64"/>
      <c r="BI315" s="64"/>
      <c r="BJ315" s="64"/>
      <c r="BK315" s="64"/>
      <c r="BL315" s="64"/>
      <c r="BM315" s="64"/>
      <c r="BN315" s="64"/>
      <c r="BO315" s="64"/>
      <c r="BP315" s="64"/>
      <c r="BQ315" s="64"/>
      <c r="BR315" s="64"/>
      <c r="BS315" s="64"/>
      <c r="BT315" s="64"/>
      <c r="BU315" s="64"/>
      <c r="BV315" s="64"/>
      <c r="BW315" s="64"/>
      <c r="BX315" s="64"/>
      <c r="BY315" s="64"/>
      <c r="BZ315" s="64"/>
      <c r="CA315" s="64"/>
      <c r="CB315" s="64"/>
      <c r="CC315" s="64"/>
      <c r="CD315" s="64"/>
      <c r="CE315" s="64"/>
      <c r="CF315" s="64"/>
      <c r="CG315" s="64"/>
    </row>
    <row r="316" spans="1:85" ht="12.75">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c r="AP316" s="64"/>
      <c r="AQ316" s="64"/>
      <c r="AR316" s="64"/>
      <c r="AS316" s="64"/>
      <c r="AT316" s="64"/>
      <c r="AU316" s="64"/>
      <c r="AV316" s="64"/>
      <c r="AW316" s="64"/>
      <c r="AX316" s="64"/>
      <c r="AY316" s="64"/>
      <c r="AZ316" s="64"/>
      <c r="BA316" s="64"/>
      <c r="BB316" s="64"/>
      <c r="BC316" s="64"/>
      <c r="BD316" s="64"/>
      <c r="BE316" s="64"/>
      <c r="BF316" s="64"/>
      <c r="BG316" s="64"/>
      <c r="BH316" s="64"/>
      <c r="BI316" s="64"/>
      <c r="BJ316" s="64"/>
      <c r="BK316" s="64"/>
      <c r="BL316" s="64"/>
      <c r="BM316" s="64"/>
      <c r="BN316" s="64"/>
      <c r="BO316" s="64"/>
      <c r="BP316" s="64"/>
      <c r="BQ316" s="64"/>
      <c r="BR316" s="64"/>
      <c r="BS316" s="64"/>
      <c r="BT316" s="64"/>
      <c r="BU316" s="64"/>
      <c r="BV316" s="64"/>
      <c r="BW316" s="64"/>
      <c r="BX316" s="64"/>
      <c r="BY316" s="64"/>
      <c r="BZ316" s="64"/>
      <c r="CA316" s="64"/>
      <c r="CB316" s="64"/>
      <c r="CC316" s="64"/>
      <c r="CD316" s="64"/>
      <c r="CE316" s="64"/>
      <c r="CF316" s="64"/>
      <c r="CG316" s="64"/>
    </row>
    <row r="317" spans="1:85" ht="12.75">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c r="AQ317" s="64"/>
      <c r="AR317" s="64"/>
      <c r="AS317" s="64"/>
      <c r="AT317" s="64"/>
      <c r="AU317" s="64"/>
      <c r="AV317" s="64"/>
      <c r="AW317" s="64"/>
      <c r="AX317" s="64"/>
      <c r="AY317" s="64"/>
      <c r="AZ317" s="64"/>
      <c r="BA317" s="64"/>
      <c r="BB317" s="64"/>
      <c r="BC317" s="64"/>
      <c r="BD317" s="64"/>
      <c r="BE317" s="64"/>
      <c r="BF317" s="64"/>
      <c r="BG317" s="64"/>
      <c r="BH317" s="64"/>
      <c r="BI317" s="64"/>
      <c r="BJ317" s="64"/>
      <c r="BK317" s="64"/>
      <c r="BL317" s="64"/>
      <c r="BM317" s="64"/>
      <c r="BN317" s="64"/>
      <c r="BO317" s="64"/>
      <c r="BP317" s="64"/>
      <c r="BQ317" s="64"/>
      <c r="BR317" s="64"/>
      <c r="BS317" s="64"/>
      <c r="BT317" s="64"/>
      <c r="BU317" s="64"/>
      <c r="BV317" s="64"/>
      <c r="BW317" s="64"/>
      <c r="BX317" s="64"/>
      <c r="BY317" s="64"/>
      <c r="BZ317" s="64"/>
      <c r="CA317" s="64"/>
      <c r="CB317" s="64"/>
      <c r="CC317" s="64"/>
      <c r="CD317" s="64"/>
      <c r="CE317" s="64"/>
      <c r="CF317" s="64"/>
      <c r="CG317" s="64"/>
    </row>
    <row r="318" spans="1:85" ht="12.75">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c r="AQ318" s="64"/>
      <c r="AR318" s="64"/>
      <c r="AS318" s="64"/>
      <c r="AT318" s="64"/>
      <c r="AU318" s="64"/>
      <c r="AV318" s="64"/>
      <c r="AW318" s="64"/>
      <c r="AX318" s="64"/>
      <c r="AY318" s="64"/>
      <c r="AZ318" s="64"/>
      <c r="BA318" s="64"/>
      <c r="BB318" s="64"/>
      <c r="BC318" s="64"/>
      <c r="BD318" s="64"/>
      <c r="BE318" s="64"/>
      <c r="BF318" s="64"/>
      <c r="BG318" s="64"/>
      <c r="BH318" s="64"/>
      <c r="BI318" s="64"/>
      <c r="BJ318" s="64"/>
      <c r="BK318" s="64"/>
      <c r="BL318" s="64"/>
      <c r="BM318" s="64"/>
      <c r="BN318" s="64"/>
      <c r="BO318" s="64"/>
      <c r="BP318" s="64"/>
      <c r="BQ318" s="64"/>
      <c r="BR318" s="64"/>
      <c r="BS318" s="64"/>
      <c r="BT318" s="64"/>
      <c r="BU318" s="64"/>
      <c r="BV318" s="64"/>
      <c r="BW318" s="64"/>
      <c r="BX318" s="64"/>
      <c r="BY318" s="64"/>
      <c r="BZ318" s="64"/>
      <c r="CA318" s="64"/>
      <c r="CB318" s="64"/>
      <c r="CC318" s="64"/>
      <c r="CD318" s="64"/>
      <c r="CE318" s="64"/>
      <c r="CF318" s="64"/>
      <c r="CG318" s="64"/>
    </row>
    <row r="319" spans="1:85" ht="12.75">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c r="AQ319" s="64"/>
      <c r="AR319" s="64"/>
      <c r="AS319" s="64"/>
      <c r="AT319" s="64"/>
      <c r="AU319" s="64"/>
      <c r="AV319" s="64"/>
      <c r="AW319" s="64"/>
      <c r="AX319" s="64"/>
      <c r="AY319" s="64"/>
      <c r="AZ319" s="64"/>
      <c r="BA319" s="64"/>
      <c r="BB319" s="64"/>
      <c r="BC319" s="64"/>
      <c r="BD319" s="64"/>
      <c r="BE319" s="64"/>
      <c r="BF319" s="64"/>
      <c r="BG319" s="64"/>
      <c r="BH319" s="64"/>
      <c r="BI319" s="64"/>
      <c r="BJ319" s="64"/>
      <c r="BK319" s="64"/>
      <c r="BL319" s="64"/>
      <c r="BM319" s="64"/>
      <c r="BN319" s="64"/>
      <c r="BO319" s="64"/>
      <c r="BP319" s="64"/>
      <c r="BQ319" s="64"/>
      <c r="BR319" s="64"/>
      <c r="BS319" s="64"/>
      <c r="BT319" s="64"/>
      <c r="BU319" s="64"/>
      <c r="BV319" s="64"/>
      <c r="BW319" s="64"/>
      <c r="BX319" s="64"/>
      <c r="BY319" s="64"/>
      <c r="BZ319" s="64"/>
      <c r="CA319" s="64"/>
      <c r="CB319" s="64"/>
      <c r="CC319" s="64"/>
      <c r="CD319" s="64"/>
      <c r="CE319" s="64"/>
      <c r="CF319" s="64"/>
      <c r="CG319" s="64"/>
    </row>
    <row r="320" spans="1:85" ht="12.75">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c r="AP320" s="64"/>
      <c r="AQ320" s="64"/>
      <c r="AR320" s="64"/>
      <c r="AS320" s="64"/>
      <c r="AT320" s="64"/>
      <c r="AU320" s="64"/>
      <c r="AV320" s="64"/>
      <c r="AW320" s="64"/>
      <c r="AX320" s="64"/>
      <c r="AY320" s="64"/>
      <c r="AZ320" s="64"/>
      <c r="BA320" s="64"/>
      <c r="BB320" s="64"/>
      <c r="BC320" s="64"/>
      <c r="BD320" s="64"/>
      <c r="BE320" s="64"/>
      <c r="BF320" s="64"/>
      <c r="BG320" s="64"/>
      <c r="BH320" s="64"/>
      <c r="BI320" s="64"/>
      <c r="BJ320" s="64"/>
      <c r="BK320" s="64"/>
      <c r="BL320" s="64"/>
      <c r="BM320" s="64"/>
      <c r="BN320" s="64"/>
      <c r="BO320" s="64"/>
      <c r="BP320" s="64"/>
      <c r="BQ320" s="64"/>
      <c r="BR320" s="64"/>
      <c r="BS320" s="64"/>
      <c r="BT320" s="64"/>
      <c r="BU320" s="64"/>
      <c r="BV320" s="64"/>
      <c r="BW320" s="64"/>
      <c r="BX320" s="64"/>
      <c r="BY320" s="64"/>
      <c r="BZ320" s="64"/>
      <c r="CA320" s="64"/>
      <c r="CB320" s="64"/>
      <c r="CC320" s="64"/>
      <c r="CD320" s="64"/>
      <c r="CE320" s="64"/>
      <c r="CF320" s="64"/>
      <c r="CG320" s="64"/>
    </row>
    <row r="321" spans="1:85" ht="12.75">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c r="AP321" s="64"/>
      <c r="AQ321" s="64"/>
      <c r="AR321" s="64"/>
      <c r="AS321" s="64"/>
      <c r="AT321" s="64"/>
      <c r="AU321" s="64"/>
      <c r="AV321" s="64"/>
      <c r="AW321" s="64"/>
      <c r="AX321" s="64"/>
      <c r="AY321" s="64"/>
      <c r="AZ321" s="64"/>
      <c r="BA321" s="64"/>
      <c r="BB321" s="64"/>
      <c r="BC321" s="64"/>
      <c r="BD321" s="64"/>
      <c r="BE321" s="64"/>
      <c r="BF321" s="64"/>
      <c r="BG321" s="64"/>
      <c r="BH321" s="64"/>
      <c r="BI321" s="64"/>
      <c r="BJ321" s="64"/>
      <c r="BK321" s="64"/>
      <c r="BL321" s="64"/>
      <c r="BM321" s="64"/>
      <c r="BN321" s="64"/>
      <c r="BO321" s="64"/>
      <c r="BP321" s="64"/>
      <c r="BQ321" s="64"/>
      <c r="BR321" s="64"/>
      <c r="BS321" s="64"/>
      <c r="BT321" s="64"/>
      <c r="BU321" s="64"/>
      <c r="BV321" s="64"/>
      <c r="BW321" s="64"/>
      <c r="BX321" s="64"/>
      <c r="BY321" s="64"/>
      <c r="BZ321" s="64"/>
      <c r="CA321" s="64"/>
      <c r="CB321" s="64"/>
      <c r="CC321" s="64"/>
      <c r="CD321" s="64"/>
      <c r="CE321" s="64"/>
      <c r="CF321" s="64"/>
      <c r="CG321" s="64"/>
    </row>
    <row r="322" spans="1:85" ht="12.75">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c r="AQ322" s="64"/>
      <c r="AR322" s="64"/>
      <c r="AS322" s="64"/>
      <c r="AT322" s="64"/>
      <c r="AU322" s="64"/>
      <c r="AV322" s="64"/>
      <c r="AW322" s="64"/>
      <c r="AX322" s="64"/>
      <c r="AY322" s="64"/>
      <c r="AZ322" s="64"/>
      <c r="BA322" s="64"/>
      <c r="BB322" s="64"/>
      <c r="BC322" s="64"/>
      <c r="BD322" s="64"/>
      <c r="BE322" s="64"/>
      <c r="BF322" s="64"/>
      <c r="BG322" s="64"/>
      <c r="BH322" s="64"/>
      <c r="BI322" s="64"/>
      <c r="BJ322" s="64"/>
      <c r="BK322" s="64"/>
      <c r="BL322" s="64"/>
      <c r="BM322" s="64"/>
      <c r="BN322" s="64"/>
      <c r="BO322" s="64"/>
      <c r="BP322" s="64"/>
      <c r="BQ322" s="64"/>
      <c r="BR322" s="64"/>
      <c r="BS322" s="64"/>
      <c r="BT322" s="64"/>
      <c r="BU322" s="64"/>
      <c r="BV322" s="64"/>
      <c r="BW322" s="64"/>
      <c r="BX322" s="64"/>
      <c r="BY322" s="64"/>
      <c r="BZ322" s="64"/>
      <c r="CA322" s="64"/>
      <c r="CB322" s="64"/>
      <c r="CC322" s="64"/>
      <c r="CD322" s="64"/>
      <c r="CE322" s="64"/>
      <c r="CF322" s="64"/>
      <c r="CG322" s="64"/>
    </row>
    <row r="323" spans="1:85" ht="12.75">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c r="AQ323" s="64"/>
      <c r="AR323" s="64"/>
      <c r="AS323" s="64"/>
      <c r="AT323" s="64"/>
      <c r="AU323" s="64"/>
      <c r="AV323" s="64"/>
      <c r="AW323" s="64"/>
      <c r="AX323" s="64"/>
      <c r="AY323" s="64"/>
      <c r="AZ323" s="64"/>
      <c r="BA323" s="64"/>
      <c r="BB323" s="64"/>
      <c r="BC323" s="64"/>
      <c r="BD323" s="64"/>
      <c r="BE323" s="64"/>
      <c r="BF323" s="64"/>
      <c r="BG323" s="64"/>
      <c r="BH323" s="64"/>
      <c r="BI323" s="64"/>
      <c r="BJ323" s="64"/>
      <c r="BK323" s="64"/>
      <c r="BL323" s="64"/>
      <c r="BM323" s="64"/>
      <c r="BN323" s="64"/>
      <c r="BO323" s="64"/>
      <c r="BP323" s="64"/>
      <c r="BQ323" s="64"/>
      <c r="BR323" s="64"/>
      <c r="BS323" s="64"/>
      <c r="BT323" s="64"/>
      <c r="BU323" s="64"/>
      <c r="BV323" s="64"/>
      <c r="BW323" s="64"/>
      <c r="BX323" s="64"/>
      <c r="BY323" s="64"/>
      <c r="BZ323" s="64"/>
      <c r="CA323" s="64"/>
      <c r="CB323" s="64"/>
      <c r="CC323" s="64"/>
      <c r="CD323" s="64"/>
      <c r="CE323" s="64"/>
      <c r="CF323" s="64"/>
      <c r="CG323" s="64"/>
    </row>
    <row r="324" spans="1:85" ht="12.75">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c r="AP324" s="64"/>
      <c r="AQ324" s="64"/>
      <c r="AR324" s="64"/>
      <c r="AS324" s="64"/>
      <c r="AT324" s="64"/>
      <c r="AU324" s="64"/>
      <c r="AV324" s="64"/>
      <c r="AW324" s="64"/>
      <c r="AX324" s="64"/>
      <c r="AY324" s="64"/>
      <c r="AZ324" s="64"/>
      <c r="BA324" s="64"/>
      <c r="BB324" s="64"/>
      <c r="BC324" s="64"/>
      <c r="BD324" s="64"/>
      <c r="BE324" s="64"/>
      <c r="BF324" s="64"/>
      <c r="BG324" s="64"/>
      <c r="BH324" s="64"/>
      <c r="BI324" s="64"/>
      <c r="BJ324" s="64"/>
      <c r="BK324" s="64"/>
      <c r="BL324" s="64"/>
      <c r="BM324" s="64"/>
      <c r="BN324" s="64"/>
      <c r="BO324" s="64"/>
      <c r="BP324" s="64"/>
      <c r="BQ324" s="64"/>
      <c r="BR324" s="64"/>
      <c r="BS324" s="64"/>
      <c r="BT324" s="64"/>
      <c r="BU324" s="64"/>
      <c r="BV324" s="64"/>
      <c r="BW324" s="64"/>
      <c r="BX324" s="64"/>
      <c r="BY324" s="64"/>
      <c r="BZ324" s="64"/>
      <c r="CA324" s="64"/>
      <c r="CB324" s="64"/>
      <c r="CC324" s="64"/>
      <c r="CD324" s="64"/>
      <c r="CE324" s="64"/>
      <c r="CF324" s="64"/>
      <c r="CG324" s="64"/>
    </row>
    <row r="325" spans="1:85" ht="12.75">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c r="AP325" s="64"/>
      <c r="AQ325" s="64"/>
      <c r="AR325" s="64"/>
      <c r="AS325" s="64"/>
      <c r="AT325" s="64"/>
      <c r="AU325" s="64"/>
      <c r="AV325" s="64"/>
      <c r="AW325" s="64"/>
      <c r="AX325" s="64"/>
      <c r="AY325" s="64"/>
      <c r="AZ325" s="64"/>
      <c r="BA325" s="64"/>
      <c r="BB325" s="64"/>
      <c r="BC325" s="64"/>
      <c r="BD325" s="64"/>
      <c r="BE325" s="64"/>
      <c r="BF325" s="64"/>
      <c r="BG325" s="64"/>
      <c r="BH325" s="64"/>
      <c r="BI325" s="64"/>
      <c r="BJ325" s="64"/>
      <c r="BK325" s="64"/>
      <c r="BL325" s="64"/>
      <c r="BM325" s="64"/>
      <c r="BN325" s="64"/>
      <c r="BO325" s="64"/>
      <c r="BP325" s="64"/>
      <c r="BQ325" s="64"/>
      <c r="BR325" s="64"/>
      <c r="BS325" s="64"/>
      <c r="BT325" s="64"/>
      <c r="BU325" s="64"/>
      <c r="BV325" s="64"/>
      <c r="BW325" s="64"/>
      <c r="BX325" s="64"/>
      <c r="BY325" s="64"/>
      <c r="BZ325" s="64"/>
      <c r="CA325" s="64"/>
      <c r="CB325" s="64"/>
      <c r="CC325" s="64"/>
      <c r="CD325" s="64"/>
      <c r="CE325" s="64"/>
      <c r="CF325" s="64"/>
      <c r="CG325" s="64"/>
    </row>
    <row r="326" spans="1:85" ht="12.75">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c r="AP326" s="64"/>
      <c r="AQ326" s="64"/>
      <c r="AR326" s="64"/>
      <c r="AS326" s="64"/>
      <c r="AT326" s="64"/>
      <c r="AU326" s="64"/>
      <c r="AV326" s="64"/>
      <c r="AW326" s="64"/>
      <c r="AX326" s="64"/>
      <c r="AY326" s="64"/>
      <c r="AZ326" s="64"/>
      <c r="BA326" s="64"/>
      <c r="BB326" s="64"/>
      <c r="BC326" s="64"/>
      <c r="BD326" s="64"/>
      <c r="BE326" s="64"/>
      <c r="BF326" s="64"/>
      <c r="BG326" s="64"/>
      <c r="BH326" s="64"/>
      <c r="BI326" s="64"/>
      <c r="BJ326" s="64"/>
      <c r="BK326" s="64"/>
      <c r="BL326" s="64"/>
      <c r="BM326" s="64"/>
      <c r="BN326" s="64"/>
      <c r="BO326" s="64"/>
      <c r="BP326" s="64"/>
      <c r="BQ326" s="64"/>
      <c r="BR326" s="64"/>
      <c r="BS326" s="64"/>
      <c r="BT326" s="64"/>
      <c r="BU326" s="64"/>
      <c r="BV326" s="64"/>
      <c r="BW326" s="64"/>
      <c r="BX326" s="64"/>
      <c r="BY326" s="64"/>
      <c r="BZ326" s="64"/>
      <c r="CA326" s="64"/>
      <c r="CB326" s="64"/>
      <c r="CC326" s="64"/>
      <c r="CD326" s="64"/>
      <c r="CE326" s="64"/>
      <c r="CF326" s="64"/>
      <c r="CG326" s="64"/>
    </row>
    <row r="327" spans="1:85" ht="12.75">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c r="AP327" s="64"/>
      <c r="AQ327" s="64"/>
      <c r="AR327" s="64"/>
      <c r="AS327" s="64"/>
      <c r="AT327" s="64"/>
      <c r="AU327" s="64"/>
      <c r="AV327" s="64"/>
      <c r="AW327" s="64"/>
      <c r="AX327" s="64"/>
      <c r="AY327" s="64"/>
      <c r="AZ327" s="64"/>
      <c r="BA327" s="64"/>
      <c r="BB327" s="64"/>
      <c r="BC327" s="64"/>
      <c r="BD327" s="64"/>
      <c r="BE327" s="64"/>
      <c r="BF327" s="64"/>
      <c r="BG327" s="64"/>
      <c r="BH327" s="64"/>
      <c r="BI327" s="64"/>
      <c r="BJ327" s="64"/>
      <c r="BK327" s="64"/>
      <c r="BL327" s="64"/>
      <c r="BM327" s="64"/>
      <c r="BN327" s="64"/>
      <c r="BO327" s="64"/>
      <c r="BP327" s="64"/>
      <c r="BQ327" s="64"/>
      <c r="BR327" s="64"/>
      <c r="BS327" s="64"/>
      <c r="BT327" s="64"/>
      <c r="BU327" s="64"/>
      <c r="BV327" s="64"/>
      <c r="BW327" s="64"/>
      <c r="BX327" s="64"/>
      <c r="BY327" s="64"/>
      <c r="BZ327" s="64"/>
      <c r="CA327" s="64"/>
      <c r="CB327" s="64"/>
      <c r="CC327" s="64"/>
      <c r="CD327" s="64"/>
      <c r="CE327" s="64"/>
      <c r="CF327" s="64"/>
      <c r="CG327" s="64"/>
    </row>
  </sheetData>
  <mergeCells count="11">
    <mergeCell ref="E3:H3"/>
    <mergeCell ref="I3:L3"/>
    <mergeCell ref="E42:H42"/>
    <mergeCell ref="I42:L42"/>
    <mergeCell ref="Y42:AB42"/>
    <mergeCell ref="U3:X3"/>
    <mergeCell ref="U42:X42"/>
    <mergeCell ref="M42:P42"/>
    <mergeCell ref="Q42:T42"/>
    <mergeCell ref="M3:P3"/>
    <mergeCell ref="Q3:T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B100"/>
  <sheetViews>
    <sheetView showGridLines="0" workbookViewId="0" topLeftCell="A35">
      <selection activeCell="B44" sqref="B44"/>
    </sheetView>
  </sheetViews>
  <sheetFormatPr defaultColWidth="9.33203125" defaultRowHeight="12.75"/>
  <cols>
    <col min="1" max="1" width="9" style="0" customWidth="1"/>
    <col min="2" max="2" width="29.66015625" style="0" customWidth="1"/>
    <col min="3" max="3" width="35.33203125" style="0" customWidth="1"/>
    <col min="4" max="16384" width="9" style="0" customWidth="1"/>
  </cols>
  <sheetData>
    <row r="1" spans="5:28" ht="12.75">
      <c r="E1" s="17" t="s">
        <v>156</v>
      </c>
      <c r="Z1" s="18"/>
      <c r="AA1" s="19"/>
      <c r="AB1" s="18"/>
    </row>
    <row r="2" spans="1:28" ht="12.75">
      <c r="A2" t="s">
        <v>157</v>
      </c>
      <c r="B2" t="s">
        <v>158</v>
      </c>
      <c r="C2" t="s">
        <v>159</v>
      </c>
      <c r="D2" t="s">
        <v>160</v>
      </c>
      <c r="E2" s="17" t="s">
        <v>161</v>
      </c>
      <c r="F2" t="s">
        <v>162</v>
      </c>
      <c r="Z2" s="18"/>
      <c r="AA2" s="107" t="s">
        <v>163</v>
      </c>
      <c r="AB2" s="108"/>
    </row>
    <row r="3" spans="5:28" ht="12.75">
      <c r="E3" s="17" t="s">
        <v>164</v>
      </c>
      <c r="F3">
        <v>2000</v>
      </c>
      <c r="G3">
        <v>2001</v>
      </c>
      <c r="H3">
        <v>2002</v>
      </c>
      <c r="I3">
        <v>2003</v>
      </c>
      <c r="J3">
        <v>2004</v>
      </c>
      <c r="K3">
        <v>2005</v>
      </c>
      <c r="L3">
        <v>2006</v>
      </c>
      <c r="M3">
        <v>2007</v>
      </c>
      <c r="N3">
        <v>2008</v>
      </c>
      <c r="O3">
        <v>2009</v>
      </c>
      <c r="P3">
        <v>2010</v>
      </c>
      <c r="Q3">
        <v>2011</v>
      </c>
      <c r="R3">
        <v>2012</v>
      </c>
      <c r="S3">
        <v>2013</v>
      </c>
      <c r="T3">
        <v>2014</v>
      </c>
      <c r="U3">
        <v>2015</v>
      </c>
      <c r="V3">
        <v>2016</v>
      </c>
      <c r="W3">
        <v>2017</v>
      </c>
      <c r="X3">
        <v>2018</v>
      </c>
      <c r="Y3">
        <v>2019</v>
      </c>
      <c r="Z3" s="18">
        <v>2020</v>
      </c>
      <c r="AA3" s="20">
        <v>2010</v>
      </c>
      <c r="AB3" s="21">
        <v>2020</v>
      </c>
    </row>
    <row r="4" spans="1:28" ht="12.75">
      <c r="A4" t="s">
        <v>165</v>
      </c>
      <c r="B4" s="22"/>
      <c r="Z4" s="18"/>
      <c r="AA4" s="19"/>
      <c r="AB4" s="18"/>
    </row>
    <row r="5" spans="2:28" ht="12.75">
      <c r="B5" s="22"/>
      <c r="Z5" s="18"/>
      <c r="AA5" s="19"/>
      <c r="AB5" s="18"/>
    </row>
    <row r="6" spans="1:28" ht="12.75">
      <c r="A6" s="23"/>
      <c r="B6" s="23" t="s">
        <v>166</v>
      </c>
      <c r="C6" s="23" t="s">
        <v>238</v>
      </c>
      <c r="D6" s="23" t="s">
        <v>167</v>
      </c>
      <c r="E6" s="24">
        <f>'[4]Gas Heating'!$C$325</f>
        <v>0.44888125</v>
      </c>
      <c r="F6" s="61">
        <f>'[4]Gas Heating'!$C$171</f>
        <v>0.004551728094575799</v>
      </c>
      <c r="G6" s="40">
        <f>'[4]Gas Heating'!$C$172</f>
        <v>0.005791316866823093</v>
      </c>
      <c r="H6" s="40">
        <f>'[4]Gas Heating'!$C$173</f>
        <v>0.0069575161646441615</v>
      </c>
      <c r="I6" s="40">
        <f>'[4]Gas Heating'!$C$174</f>
        <v>0.00764487503340096</v>
      </c>
      <c r="J6" s="40">
        <f>'[4]Gas Heating'!$C$175</f>
        <v>0.00793200484739082</v>
      </c>
      <c r="K6" s="40">
        <f>'[4]Gas Heating'!$C$176</f>
        <v>0.007257947403314475</v>
      </c>
      <c r="L6" s="40">
        <f>'[4]Gas Heating'!$C$177</f>
        <v>0.006751359243464686</v>
      </c>
      <c r="M6" s="40">
        <f>'[4]Gas Heating'!$C$178</f>
        <v>0.006363741906153605</v>
      </c>
      <c r="N6" s="40">
        <f>'[4]Gas Heating'!$C$179</f>
        <v>0.005811470146660707</v>
      </c>
      <c r="O6" s="40">
        <f>'[4]Gas Heating'!$C$180</f>
        <v>0.005485911044199181</v>
      </c>
      <c r="P6" s="40">
        <f>'[4]Gas Heating'!$C$181</f>
        <v>0.004833798972301901</v>
      </c>
      <c r="Q6" s="40">
        <f>'[4]Gas Heating'!$C$182</f>
        <v>0.005169028384536164</v>
      </c>
      <c r="R6" s="40">
        <f>'[4]Gas Heating'!$C$183</f>
        <v>0.005541327049406252</v>
      </c>
      <c r="S6" s="40">
        <f>'[4]Gas Heating'!$C$184</f>
        <v>0.005446879175726577</v>
      </c>
      <c r="T6" s="40">
        <f>'[4]Gas Heating'!$C$185</f>
        <v>0.005392944941472189</v>
      </c>
      <c r="U6" s="40">
        <f>'[4]Gas Heating'!$C$186</f>
        <v>0.0051899229490711025</v>
      </c>
      <c r="V6" s="40">
        <f>'[4]Gas Heating'!$C$187</f>
        <v>0.005006784211233989</v>
      </c>
      <c r="W6" s="40">
        <f>'[4]Gas Heating'!$C$188</f>
        <v>0.0046755778390221315</v>
      </c>
      <c r="X6" s="40">
        <f>'[4]Gas Heating'!$C$189</f>
        <v>0.003820332840352339</v>
      </c>
      <c r="Y6" s="40">
        <f>'[4]Gas Heating'!$C$190</f>
        <v>0.003223249632754544</v>
      </c>
      <c r="Z6" s="36">
        <f>'[4]Gas Heating'!$C$191</f>
        <v>0.0026455045698308977</v>
      </c>
      <c r="AA6" s="27">
        <f>'[4]Gas Heating'!$C$269</f>
        <v>0.0700426996403478</v>
      </c>
      <c r="AB6" s="26">
        <f>'[4]Gas Heating'!$C$279</f>
        <v>0.08882074017990849</v>
      </c>
    </row>
    <row r="7" spans="1:28" ht="12.75">
      <c r="A7" s="23"/>
      <c r="B7" s="23" t="s">
        <v>168</v>
      </c>
      <c r="C7" s="23" t="s">
        <v>238</v>
      </c>
      <c r="D7" s="23" t="s">
        <v>169</v>
      </c>
      <c r="E7" s="24">
        <f>'[4]Cooling'!$C$325</f>
        <v>0.49843562500000005</v>
      </c>
      <c r="F7" s="40">
        <f>'[4]Cooling'!$C$171</f>
        <v>0.005185539638386648</v>
      </c>
      <c r="G7" s="40">
        <f>'[4]Cooling'!$C$172</f>
        <v>0.006549649883492769</v>
      </c>
      <c r="H7" s="40">
        <f>'[4]Cooling'!$C$173</f>
        <v>0.007691058141643882</v>
      </c>
      <c r="I7" s="40">
        <f>'[4]Cooling'!$C$174</f>
        <v>0.008349687621939253</v>
      </c>
      <c r="J7" s="40">
        <f>'[4]Cooling'!$C$175</f>
        <v>0.008610973339481505</v>
      </c>
      <c r="K7" s="40">
        <f>'[4]Cooling'!$C$176</f>
        <v>0</v>
      </c>
      <c r="L7" s="40">
        <f>'[4]Cooling'!$C$177</f>
        <v>0</v>
      </c>
      <c r="M7" s="40">
        <f>'[4]Cooling'!$C$178</f>
        <v>0</v>
      </c>
      <c r="N7" s="40">
        <f>'[4]Cooling'!$C$179</f>
        <v>0</v>
      </c>
      <c r="O7" s="40">
        <f>'[4]Cooling'!$C$180</f>
        <v>0</v>
      </c>
      <c r="P7" s="40">
        <f>'[4]Cooling'!$C$181</f>
        <v>0</v>
      </c>
      <c r="Q7" s="40">
        <f>'[4]Cooling'!$C$182</f>
        <v>0</v>
      </c>
      <c r="R7" s="40">
        <f>'[4]Cooling'!$C$183</f>
        <v>0</v>
      </c>
      <c r="S7" s="40">
        <f>'[4]Cooling'!$C$184</f>
        <v>0</v>
      </c>
      <c r="T7" s="40">
        <f>'[4]Cooling'!$C$185</f>
        <v>0</v>
      </c>
      <c r="U7" s="40">
        <f>'[4]Cooling'!$C$186</f>
        <v>0</v>
      </c>
      <c r="V7" s="40">
        <f>'[4]Cooling'!$C$187</f>
        <v>0</v>
      </c>
      <c r="W7" s="40">
        <f>'[4]Cooling'!$C$188</f>
        <v>0</v>
      </c>
      <c r="X7" s="40">
        <f>'[4]Cooling'!$C$189</f>
        <v>0</v>
      </c>
      <c r="Y7" s="40">
        <f>'[4]Cooling'!$C$190</f>
        <v>0</v>
      </c>
      <c r="Z7" s="36">
        <f>'[4]Cooling'!$C$191</f>
        <v>0</v>
      </c>
      <c r="AA7" s="27">
        <f>'[4]Cooling'!$C$269</f>
        <v>0.04263970244729627</v>
      </c>
      <c r="AB7" s="26">
        <f>'[4]Cooling'!$C$279</f>
        <v>0.04263970244729627</v>
      </c>
    </row>
    <row r="8" spans="1:28" ht="12.75">
      <c r="A8" s="22"/>
      <c r="B8" s="22" t="s">
        <v>170</v>
      </c>
      <c r="C8" s="22" t="s">
        <v>171</v>
      </c>
      <c r="D8" s="22" t="s">
        <v>172</v>
      </c>
      <c r="E8" s="28">
        <f>'[4]WH-elec'!$C$325</f>
        <v>0.58</v>
      </c>
      <c r="F8" s="28">
        <f>'[4]WH-elec'!$C$171</f>
        <v>0</v>
      </c>
      <c r="G8" s="29">
        <f>'[4]WH-elec'!$C$172</f>
        <v>0.003</v>
      </c>
      <c r="H8" s="29">
        <f>'[4]WH-elec'!$C$173</f>
        <v>0.006</v>
      </c>
      <c r="I8" s="29">
        <f>'[4]WH-elec'!$C$174</f>
        <v>0.009000000000000001</v>
      </c>
      <c r="J8" s="29">
        <f>'[4]WH-elec'!$C$175</f>
        <v>0.012</v>
      </c>
      <c r="K8" s="29">
        <f>'[4]WH-elec'!$C$176</f>
        <v>0.015</v>
      </c>
      <c r="L8" s="29">
        <f>'[4]WH-elec'!$C$177</f>
        <v>0.018</v>
      </c>
      <c r="M8" s="29">
        <f>'[4]WH-elec'!$C$178</f>
        <v>0.020999999999999998</v>
      </c>
      <c r="N8" s="29">
        <f>'[4]WH-elec'!$C$179</f>
        <v>0.023999999999999997</v>
      </c>
      <c r="O8" s="29">
        <f>'[4]WH-elec'!$C$180</f>
        <v>0.026999999999999996</v>
      </c>
      <c r="P8" s="29">
        <f>'[4]WH-elec'!$C$181</f>
        <v>0.03</v>
      </c>
      <c r="Q8" s="29">
        <f>'[4]WH-elec'!$C$182</f>
        <v>0.033</v>
      </c>
      <c r="R8" s="29">
        <f>'[4]WH-elec'!$C$183</f>
        <v>0.036000000000000004</v>
      </c>
      <c r="S8" s="29">
        <f>'[4]WH-elec'!$C$184</f>
        <v>0.03900000000000001</v>
      </c>
      <c r="T8" s="29">
        <f>'[4]WH-elec'!$C$185</f>
        <v>0.04200000000000001</v>
      </c>
      <c r="U8" s="29">
        <f>'[4]WH-elec'!$C$186</f>
        <v>0.04500000000000001</v>
      </c>
      <c r="V8" s="29">
        <f>'[4]WH-elec'!$C$187</f>
        <v>0.048000000000000015</v>
      </c>
      <c r="W8" s="29">
        <f>'[4]WH-elec'!$C$188</f>
        <v>0.05100000000000002</v>
      </c>
      <c r="X8" s="29">
        <f>'[4]WH-elec'!$C$189</f>
        <v>0.05400000000000002</v>
      </c>
      <c r="Y8" s="29">
        <f>'[4]WH-elec'!$C$190</f>
        <v>0.05700000000000002</v>
      </c>
      <c r="Z8" s="30">
        <f>'[4]WH-elec'!$C$191</f>
        <v>0.06</v>
      </c>
      <c r="AA8" s="31">
        <f>'[4]WH-elec'!$C$269</f>
        <v>0.01064516129032258</v>
      </c>
      <c r="AB8" s="32">
        <f>'[4]WH-elec'!$C$279</f>
        <v>0.0374516129032258</v>
      </c>
    </row>
    <row r="9" spans="1:28" ht="12.75">
      <c r="A9" s="23"/>
      <c r="B9" s="23"/>
      <c r="C9" s="23" t="s">
        <v>238</v>
      </c>
      <c r="D9" s="23" t="s">
        <v>173</v>
      </c>
      <c r="E9" s="24">
        <f>'[4]WH-elec'!$D$325</f>
        <v>0.31599999999999995</v>
      </c>
      <c r="F9" s="24">
        <f>'[4]WH-elec'!$D$171</f>
        <v>0.00544240264255911</v>
      </c>
      <c r="G9" s="33">
        <f>'[4]WH-elec'!$D$172</f>
        <v>0.006683553042500557</v>
      </c>
      <c r="H9" s="33">
        <f>'[4]WH-elec'!$D$173</f>
        <v>0.007728920726613208</v>
      </c>
      <c r="I9" s="33">
        <f>'[4]WH-elec'!$D$174</f>
        <v>0.008213243457906215</v>
      </c>
      <c r="J9" s="33">
        <f>'[4]WH-elec'!$D$175</f>
        <v>0.008418400800781432</v>
      </c>
      <c r="K9" s="33">
        <f>'[4]WH-elec'!$D$176</f>
        <v>0.007799522221895777</v>
      </c>
      <c r="L9" s="33">
        <f>'[4]WH-elec'!$D$177</f>
        <v>0.0073880414390393966</v>
      </c>
      <c r="M9" s="33">
        <f>'[4]WH-elec'!$D$178</f>
        <v>0.007037277137406318</v>
      </c>
      <c r="N9" s="33">
        <f>'[4]WH-elec'!$D$179</f>
        <v>0.006644312173849823</v>
      </c>
      <c r="O9" s="33">
        <f>'[4]WH-elec'!$D$180</f>
        <v>0.00634551053476889</v>
      </c>
      <c r="P9" s="33">
        <f>'[4]WH-elec'!$D$181</f>
        <v>0.0056429982731378</v>
      </c>
      <c r="Q9" s="33">
        <f>'[4]WH-elec'!$D$182</f>
        <v>0.005894276571873568</v>
      </c>
      <c r="R9" s="33">
        <f>'[4]WH-elec'!$D$183</f>
        <v>0.006204846104687661</v>
      </c>
      <c r="S9" s="33">
        <f>'[4]WH-elec'!$D$184</f>
        <v>0.006139232350022169</v>
      </c>
      <c r="T9" s="33">
        <f>'[4]WH-elec'!$D$185</f>
        <v>0.005986868755769814</v>
      </c>
      <c r="U9" s="33">
        <f>'[4]WH-elec'!$D$186</f>
        <v>0.0058172890320021715</v>
      </c>
      <c r="V9" s="33">
        <f>'[4]WH-elec'!$D$187</f>
        <v>0.0056013643519611835</v>
      </c>
      <c r="W9" s="33">
        <f>'[4]WH-elec'!$D$188</f>
        <v>0.005089454378113334</v>
      </c>
      <c r="X9" s="33">
        <f>'[4]WH-elec'!$D$189</f>
        <v>0.004208303826424713</v>
      </c>
      <c r="Y9" s="33">
        <f>'[4]WH-elec'!$D$190</f>
        <v>0.0034971516970506798</v>
      </c>
      <c r="Z9" s="34">
        <f>'[4]WH-elec'!$D$191</f>
        <v>0.002875330280818846</v>
      </c>
      <c r="AA9" s="35">
        <f>'[4]WH-elec'!$D$269</f>
        <v>0.07865776823744601</v>
      </c>
      <c r="AB9" s="36">
        <f>'[4]WH-elec'!$D$279</f>
        <v>0.10124731434317866</v>
      </c>
    </row>
    <row r="10" spans="1:28" ht="12.75">
      <c r="A10" s="23"/>
      <c r="B10" s="23" t="s">
        <v>255</v>
      </c>
      <c r="C10" s="37" t="s">
        <v>238</v>
      </c>
      <c r="D10" s="37" t="s">
        <v>174</v>
      </c>
      <c r="E10" s="38">
        <f>'[4]Ventilation'!$C$325</f>
        <v>0.5725</v>
      </c>
      <c r="F10" s="39">
        <f>'[4]Ventilation'!$C$171</f>
        <v>0.005176689847009735</v>
      </c>
      <c r="G10" s="39">
        <f>'[4]Ventilation'!$C$172</f>
        <v>0.006505684705398768</v>
      </c>
      <c r="H10" s="39">
        <f>'[4]Ventilation'!$C$173</f>
        <v>0.007611819714081093</v>
      </c>
      <c r="I10" s="39">
        <f>'[4]Ventilation'!$C$174</f>
        <v>0.008152944166798097</v>
      </c>
      <c r="J10" s="39">
        <f>'[4]Ventilation'!$C$175</f>
        <v>0.008390754253664926</v>
      </c>
      <c r="K10" s="39">
        <f>'[4]Ventilation'!$C$176</f>
        <v>0.007771990784011852</v>
      </c>
      <c r="L10" s="40">
        <f>'[4]Ventilation'!$C$177</f>
        <v>0.007311627610768286</v>
      </c>
      <c r="M10" s="40">
        <f>'[4]Ventilation'!$C$178</f>
        <v>0.006951880538052717</v>
      </c>
      <c r="N10" s="40">
        <f>'[4]Ventilation'!$C$179</f>
        <v>0.006523969033989814</v>
      </c>
      <c r="O10" s="40">
        <f>'[4]Ventilation'!$C$180</f>
        <v>0.0062313909080713254</v>
      </c>
      <c r="P10" s="40">
        <f>'[4]Ventilation'!$C$181</f>
        <v>0.005553609581626109</v>
      </c>
      <c r="Q10" s="40">
        <f>'[4]Ventilation'!$C$182</f>
        <v>0.005858311286496368</v>
      </c>
      <c r="R10" s="40">
        <f>'[4]Ventilation'!$C$183</f>
        <v>0.00618377890512508</v>
      </c>
      <c r="S10" s="40">
        <f>'[4]Ventilation'!$C$184</f>
        <v>0.006098365703800684</v>
      </c>
      <c r="T10" s="40">
        <f>'[4]Ventilation'!$C$185</f>
        <v>0.005980560442955467</v>
      </c>
      <c r="U10" s="40">
        <f>'[4]Ventilation'!$C$186</f>
        <v>0.00582214424935476</v>
      </c>
      <c r="V10" s="40">
        <f>'[4]Ventilation'!$C$187</f>
        <v>0.005594463812668104</v>
      </c>
      <c r="W10" s="40">
        <f>'[4]Ventilation'!$C$188</f>
        <v>0.005136317458150293</v>
      </c>
      <c r="X10" s="40">
        <f>'[4]Ventilation'!$C$189</f>
        <v>0.004267091982265865</v>
      </c>
      <c r="Y10" s="40">
        <f>'[4]Ventilation'!$C$190</f>
        <v>0.0035902396642977907</v>
      </c>
      <c r="Z10" s="36">
        <f>'[4]Ventilation'!$C$191</f>
        <v>0.0029656026588230962</v>
      </c>
      <c r="AA10" s="35">
        <f>'[4]Ventilation'!$C$269</f>
        <v>0.07720083202645736</v>
      </c>
      <c r="AB10" s="36">
        <f>'[4]Ventilation'!$C$279</f>
        <v>0.10015525913052184</v>
      </c>
    </row>
    <row r="11" spans="1:28" ht="12.75">
      <c r="A11" s="23"/>
      <c r="B11" s="23" t="s">
        <v>175</v>
      </c>
      <c r="C11" s="9"/>
      <c r="D11" s="23"/>
      <c r="E11" s="41" t="s">
        <v>155</v>
      </c>
      <c r="F11" s="33" t="s">
        <v>155</v>
      </c>
      <c r="G11" s="33" t="s">
        <v>155</v>
      </c>
      <c r="H11" s="33" t="s">
        <v>155</v>
      </c>
      <c r="I11" s="33" t="s">
        <v>155</v>
      </c>
      <c r="J11" s="33" t="s">
        <v>155</v>
      </c>
      <c r="K11" s="33" t="s">
        <v>155</v>
      </c>
      <c r="L11" s="40" t="s">
        <v>155</v>
      </c>
      <c r="M11" s="40" t="s">
        <v>155</v>
      </c>
      <c r="N11" s="40" t="s">
        <v>155</v>
      </c>
      <c r="O11" s="40" t="s">
        <v>155</v>
      </c>
      <c r="P11" s="40" t="s">
        <v>155</v>
      </c>
      <c r="Q11" s="40" t="s">
        <v>155</v>
      </c>
      <c r="R11" s="40" t="s">
        <v>155</v>
      </c>
      <c r="S11" s="40" t="s">
        <v>155</v>
      </c>
      <c r="T11" s="40" t="s">
        <v>155</v>
      </c>
      <c r="U11" s="40" t="s">
        <v>155</v>
      </c>
      <c r="V11" s="40" t="s">
        <v>155</v>
      </c>
      <c r="W11" s="40" t="s">
        <v>155</v>
      </c>
      <c r="X11" s="40" t="s">
        <v>155</v>
      </c>
      <c r="Y11" s="40" t="s">
        <v>155</v>
      </c>
      <c r="Z11" s="36" t="s">
        <v>155</v>
      </c>
      <c r="AA11" s="35" t="s">
        <v>155</v>
      </c>
      <c r="AB11" s="36" t="s">
        <v>155</v>
      </c>
    </row>
    <row r="12" spans="1:28" ht="12.75">
      <c r="A12" s="42"/>
      <c r="B12" s="42" t="s">
        <v>176</v>
      </c>
      <c r="C12" s="42" t="s">
        <v>238</v>
      </c>
      <c r="D12" s="42" t="s">
        <v>177</v>
      </c>
      <c r="E12" s="43">
        <f>'[4]Lighting'!$C$325</f>
        <v>0.2839344262295082</v>
      </c>
      <c r="F12" s="44">
        <f>'[4]Lighting'!$C$171</f>
        <v>0.009638386648122391</v>
      </c>
      <c r="G12" s="44">
        <f>'[4]Lighting'!$C$172</f>
        <v>0.01170873650566599</v>
      </c>
      <c r="H12" s="44">
        <f>'[4]Lighting'!$C$173</f>
        <v>0.012482104392583352</v>
      </c>
      <c r="I12" s="44">
        <f>'[4]Lighting'!$C$174</f>
        <v>0.01261976119489825</v>
      </c>
      <c r="J12" s="44">
        <f>'[4]Lighting'!$C$175</f>
        <v>0</v>
      </c>
      <c r="K12" s="44">
        <f>'[4]Lighting'!$C$176</f>
        <v>0</v>
      </c>
      <c r="L12" s="45">
        <f>'[4]Lighting'!$C$177</f>
        <v>0</v>
      </c>
      <c r="M12" s="45">
        <f>'[4]Lighting'!$C$178</f>
        <v>0</v>
      </c>
      <c r="N12" s="45">
        <f>'[4]Lighting'!$C$179</f>
        <v>0</v>
      </c>
      <c r="O12" s="45">
        <f>'[4]Lighting'!$C$180</f>
        <v>0</v>
      </c>
      <c r="P12" s="45">
        <f>'[4]Lighting'!$C$181</f>
        <v>0</v>
      </c>
      <c r="Q12" s="45">
        <f>'[4]Lighting'!$C$182</f>
        <v>0</v>
      </c>
      <c r="R12" s="45">
        <f>'[4]Lighting'!$C$183</f>
        <v>0</v>
      </c>
      <c r="S12" s="45">
        <f>'[4]Lighting'!$C$184</f>
        <v>0</v>
      </c>
      <c r="T12" s="45">
        <f>'[4]Lighting'!$C$185</f>
        <v>0</v>
      </c>
      <c r="U12" s="45">
        <f>'[4]Lighting'!$C$186</f>
        <v>0</v>
      </c>
      <c r="V12" s="45">
        <f>'[4]Lighting'!$C$187</f>
        <v>0</v>
      </c>
      <c r="W12" s="45">
        <f>'[4]Lighting'!$C$188</f>
        <v>0</v>
      </c>
      <c r="X12" s="45">
        <f>'[4]Lighting'!$C$189</f>
        <v>0</v>
      </c>
      <c r="Y12" s="45">
        <f>'[4]Lighting'!$C$190</f>
        <v>0</v>
      </c>
      <c r="Z12" s="46">
        <f>'[4]Lighting'!$C$191</f>
        <v>0</v>
      </c>
      <c r="AA12" s="47">
        <f>'[4]Lighting'!$C$269</f>
        <v>0.05838349258020444</v>
      </c>
      <c r="AB12" s="46">
        <f>'[4]Lighting'!$C$279</f>
        <v>0</v>
      </c>
    </row>
    <row r="13" spans="1:28" ht="12.75">
      <c r="A13" s="22"/>
      <c r="B13" s="22"/>
      <c r="C13" s="22" t="s">
        <v>238</v>
      </c>
      <c r="D13" s="22" t="s">
        <v>178</v>
      </c>
      <c r="E13" s="48">
        <f>'[4]Lighting'!$D$325</f>
        <v>0.24333333333333332</v>
      </c>
      <c r="F13" s="29">
        <f>'[4]Lighting'!$D$171</f>
        <v>0</v>
      </c>
      <c r="G13" s="29">
        <f>'[4]Lighting'!$D$172</f>
        <v>0</v>
      </c>
      <c r="H13" s="29">
        <f>'[4]Lighting'!$D$173</f>
        <v>0</v>
      </c>
      <c r="I13" s="29">
        <f>'[4]Lighting'!$D$174</f>
        <v>0</v>
      </c>
      <c r="J13" s="29">
        <f>'[4]Lighting'!$D$175</f>
        <v>0.01271142382785407</v>
      </c>
      <c r="K13" s="29">
        <f>'[4]Lighting'!$D$176</f>
        <v>0.012575427889363316</v>
      </c>
      <c r="L13" s="49">
        <f>'[4]Lighting'!$D$177</f>
        <v>0.012137949408176623</v>
      </c>
      <c r="M13" s="49">
        <f>'[4]Lighting'!$D$178</f>
        <v>0.012334911422818041</v>
      </c>
      <c r="N13" s="49">
        <f>'[4]Lighting'!$D$179</f>
        <v>0.012606250363415995</v>
      </c>
      <c r="O13" s="49">
        <f>'[4]Lighting'!$D$180</f>
        <v>0.012748101933089829</v>
      </c>
      <c r="P13" s="49">
        <f>'[4]Lighting'!$D$181</f>
        <v>0.012046589323554192</v>
      </c>
      <c r="Q13" s="49">
        <f>'[4]Lighting'!$D$182</f>
        <v>0.012118460541308643</v>
      </c>
      <c r="R13" s="49">
        <f>'[4]Lighting'!$D$183</f>
        <v>0.012545725562735558</v>
      </c>
      <c r="S13" s="49">
        <f>'[4]Lighting'!$D$184</f>
        <v>0.01221847831879872</v>
      </c>
      <c r="T13" s="49">
        <f>'[4]Lighting'!$D$185</f>
        <v>0.011926659451693298</v>
      </c>
      <c r="U13" s="49">
        <f>'[4]Lighting'!$D$186</f>
        <v>0.012155397704931762</v>
      </c>
      <c r="V13" s="49">
        <f>'[4]Lighting'!$D$187</f>
        <v>0.01125142301907407</v>
      </c>
      <c r="W13" s="49">
        <f>'[4]Lighting'!$D$188</f>
        <v>0.010403982740089966</v>
      </c>
      <c r="X13" s="49">
        <f>'[4]Lighting'!$D$189</f>
        <v>0.009159749027870165</v>
      </c>
      <c r="Y13" s="49">
        <f>'[4]Lighting'!$D$190</f>
        <v>0.007952230831663982</v>
      </c>
      <c r="Z13" s="32">
        <f>'[4]Lighting'!$D$191</f>
        <v>0.006824627503788514</v>
      </c>
      <c r="AA13" s="31">
        <f>'[4]Lighting'!$D$269</f>
        <v>0.07780385274234822</v>
      </c>
      <c r="AB13" s="32">
        <f>'[4]Lighting'!$D$279</f>
        <v>0.20370839384608644</v>
      </c>
    </row>
    <row r="14" spans="1:28" ht="12.75">
      <c r="A14" s="23"/>
      <c r="B14" s="23"/>
      <c r="C14" s="23" t="s">
        <v>179</v>
      </c>
      <c r="D14" s="23" t="s">
        <v>180</v>
      </c>
      <c r="E14" s="25">
        <f>'[4]Lighting'!$E$325</f>
        <v>0.08720858517330704</v>
      </c>
      <c r="F14" s="33">
        <f>'[4]Lighting'!$E$171</f>
        <v>0</v>
      </c>
      <c r="G14" s="33">
        <f>'[4]Lighting'!$E$172</f>
        <v>0</v>
      </c>
      <c r="H14" s="33">
        <f>'[4]Lighting'!$E$173</f>
        <v>0</v>
      </c>
      <c r="I14" s="33">
        <f>'[4]Lighting'!$E$174</f>
        <v>0</v>
      </c>
      <c r="J14" s="33">
        <f>'[4]Lighting'!$E$175</f>
        <v>1</v>
      </c>
      <c r="K14" s="33">
        <f>'[4]Lighting'!$E$176</f>
        <v>1</v>
      </c>
      <c r="L14" s="40">
        <f>'[4]Lighting'!$E$177</f>
        <v>1</v>
      </c>
      <c r="M14" s="40">
        <f>'[4]Lighting'!$E$178</f>
        <v>1</v>
      </c>
      <c r="N14" s="40">
        <f>'[4]Lighting'!$E$179</f>
        <v>1</v>
      </c>
      <c r="O14" s="40">
        <f>'[4]Lighting'!$E$180</f>
        <v>1</v>
      </c>
      <c r="P14" s="40">
        <f>'[4]Lighting'!$E$181</f>
        <v>1</v>
      </c>
      <c r="Q14" s="40">
        <f>'[4]Lighting'!$E$182</f>
        <v>1</v>
      </c>
      <c r="R14" s="40">
        <f>'[4]Lighting'!$E$183</f>
        <v>1</v>
      </c>
      <c r="S14" s="40">
        <f>'[4]Lighting'!$E$184</f>
        <v>1</v>
      </c>
      <c r="T14" s="40">
        <f>'[4]Lighting'!$E$185</f>
        <v>1</v>
      </c>
      <c r="U14" s="40">
        <f>'[4]Lighting'!$E$186</f>
        <v>1</v>
      </c>
      <c r="V14" s="40">
        <f>'[4]Lighting'!$E$187</f>
        <v>1</v>
      </c>
      <c r="W14" s="40">
        <f>'[4]Lighting'!$E$188</f>
        <v>1</v>
      </c>
      <c r="X14" s="40">
        <f>'[4]Lighting'!$E$189</f>
        <v>1</v>
      </c>
      <c r="Y14" s="40">
        <f>'[4]Lighting'!$E$190</f>
        <v>1</v>
      </c>
      <c r="Z14" s="36">
        <f>'[4]Lighting'!$E$191</f>
        <v>1</v>
      </c>
      <c r="AA14" s="35">
        <f>'[4]Lighting'!$E$269</f>
        <v>0.5384615384615385</v>
      </c>
      <c r="AB14" s="36">
        <f>'[4]Lighting'!$E$279</f>
        <v>1.0000000000000002</v>
      </c>
    </row>
    <row r="15" spans="1:28" ht="12.75">
      <c r="A15" s="42"/>
      <c r="B15" s="42" t="s">
        <v>181</v>
      </c>
      <c r="C15" s="42" t="s">
        <v>182</v>
      </c>
      <c r="D15" s="42" t="s">
        <v>183</v>
      </c>
      <c r="E15" s="43">
        <f>'[4]Refrigeration'!$C$325</f>
        <v>0.55</v>
      </c>
      <c r="F15" s="44">
        <f>'[4]Refrigeration'!$C$171</f>
        <v>0</v>
      </c>
      <c r="G15" s="44">
        <f>'[4]Refrigeration'!$C$172</f>
        <v>0</v>
      </c>
      <c r="H15" s="44">
        <f>'[4]Refrigeration'!$C$173</f>
        <v>0</v>
      </c>
      <c r="I15" s="44">
        <f>'[4]Refrigeration'!$C$174</f>
        <v>0.05</v>
      </c>
      <c r="J15" s="44">
        <f>'[4]Refrigeration'!$C$175</f>
        <v>0.07857142857142857</v>
      </c>
      <c r="K15" s="44">
        <f>'[4]Refrigeration'!$C$176</f>
        <v>0.10714285714285715</v>
      </c>
      <c r="L15" s="45">
        <f>'[4]Refrigeration'!$C$177</f>
        <v>0.13571428571428573</v>
      </c>
      <c r="M15" s="45">
        <f>'[4]Refrigeration'!$C$178</f>
        <v>0.1642857142857143</v>
      </c>
      <c r="N15" s="45">
        <f>'[4]Refrigeration'!$C$179</f>
        <v>0.1928571428571429</v>
      </c>
      <c r="O15" s="45">
        <f>'[4]Refrigeration'!$C$180</f>
        <v>0.22142857142857147</v>
      </c>
      <c r="P15" s="45">
        <f>'[4]Refrigeration'!$C$181</f>
        <v>0.25</v>
      </c>
      <c r="Q15" s="45">
        <f>'[4]Refrigeration'!$C$182</f>
        <v>0.255</v>
      </c>
      <c r="R15" s="45">
        <f>'[4]Refrigeration'!$C$183</f>
        <v>0.26</v>
      </c>
      <c r="S15" s="45">
        <f>'[4]Refrigeration'!$C$184</f>
        <v>0.265</v>
      </c>
      <c r="T15" s="45">
        <f>'[4]Refrigeration'!$C$185</f>
        <v>0.27</v>
      </c>
      <c r="U15" s="45">
        <f>'[4]Refrigeration'!$C$186</f>
        <v>0.275</v>
      </c>
      <c r="V15" s="45">
        <f>'[4]Refrigeration'!$C$187</f>
        <v>0.28</v>
      </c>
      <c r="W15" s="45">
        <f>'[4]Refrigeration'!$C$188</f>
        <v>0.28500000000000003</v>
      </c>
      <c r="X15" s="45">
        <f>'[4]Refrigeration'!$C$189</f>
        <v>0.29000000000000004</v>
      </c>
      <c r="Y15" s="45">
        <f>'[4]Refrigeration'!$C$190</f>
        <v>0.29500000000000004</v>
      </c>
      <c r="Z15" s="46">
        <f>'[4]Refrigeration'!$C$191</f>
        <v>0.3</v>
      </c>
      <c r="AA15" s="47">
        <f>'[4]Refrigeration'!$C$269</f>
        <v>0.0030653599587355403</v>
      </c>
      <c r="AB15" s="46">
        <f>'[4]Refrigeration'!$C$279</f>
        <v>0.010027193841209026</v>
      </c>
    </row>
    <row r="16" spans="1:28" ht="12.75">
      <c r="A16" s="22"/>
      <c r="B16" s="22"/>
      <c r="C16" s="22" t="s">
        <v>184</v>
      </c>
      <c r="D16" s="22" t="s">
        <v>185</v>
      </c>
      <c r="E16" s="28">
        <f>'[4]Refrigeration'!$D$325</f>
        <v>0.32000000000000006</v>
      </c>
      <c r="F16" s="29">
        <f>'[4]Refrigeration'!$D$171</f>
        <v>0</v>
      </c>
      <c r="G16" s="29">
        <f>'[4]Refrigeration'!$D$172</f>
        <v>0</v>
      </c>
      <c r="H16" s="29">
        <f>'[4]Refrigeration'!$D$173</f>
        <v>0</v>
      </c>
      <c r="I16" s="29">
        <f>'[4]Refrigeration'!$D$174</f>
        <v>0.05</v>
      </c>
      <c r="J16" s="29">
        <f>'[4]Refrigeration'!$D$175</f>
        <v>0.07857142857142857</v>
      </c>
      <c r="K16" s="29">
        <f>'[4]Refrigeration'!$D$176</f>
        <v>0.10714285714285715</v>
      </c>
      <c r="L16" s="49">
        <f>'[4]Refrigeration'!$D$177</f>
        <v>0.13571428571428573</v>
      </c>
      <c r="M16" s="49">
        <f>'[4]Refrigeration'!$D$178</f>
        <v>0.1642857142857143</v>
      </c>
      <c r="N16" s="49">
        <f>'[4]Refrigeration'!$D$179</f>
        <v>0.1928571428571429</v>
      </c>
      <c r="O16" s="49">
        <f>'[4]Refrigeration'!$D$180</f>
        <v>0.22142857142857147</v>
      </c>
      <c r="P16" s="49">
        <f>'[4]Refrigeration'!$D$181</f>
        <v>0.25</v>
      </c>
      <c r="Q16" s="49">
        <f>'[4]Refrigeration'!$D$182</f>
        <v>0.255</v>
      </c>
      <c r="R16" s="49">
        <f>'[4]Refrigeration'!$D$183</f>
        <v>0.26</v>
      </c>
      <c r="S16" s="49">
        <f>'[4]Refrigeration'!$D$184</f>
        <v>0.265</v>
      </c>
      <c r="T16" s="49">
        <f>'[4]Refrigeration'!$D$185</f>
        <v>0.27</v>
      </c>
      <c r="U16" s="49">
        <f>'[4]Refrigeration'!$D$186</f>
        <v>0.275</v>
      </c>
      <c r="V16" s="49">
        <f>'[4]Refrigeration'!$D$187</f>
        <v>0.28</v>
      </c>
      <c r="W16" s="49">
        <f>'[4]Refrigeration'!$D$188</f>
        <v>0.28500000000000003</v>
      </c>
      <c r="X16" s="49">
        <f>'[4]Refrigeration'!$D$189</f>
        <v>0.29000000000000004</v>
      </c>
      <c r="Y16" s="49">
        <f>'[4]Refrigeration'!$D$190</f>
        <v>0.29500000000000004</v>
      </c>
      <c r="Z16" s="32">
        <f>'[4]Refrigeration'!$D$191</f>
        <v>0.3</v>
      </c>
      <c r="AA16" s="31">
        <f>'[4]Refrigeration'!$D$269</f>
        <v>0.007899196816741583</v>
      </c>
      <c r="AB16" s="32">
        <f>'[4]Refrigeration'!$D$279</f>
        <v>0.02583930720619249</v>
      </c>
    </row>
    <row r="17" spans="1:28" ht="12.75">
      <c r="A17" s="23"/>
      <c r="B17" s="23"/>
      <c r="C17" s="23" t="s">
        <v>186</v>
      </c>
      <c r="D17" s="23" t="s">
        <v>187</v>
      </c>
      <c r="E17" s="24">
        <f>'[4]Refrigeration'!$E$325</f>
        <v>0.17999999999999994</v>
      </c>
      <c r="F17" s="33">
        <f>'[4]Refrigeration'!$E$171</f>
        <v>0</v>
      </c>
      <c r="G17" s="33">
        <f>'[4]Refrigeration'!$E$172</f>
        <v>0</v>
      </c>
      <c r="H17" s="33">
        <f>'[4]Refrigeration'!$E$173</f>
        <v>0</v>
      </c>
      <c r="I17" s="33">
        <f>'[4]Refrigeration'!$E$174</f>
        <v>0.05</v>
      </c>
      <c r="J17" s="33">
        <f>'[4]Refrigeration'!$E$175</f>
        <v>0.07857142857142857</v>
      </c>
      <c r="K17" s="33">
        <f>'[4]Refrigeration'!$E$176</f>
        <v>0.10714285714285715</v>
      </c>
      <c r="L17" s="40">
        <f>'[4]Refrigeration'!$E$177</f>
        <v>0.13571428571428573</v>
      </c>
      <c r="M17" s="40">
        <f>'[4]Refrigeration'!$E$178</f>
        <v>0.1642857142857143</v>
      </c>
      <c r="N17" s="40">
        <f>'[4]Refrigeration'!$E$179</f>
        <v>0.1928571428571429</v>
      </c>
      <c r="O17" s="40">
        <f>'[4]Refrigeration'!$E$180</f>
        <v>0.22142857142857147</v>
      </c>
      <c r="P17" s="40">
        <f>'[4]Refrigeration'!$E$181</f>
        <v>0.25</v>
      </c>
      <c r="Q17" s="40">
        <f>'[4]Refrigeration'!$E$182</f>
        <v>0.255</v>
      </c>
      <c r="R17" s="40">
        <f>'[4]Refrigeration'!$E$183</f>
        <v>0.26</v>
      </c>
      <c r="S17" s="40">
        <f>'[4]Refrigeration'!$E$184</f>
        <v>0.265</v>
      </c>
      <c r="T17" s="40">
        <f>'[4]Refrigeration'!$E$185</f>
        <v>0.27</v>
      </c>
      <c r="U17" s="40">
        <f>'[4]Refrigeration'!$E$186</f>
        <v>0.275</v>
      </c>
      <c r="V17" s="40">
        <f>'[4]Refrigeration'!$E$187</f>
        <v>0.28</v>
      </c>
      <c r="W17" s="40">
        <f>'[4]Refrigeration'!$E$188</f>
        <v>0.28500000000000003</v>
      </c>
      <c r="X17" s="40">
        <f>'[4]Refrigeration'!$E$189</f>
        <v>0.29000000000000004</v>
      </c>
      <c r="Y17" s="40">
        <f>'[4]Refrigeration'!$E$190</f>
        <v>0.29500000000000004</v>
      </c>
      <c r="Z17" s="36">
        <f>'[4]Refrigeration'!$E$191</f>
        <v>0.3</v>
      </c>
      <c r="AA17" s="35">
        <f>'[4]Refrigeration'!$E$269</f>
        <v>0.006012821457519714</v>
      </c>
      <c r="AB17" s="36">
        <f>'[4]Refrigeration'!$E$279</f>
        <v>0.01966872638083309</v>
      </c>
    </row>
    <row r="18" spans="1:28" ht="12.75">
      <c r="A18" s="23"/>
      <c r="B18" s="23" t="s">
        <v>188</v>
      </c>
      <c r="C18" s="23"/>
      <c r="D18" s="23"/>
      <c r="E18" s="24" t="s">
        <v>155</v>
      </c>
      <c r="F18" s="33" t="s">
        <v>155</v>
      </c>
      <c r="G18" s="33" t="s">
        <v>155</v>
      </c>
      <c r="H18" s="33" t="s">
        <v>155</v>
      </c>
      <c r="I18" s="33" t="s">
        <v>155</v>
      </c>
      <c r="J18" s="33" t="s">
        <v>155</v>
      </c>
      <c r="K18" s="33" t="s">
        <v>155</v>
      </c>
      <c r="L18" s="40" t="s">
        <v>155</v>
      </c>
      <c r="M18" s="40" t="s">
        <v>155</v>
      </c>
      <c r="N18" s="40" t="s">
        <v>155</v>
      </c>
      <c r="O18" s="40" t="s">
        <v>155</v>
      </c>
      <c r="P18" s="40" t="s">
        <v>155</v>
      </c>
      <c r="Q18" s="40" t="s">
        <v>155</v>
      </c>
      <c r="R18" s="40" t="s">
        <v>155</v>
      </c>
      <c r="S18" s="40" t="s">
        <v>155</v>
      </c>
      <c r="T18" s="40" t="s">
        <v>155</v>
      </c>
      <c r="U18" s="40" t="s">
        <v>155</v>
      </c>
      <c r="V18" s="40" t="s">
        <v>155</v>
      </c>
      <c r="W18" s="40" t="s">
        <v>155</v>
      </c>
      <c r="X18" s="40" t="s">
        <v>155</v>
      </c>
      <c r="Y18" s="40" t="s">
        <v>155</v>
      </c>
      <c r="Z18" s="36" t="s">
        <v>155</v>
      </c>
      <c r="AA18" s="35" t="s">
        <v>155</v>
      </c>
      <c r="AB18" s="36" t="s">
        <v>155</v>
      </c>
    </row>
    <row r="19" spans="1:28" ht="12.75">
      <c r="A19" s="9"/>
      <c r="B19" s="9" t="s">
        <v>189</v>
      </c>
      <c r="C19" s="9"/>
      <c r="D19" s="9"/>
      <c r="E19" s="50" t="s">
        <v>155</v>
      </c>
      <c r="F19" s="51" t="s">
        <v>155</v>
      </c>
      <c r="G19" s="51" t="s">
        <v>155</v>
      </c>
      <c r="H19" s="51" t="s">
        <v>155</v>
      </c>
      <c r="I19" s="51" t="s">
        <v>155</v>
      </c>
      <c r="J19" s="51" t="s">
        <v>155</v>
      </c>
      <c r="K19" s="51" t="s">
        <v>155</v>
      </c>
      <c r="L19" s="52" t="s">
        <v>155</v>
      </c>
      <c r="M19" s="52" t="s">
        <v>155</v>
      </c>
      <c r="N19" s="52" t="s">
        <v>155</v>
      </c>
      <c r="O19" s="52" t="s">
        <v>155</v>
      </c>
      <c r="P19" s="52" t="s">
        <v>155</v>
      </c>
      <c r="Q19" s="52" t="s">
        <v>155</v>
      </c>
      <c r="R19" s="52" t="s">
        <v>155</v>
      </c>
      <c r="S19" s="52" t="s">
        <v>155</v>
      </c>
      <c r="T19" s="52" t="s">
        <v>155</v>
      </c>
      <c r="U19" s="52" t="s">
        <v>155</v>
      </c>
      <c r="V19" s="52" t="s">
        <v>155</v>
      </c>
      <c r="W19" s="52" t="s">
        <v>155</v>
      </c>
      <c r="X19" s="52" t="s">
        <v>155</v>
      </c>
      <c r="Y19" s="52" t="s">
        <v>155</v>
      </c>
      <c r="Z19" s="54" t="s">
        <v>155</v>
      </c>
      <c r="AA19" s="55" t="s">
        <v>155</v>
      </c>
      <c r="AB19" s="54" t="s">
        <v>155</v>
      </c>
    </row>
    <row r="20" spans="2:28" ht="12.75">
      <c r="B20" s="22" t="s">
        <v>190</v>
      </c>
      <c r="E20" s="17"/>
      <c r="F20" s="56"/>
      <c r="G20" s="56"/>
      <c r="H20" s="56"/>
      <c r="I20" s="56"/>
      <c r="J20" s="56"/>
      <c r="K20" s="56"/>
      <c r="L20" s="57"/>
      <c r="M20" s="57"/>
      <c r="N20" s="57"/>
      <c r="O20" s="57"/>
      <c r="P20" s="57"/>
      <c r="Q20" s="57"/>
      <c r="R20" s="57"/>
      <c r="S20" s="57"/>
      <c r="T20" s="57"/>
      <c r="U20" s="57"/>
      <c r="V20" s="57"/>
      <c r="W20" s="57"/>
      <c r="X20" s="57"/>
      <c r="Y20" s="57"/>
      <c r="Z20" s="32"/>
      <c r="AA20" s="31"/>
      <c r="AB20" s="32"/>
    </row>
    <row r="21" spans="2:28" ht="12.75">
      <c r="B21" s="58" t="s">
        <v>191</v>
      </c>
      <c r="C21" t="s">
        <v>192</v>
      </c>
      <c r="D21" t="s">
        <v>193</v>
      </c>
      <c r="E21" s="59">
        <f>'[4]Misc-elec'!$C$325</f>
        <v>0.9257142857142857</v>
      </c>
      <c r="F21" s="56">
        <f>'[4]Misc-elec'!$C$171</f>
        <v>0.05</v>
      </c>
      <c r="G21" s="56">
        <f>'[4]Misc-elec'!$C$172</f>
        <v>0.105</v>
      </c>
      <c r="H21" s="56">
        <f>'[4]Misc-elec'!$C$173</f>
        <v>0.15999999999999998</v>
      </c>
      <c r="I21" s="56">
        <f>'[4]Misc-elec'!$C$174</f>
        <v>0.21499999999999997</v>
      </c>
      <c r="J21" s="56">
        <f>'[4]Misc-elec'!$C$175</f>
        <v>0.26999999999999996</v>
      </c>
      <c r="K21" s="56">
        <f>'[4]Misc-elec'!$C$176</f>
        <v>0.32499999999999996</v>
      </c>
      <c r="L21" s="57">
        <f>'[4]Misc-elec'!$C$177</f>
        <v>0.37999999999999995</v>
      </c>
      <c r="M21" s="57">
        <f>'[4]Misc-elec'!$C$178</f>
        <v>0.43499999999999994</v>
      </c>
      <c r="N21" s="57">
        <f>'[4]Misc-elec'!$C$179</f>
        <v>0.48999999999999994</v>
      </c>
      <c r="O21" s="57">
        <f>'[4]Misc-elec'!$C$180</f>
        <v>0.5449999999999999</v>
      </c>
      <c r="P21" s="57">
        <f>'[4]Misc-elec'!$C$181</f>
        <v>0.6</v>
      </c>
      <c r="Q21" s="57">
        <f>'[4]Misc-elec'!$C$182</f>
        <v>0.62</v>
      </c>
      <c r="R21" s="57">
        <f>'[4]Misc-elec'!$C$183</f>
        <v>0.64</v>
      </c>
      <c r="S21" s="57">
        <f>'[4]Misc-elec'!$C$184</f>
        <v>0.66</v>
      </c>
      <c r="T21" s="57">
        <f>'[4]Misc-elec'!$C$185</f>
        <v>0.68</v>
      </c>
      <c r="U21" s="57">
        <f>'[4]Misc-elec'!$C$186</f>
        <v>0.7000000000000001</v>
      </c>
      <c r="V21" s="57">
        <f>'[4]Misc-elec'!$C$187</f>
        <v>0.7200000000000001</v>
      </c>
      <c r="W21" s="57">
        <f>'[4]Misc-elec'!$C$188</f>
        <v>0.7400000000000001</v>
      </c>
      <c r="X21" s="57">
        <f>'[4]Misc-elec'!$C$189</f>
        <v>0.7600000000000001</v>
      </c>
      <c r="Y21" s="57">
        <f>'[4]Misc-elec'!$C$190</f>
        <v>0.7800000000000001</v>
      </c>
      <c r="Z21" s="32">
        <f>'[4]Misc-elec'!$C$191</f>
        <v>0.8</v>
      </c>
      <c r="AA21" s="31">
        <f>'[4]Misc-elec'!$C$269</f>
        <v>0.037271733402473896</v>
      </c>
      <c r="AB21" s="32">
        <f>'[4]Misc-elec'!$C$279</f>
        <v>0.07874801474532189</v>
      </c>
    </row>
    <row r="22" spans="2:28" ht="12.75">
      <c r="B22" s="58"/>
      <c r="C22" t="s">
        <v>194</v>
      </c>
      <c r="D22" t="s">
        <v>195</v>
      </c>
      <c r="E22" s="59">
        <f>'[4]Misc-elec'!$D$325</f>
        <v>0.40590405904059057</v>
      </c>
      <c r="F22" s="56">
        <f>'[4]Misc-elec'!$D$171</f>
        <v>0.09</v>
      </c>
      <c r="G22" s="56">
        <f>'[4]Misc-elec'!$D$172</f>
        <v>0.121</v>
      </c>
      <c r="H22" s="56">
        <f>'[4]Misc-elec'!$D$173</f>
        <v>0.152</v>
      </c>
      <c r="I22" s="56">
        <f>'[4]Misc-elec'!$D$174</f>
        <v>0.183</v>
      </c>
      <c r="J22" s="56">
        <f>'[4]Misc-elec'!$D$175</f>
        <v>0.214</v>
      </c>
      <c r="K22" s="56">
        <f>'[4]Misc-elec'!$D$176</f>
        <v>0.245</v>
      </c>
      <c r="L22" s="57">
        <f>'[4]Misc-elec'!$D$177</f>
        <v>0.276</v>
      </c>
      <c r="M22" s="57">
        <f>'[4]Misc-elec'!$D$178</f>
        <v>0.30700000000000005</v>
      </c>
      <c r="N22" s="57">
        <f>'[4]Misc-elec'!$D$179</f>
        <v>0.3380000000000001</v>
      </c>
      <c r="O22" s="57">
        <f>'[4]Misc-elec'!$D$180</f>
        <v>0.3690000000000001</v>
      </c>
      <c r="P22" s="57">
        <f>'[4]Misc-elec'!$D$181</f>
        <v>0.4</v>
      </c>
      <c r="Q22" s="57">
        <f>'[4]Misc-elec'!$D$182</f>
        <v>0.41500000000000004</v>
      </c>
      <c r="R22" s="57">
        <f>'[4]Misc-elec'!$D$183</f>
        <v>0.43000000000000005</v>
      </c>
      <c r="S22" s="57">
        <f>'[4]Misc-elec'!$D$184</f>
        <v>0.44500000000000006</v>
      </c>
      <c r="T22" s="57">
        <f>'[4]Misc-elec'!$D$185</f>
        <v>0.4600000000000001</v>
      </c>
      <c r="U22" s="57">
        <f>'[4]Misc-elec'!$D$186</f>
        <v>0.4750000000000001</v>
      </c>
      <c r="V22" s="57">
        <f>'[4]Misc-elec'!$D$187</f>
        <v>0.4900000000000001</v>
      </c>
      <c r="W22" s="57">
        <f>'[4]Misc-elec'!$D$188</f>
        <v>0.5050000000000001</v>
      </c>
      <c r="X22" s="57">
        <f>'[4]Misc-elec'!$D$189</f>
        <v>0.5200000000000001</v>
      </c>
      <c r="Y22" s="57">
        <f>'[4]Misc-elec'!$D$190</f>
        <v>0.5350000000000001</v>
      </c>
      <c r="Z22" s="32">
        <f>'[4]Misc-elec'!$D$191</f>
        <v>0.55</v>
      </c>
      <c r="AA22" s="31">
        <f>'[4]Misc-elec'!$D$269</f>
        <v>0.021579021657825423</v>
      </c>
      <c r="AB22" s="32">
        <f>'[4]Misc-elec'!$D$279</f>
        <v>0.06021307713055554</v>
      </c>
    </row>
    <row r="23" spans="2:28" ht="12.75">
      <c r="B23" s="58"/>
      <c r="C23" t="s">
        <v>196</v>
      </c>
      <c r="D23" t="s">
        <v>197</v>
      </c>
      <c r="E23" s="59">
        <f>'[4]Misc-elec'!$E$325</f>
        <v>0.8936155052016531</v>
      </c>
      <c r="F23" s="56">
        <f>'[4]Misc-elec'!$E$171</f>
        <v>0</v>
      </c>
      <c r="G23" s="56">
        <f>'[4]Misc-elec'!$E$172</f>
        <v>0</v>
      </c>
      <c r="H23" s="56">
        <f>'[4]Misc-elec'!$E$173</f>
        <v>0</v>
      </c>
      <c r="I23" s="56">
        <f>'[4]Misc-elec'!$E$174</f>
        <v>0.1</v>
      </c>
      <c r="J23" s="56">
        <f>'[4]Misc-elec'!$E$175</f>
        <v>0.17142857142857143</v>
      </c>
      <c r="K23" s="56">
        <f>'[4]Misc-elec'!$E$176</f>
        <v>0.24285714285714285</v>
      </c>
      <c r="L23" s="57">
        <f>'[4]Misc-elec'!$E$177</f>
        <v>0.3142857142857143</v>
      </c>
      <c r="M23" s="57">
        <f>'[4]Misc-elec'!$E$178</f>
        <v>0.3857142857142857</v>
      </c>
      <c r="N23" s="57">
        <f>'[4]Misc-elec'!$E$179</f>
        <v>0.4571428571428571</v>
      </c>
      <c r="O23" s="57">
        <f>'[4]Misc-elec'!$E$180</f>
        <v>0.5285714285714285</v>
      </c>
      <c r="P23" s="57">
        <f>'[4]Misc-elec'!$E$181</f>
        <v>0.6</v>
      </c>
      <c r="Q23" s="57">
        <f>'[4]Misc-elec'!$E$182</f>
        <v>0.62</v>
      </c>
      <c r="R23" s="57">
        <f>'[4]Misc-elec'!$E$183</f>
        <v>0.64</v>
      </c>
      <c r="S23" s="57">
        <f>'[4]Misc-elec'!$E$184</f>
        <v>0.66</v>
      </c>
      <c r="T23" s="57">
        <f>'[4]Misc-elec'!$E$185</f>
        <v>0.68</v>
      </c>
      <c r="U23" s="57">
        <f>'[4]Misc-elec'!$E$186</f>
        <v>0.7000000000000001</v>
      </c>
      <c r="V23" s="57">
        <f>'[4]Misc-elec'!$E$187</f>
        <v>0.7200000000000001</v>
      </c>
      <c r="W23" s="57">
        <f>'[4]Misc-elec'!$E$188</f>
        <v>0.7400000000000001</v>
      </c>
      <c r="X23" s="57">
        <f>'[4]Misc-elec'!$E$189</f>
        <v>0.7600000000000001</v>
      </c>
      <c r="Y23" s="57">
        <f>'[4]Misc-elec'!$E$190</f>
        <v>0.7800000000000001</v>
      </c>
      <c r="Z23" s="32">
        <f>'[4]Misc-elec'!$E$191</f>
        <v>0.8</v>
      </c>
      <c r="AA23" s="31">
        <f>'[4]Misc-elec'!$E$269</f>
        <v>0.010419306711050617</v>
      </c>
      <c r="AB23" s="32">
        <f>'[4]Misc-elec'!$E$279</f>
        <v>0.027279252081106896</v>
      </c>
    </row>
    <row r="24" spans="2:28" ht="12.75">
      <c r="B24" s="58"/>
      <c r="C24" t="s">
        <v>198</v>
      </c>
      <c r="E24" s="59">
        <f>'[4]Misc-elec'!$F$325</f>
        <v>0.40590405904059057</v>
      </c>
      <c r="F24" s="56">
        <f>'[4]Misc-elec'!$F$171</f>
        <v>0</v>
      </c>
      <c r="G24" s="56">
        <f>'[4]Misc-elec'!$F$172</f>
        <v>0</v>
      </c>
      <c r="H24" s="56">
        <f>'[4]Misc-elec'!$F$173</f>
        <v>0</v>
      </c>
      <c r="I24" s="56">
        <f>'[4]Misc-elec'!$F$174</f>
        <v>0</v>
      </c>
      <c r="J24" s="56">
        <f>'[4]Misc-elec'!$F$175</f>
        <v>0</v>
      </c>
      <c r="K24" s="56">
        <f>'[4]Misc-elec'!$F$176</f>
        <v>0</v>
      </c>
      <c r="L24" s="57">
        <f>'[4]Misc-elec'!$F$177</f>
        <v>0</v>
      </c>
      <c r="M24" s="57">
        <f>'[4]Misc-elec'!$F$178</f>
        <v>0</v>
      </c>
      <c r="N24" s="57">
        <f>'[4]Misc-elec'!$F$179</f>
        <v>0</v>
      </c>
      <c r="O24" s="57">
        <f>'[4]Misc-elec'!$F$180</f>
        <v>0</v>
      </c>
      <c r="P24" s="57">
        <f>'[4]Misc-elec'!$F$181</f>
        <v>0</v>
      </c>
      <c r="Q24" s="57">
        <f>'[4]Misc-elec'!$F$182</f>
        <v>0</v>
      </c>
      <c r="R24" s="57">
        <f>'[4]Misc-elec'!$F$183</f>
        <v>0</v>
      </c>
      <c r="S24" s="57">
        <f>'[4]Misc-elec'!$F$184</f>
        <v>0</v>
      </c>
      <c r="T24" s="57">
        <f>'[4]Misc-elec'!$F$185</f>
        <v>0</v>
      </c>
      <c r="U24" s="57">
        <f>'[4]Misc-elec'!$F$186</f>
        <v>0</v>
      </c>
      <c r="V24" s="57">
        <f>'[4]Misc-elec'!$F$187</f>
        <v>0</v>
      </c>
      <c r="W24" s="57">
        <f>'[4]Misc-elec'!$F$188</f>
        <v>0</v>
      </c>
      <c r="X24" s="57">
        <f>'[4]Misc-elec'!$F$189</f>
        <v>0</v>
      </c>
      <c r="Y24" s="57">
        <f>'[4]Misc-elec'!$F$190</f>
        <v>0</v>
      </c>
      <c r="Z24" s="32">
        <f>'[4]Misc-elec'!$F$191</f>
        <v>0</v>
      </c>
      <c r="AA24" s="31">
        <f>'[4]Misc-elec'!$F$269</f>
        <v>0</v>
      </c>
      <c r="AB24" s="32">
        <f>'[4]Misc-elec'!$F$279</f>
        <v>0</v>
      </c>
    </row>
    <row r="25" spans="2:28" ht="12.75">
      <c r="B25" s="58" t="s">
        <v>199</v>
      </c>
      <c r="E25" s="59" t="s">
        <v>155</v>
      </c>
      <c r="F25" s="56" t="s">
        <v>155</v>
      </c>
      <c r="G25" s="56" t="s">
        <v>155</v>
      </c>
      <c r="H25" s="56" t="s">
        <v>155</v>
      </c>
      <c r="I25" s="56" t="s">
        <v>155</v>
      </c>
      <c r="J25" s="56" t="s">
        <v>155</v>
      </c>
      <c r="K25" s="56" t="s">
        <v>155</v>
      </c>
      <c r="L25" s="57" t="s">
        <v>155</v>
      </c>
      <c r="M25" s="57" t="s">
        <v>155</v>
      </c>
      <c r="N25" s="57" t="s">
        <v>155</v>
      </c>
      <c r="O25" s="57" t="s">
        <v>155</v>
      </c>
      <c r="P25" s="57" t="s">
        <v>155</v>
      </c>
      <c r="Q25" s="57" t="s">
        <v>155</v>
      </c>
      <c r="R25" s="57" t="s">
        <v>155</v>
      </c>
      <c r="S25" s="57" t="s">
        <v>155</v>
      </c>
      <c r="T25" s="57" t="s">
        <v>155</v>
      </c>
      <c r="U25" s="57" t="s">
        <v>155</v>
      </c>
      <c r="V25" s="57" t="s">
        <v>155</v>
      </c>
      <c r="W25" s="57" t="s">
        <v>155</v>
      </c>
      <c r="X25" s="57" t="s">
        <v>155</v>
      </c>
      <c r="Y25" s="57" t="s">
        <v>155</v>
      </c>
      <c r="Z25" s="32" t="s">
        <v>155</v>
      </c>
      <c r="AA25" s="31" t="s">
        <v>155</v>
      </c>
      <c r="AB25" s="32" t="s">
        <v>155</v>
      </c>
    </row>
    <row r="26" spans="1:28" ht="12.75">
      <c r="A26" s="23"/>
      <c r="B26" s="60" t="s">
        <v>200</v>
      </c>
      <c r="C26" s="23"/>
      <c r="D26" s="23"/>
      <c r="E26" s="24" t="s">
        <v>155</v>
      </c>
      <c r="F26" s="33" t="s">
        <v>155</v>
      </c>
      <c r="G26" s="33" t="s">
        <v>155</v>
      </c>
      <c r="H26" s="33" t="s">
        <v>155</v>
      </c>
      <c r="I26" s="33" t="s">
        <v>155</v>
      </c>
      <c r="J26" s="33" t="s">
        <v>155</v>
      </c>
      <c r="K26" s="33" t="s">
        <v>155</v>
      </c>
      <c r="L26" s="40" t="s">
        <v>155</v>
      </c>
      <c r="M26" s="40" t="s">
        <v>155</v>
      </c>
      <c r="N26" s="40" t="s">
        <v>155</v>
      </c>
      <c r="O26" s="40" t="s">
        <v>155</v>
      </c>
      <c r="P26" s="40" t="s">
        <v>155</v>
      </c>
      <c r="Q26" s="40" t="s">
        <v>155</v>
      </c>
      <c r="R26" s="40" t="s">
        <v>155</v>
      </c>
      <c r="S26" s="40" t="s">
        <v>155</v>
      </c>
      <c r="T26" s="40" t="s">
        <v>155</v>
      </c>
      <c r="U26" s="40" t="s">
        <v>155</v>
      </c>
      <c r="V26" s="40" t="s">
        <v>155</v>
      </c>
      <c r="W26" s="40" t="s">
        <v>155</v>
      </c>
      <c r="X26" s="40" t="s">
        <v>155</v>
      </c>
      <c r="Y26" s="40" t="s">
        <v>155</v>
      </c>
      <c r="Z26" s="36" t="s">
        <v>155</v>
      </c>
      <c r="AA26" s="35" t="s">
        <v>155</v>
      </c>
      <c r="AB26" s="36" t="s">
        <v>155</v>
      </c>
    </row>
    <row r="27" spans="2:28" ht="12.75">
      <c r="B27" s="58"/>
      <c r="E27" s="17"/>
      <c r="F27" s="56"/>
      <c r="G27" s="56"/>
      <c r="H27" s="56"/>
      <c r="I27" s="56"/>
      <c r="J27" s="56"/>
      <c r="K27" s="56"/>
      <c r="L27" s="57"/>
      <c r="M27" s="57"/>
      <c r="N27" s="57"/>
      <c r="O27" s="57"/>
      <c r="P27" s="57"/>
      <c r="Q27" s="57"/>
      <c r="R27" s="57"/>
      <c r="S27" s="57"/>
      <c r="T27" s="57"/>
      <c r="U27" s="57"/>
      <c r="V27" s="57"/>
      <c r="W27" s="57"/>
      <c r="X27" s="57"/>
      <c r="Y27" s="57"/>
      <c r="Z27" s="32"/>
      <c r="AA27" s="31"/>
      <c r="AB27" s="32"/>
    </row>
    <row r="28" spans="1:28" ht="12.75">
      <c r="A28" t="s">
        <v>201</v>
      </c>
      <c r="B28" s="22"/>
      <c r="E28" s="17"/>
      <c r="F28" s="56"/>
      <c r="G28" s="56"/>
      <c r="H28" s="56"/>
      <c r="I28" s="56"/>
      <c r="J28" s="56"/>
      <c r="K28" s="56"/>
      <c r="L28" s="57"/>
      <c r="M28" s="57"/>
      <c r="N28" s="57"/>
      <c r="O28" s="57"/>
      <c r="P28" s="57"/>
      <c r="Q28" s="57"/>
      <c r="R28" s="57"/>
      <c r="S28" s="57"/>
      <c r="T28" s="57"/>
      <c r="U28" s="57"/>
      <c r="V28" s="57"/>
      <c r="W28" s="57"/>
      <c r="X28" s="57"/>
      <c r="Y28" s="57"/>
      <c r="Z28" s="32"/>
      <c r="AA28" s="31"/>
      <c r="AB28" s="32"/>
    </row>
    <row r="29" spans="1:28" ht="12.75">
      <c r="A29" s="23"/>
      <c r="B29" s="23" t="s">
        <v>166</v>
      </c>
      <c r="C29" s="23" t="s">
        <v>238</v>
      </c>
      <c r="D29" s="23" t="s">
        <v>167</v>
      </c>
      <c r="E29" s="24">
        <f>'[4]Gas Heating'!$C$325</f>
        <v>0.44888125</v>
      </c>
      <c r="F29" s="33">
        <f>'[4]Gas Heating'!$C$171</f>
        <v>0.004551728094575799</v>
      </c>
      <c r="G29" s="33">
        <f>'[4]Gas Heating'!$C$172</f>
        <v>0.005791316866823093</v>
      </c>
      <c r="H29" s="33">
        <f>'[4]Gas Heating'!$C$173</f>
        <v>0.0069575161646441615</v>
      </c>
      <c r="I29" s="33">
        <f>'[4]Gas Heating'!$C$174</f>
        <v>0.00764487503340096</v>
      </c>
      <c r="J29" s="33">
        <f>'[4]Gas Heating'!$C$175</f>
        <v>0.00793200484739082</v>
      </c>
      <c r="K29" s="33">
        <f>'[4]Gas Heating'!$C$176</f>
        <v>0.007257947403314475</v>
      </c>
      <c r="L29" s="40">
        <f>'[4]Gas Heating'!$C$177</f>
        <v>0.006751359243464686</v>
      </c>
      <c r="M29" s="40">
        <f>'[4]Gas Heating'!$C$178</f>
        <v>0.006363741906153605</v>
      </c>
      <c r="N29" s="40">
        <f>'[4]Gas Heating'!$C$179</f>
        <v>0.005811470146660707</v>
      </c>
      <c r="O29" s="40">
        <f>'[4]Gas Heating'!$C$180</f>
        <v>0.005485911044199181</v>
      </c>
      <c r="P29" s="40">
        <f>'[4]Gas Heating'!$C$181</f>
        <v>0.004833798972301901</v>
      </c>
      <c r="Q29" s="40">
        <f>'[4]Gas Heating'!$C$182</f>
        <v>0.005169028384536164</v>
      </c>
      <c r="R29" s="40">
        <f>'[4]Gas Heating'!$C$183</f>
        <v>0.005541327049406252</v>
      </c>
      <c r="S29" s="40">
        <f>'[4]Gas Heating'!$C$184</f>
        <v>0.005446879175726577</v>
      </c>
      <c r="T29" s="40">
        <f>'[4]Gas Heating'!$C$185</f>
        <v>0.005392944941472189</v>
      </c>
      <c r="U29" s="40">
        <f>'[4]Gas Heating'!$C$186</f>
        <v>0.0051899229490711025</v>
      </c>
      <c r="V29" s="40">
        <f>'[4]Gas Heating'!$C$187</f>
        <v>0.005006784211233989</v>
      </c>
      <c r="W29" s="40">
        <f>'[4]Gas Heating'!$C$188</f>
        <v>0.0046755778390221315</v>
      </c>
      <c r="X29" s="40">
        <f>'[4]Gas Heating'!$C$189</f>
        <v>0.003820332840352339</v>
      </c>
      <c r="Y29" s="40">
        <f>'[4]Gas Heating'!$C$190</f>
        <v>0.003223249632754544</v>
      </c>
      <c r="Z29" s="36">
        <f>'[4]Gas Heating'!$C$191</f>
        <v>0.0026455045698308977</v>
      </c>
      <c r="AA29" s="35">
        <f>'[4]Gas Heating'!$C$269</f>
        <v>0.0700426996403478</v>
      </c>
      <c r="AB29" s="36">
        <f>'[4]Gas Heating'!$C$279</f>
        <v>0.08882074017990849</v>
      </c>
    </row>
    <row r="30" spans="1:28" ht="12.75">
      <c r="A30" s="23"/>
      <c r="B30" s="23" t="s">
        <v>168</v>
      </c>
      <c r="C30" s="23" t="s">
        <v>238</v>
      </c>
      <c r="D30" s="23" t="s">
        <v>169</v>
      </c>
      <c r="E30" s="24">
        <f>'[4]Cooling'!$C$325</f>
        <v>0.49843562500000005</v>
      </c>
      <c r="F30" s="33">
        <f>'[4]Cooling'!$C$171</f>
        <v>0.005185539638386648</v>
      </c>
      <c r="G30" s="33">
        <f>'[4]Cooling'!$C$172</f>
        <v>0.006549649883492769</v>
      </c>
      <c r="H30" s="33">
        <f>'[4]Cooling'!$C$173</f>
        <v>0.007691058141643882</v>
      </c>
      <c r="I30" s="33">
        <f>'[4]Cooling'!$C$174</f>
        <v>0.008349687621939253</v>
      </c>
      <c r="J30" s="33">
        <f>'[4]Cooling'!$C$175</f>
        <v>0.008610973339481505</v>
      </c>
      <c r="K30" s="33">
        <f>'[4]Cooling'!$C$176</f>
        <v>0</v>
      </c>
      <c r="L30" s="40">
        <f>'[4]Cooling'!$C$177</f>
        <v>0</v>
      </c>
      <c r="M30" s="40">
        <f>'[4]Cooling'!$C$178</f>
        <v>0</v>
      </c>
      <c r="N30" s="40">
        <f>'[4]Cooling'!$C$179</f>
        <v>0</v>
      </c>
      <c r="O30" s="40">
        <f>'[4]Cooling'!$C$180</f>
        <v>0</v>
      </c>
      <c r="P30" s="40">
        <f>'[4]Cooling'!$C$181</f>
        <v>0</v>
      </c>
      <c r="Q30" s="40">
        <f>'[4]Cooling'!$C$182</f>
        <v>0</v>
      </c>
      <c r="R30" s="40">
        <f>'[4]Cooling'!$C$183</f>
        <v>0</v>
      </c>
      <c r="S30" s="40">
        <f>'[4]Cooling'!$C$184</f>
        <v>0</v>
      </c>
      <c r="T30" s="40">
        <f>'[4]Cooling'!$C$185</f>
        <v>0</v>
      </c>
      <c r="U30" s="40">
        <f>'[4]Cooling'!$C$186</f>
        <v>0</v>
      </c>
      <c r="V30" s="40">
        <f>'[4]Cooling'!$C$187</f>
        <v>0</v>
      </c>
      <c r="W30" s="40">
        <f>'[4]Cooling'!$C$188</f>
        <v>0</v>
      </c>
      <c r="X30" s="40">
        <f>'[4]Cooling'!$C$189</f>
        <v>0</v>
      </c>
      <c r="Y30" s="40">
        <f>'[4]Cooling'!$C$190</f>
        <v>0</v>
      </c>
      <c r="Z30" s="36">
        <f>'[4]Cooling'!$C$191</f>
        <v>0</v>
      </c>
      <c r="AA30" s="35">
        <f>'[4]Cooling'!$C$269</f>
        <v>0.04263970244729627</v>
      </c>
      <c r="AB30" s="36">
        <f>'[4]Cooling'!$C$279</f>
        <v>0.04263970244729627</v>
      </c>
    </row>
    <row r="31" spans="1:28" ht="12.75">
      <c r="A31" s="23"/>
      <c r="B31" s="23" t="s">
        <v>170</v>
      </c>
      <c r="C31" s="23" t="s">
        <v>238</v>
      </c>
      <c r="D31" s="23" t="s">
        <v>172</v>
      </c>
      <c r="E31" s="25">
        <f>'[4]WH-gas'!$C$325</f>
        <v>0.31599999999999995</v>
      </c>
      <c r="F31" s="40">
        <f>'[4]WH-gas'!$C$171</f>
        <v>0.00544240264255911</v>
      </c>
      <c r="G31" s="40">
        <f>'[4]WH-gas'!$C$172</f>
        <v>0.006683553042500557</v>
      </c>
      <c r="H31" s="40">
        <f>'[4]WH-gas'!$C$173</f>
        <v>0.007728920726613208</v>
      </c>
      <c r="I31" s="40">
        <f>'[4]WH-gas'!$C$174</f>
        <v>0.008213243457906215</v>
      </c>
      <c r="J31" s="40">
        <f>'[4]WH-gas'!$C$175</f>
        <v>0.008418400800781432</v>
      </c>
      <c r="K31" s="40">
        <f>'[4]WH-gas'!$C$176</f>
        <v>0.007799522221895777</v>
      </c>
      <c r="L31" s="40">
        <f>'[4]WH-gas'!$C$177</f>
        <v>0.0073880414390393966</v>
      </c>
      <c r="M31" s="40">
        <f>'[4]WH-gas'!$C$178</f>
        <v>0.007037277137406318</v>
      </c>
      <c r="N31" s="40">
        <f>'[4]WH-gas'!$C$179</f>
        <v>0.006644312173849823</v>
      </c>
      <c r="O31" s="40">
        <f>'[4]WH-gas'!$C$180</f>
        <v>0.00634551053476889</v>
      </c>
      <c r="P31" s="40">
        <f>'[4]WH-gas'!$C$181</f>
        <v>0.0056429982731378</v>
      </c>
      <c r="Q31" s="40">
        <f>'[4]WH-gas'!$C$182</f>
        <v>0.005894276571873568</v>
      </c>
      <c r="R31" s="40">
        <f>'[4]WH-gas'!$C$183</f>
        <v>0.006204846104687661</v>
      </c>
      <c r="S31" s="40">
        <f>'[4]WH-gas'!$C$184</f>
        <v>0.006139232350022169</v>
      </c>
      <c r="T31" s="40">
        <f>'[4]WH-gas'!$C$185</f>
        <v>0.005986868755769814</v>
      </c>
      <c r="U31" s="40">
        <f>'[4]WH-gas'!$C$186</f>
        <v>0.0058172890320021715</v>
      </c>
      <c r="V31" s="40">
        <f>'[4]WH-gas'!$C$187</f>
        <v>0.0056013643519611835</v>
      </c>
      <c r="W31" s="40">
        <f>'[4]WH-gas'!$C$188</f>
        <v>0.005089454378113334</v>
      </c>
      <c r="X31" s="40">
        <f>'[4]WH-gas'!$C$189</f>
        <v>0.004208303826424713</v>
      </c>
      <c r="Y31" s="40">
        <f>'[4]WH-gas'!$C$190</f>
        <v>0.0034971516970506798</v>
      </c>
      <c r="Z31" s="36">
        <f>'[4]WH-gas'!$C$191</f>
        <v>0.002875330280818846</v>
      </c>
      <c r="AA31" s="35">
        <f>'[4]WH-gas'!$C$269</f>
        <v>0.07865776823744601</v>
      </c>
      <c r="AB31" s="36">
        <f>'[4]WH-gas'!$C$279</f>
        <v>0.10124731434317866</v>
      </c>
    </row>
    <row r="32" spans="1:28" ht="12.75">
      <c r="A32" s="9"/>
      <c r="B32" s="9" t="s">
        <v>175</v>
      </c>
      <c r="C32" s="9"/>
      <c r="D32" s="9"/>
      <c r="E32" s="50" t="s">
        <v>155</v>
      </c>
      <c r="F32" s="51" t="s">
        <v>155</v>
      </c>
      <c r="G32" s="51" t="s">
        <v>155</v>
      </c>
      <c r="H32" s="51" t="s">
        <v>155</v>
      </c>
      <c r="I32" s="51" t="s">
        <v>155</v>
      </c>
      <c r="J32" s="51" t="s">
        <v>155</v>
      </c>
      <c r="K32" s="51" t="s">
        <v>155</v>
      </c>
      <c r="L32" s="52" t="s">
        <v>155</v>
      </c>
      <c r="M32" s="52" t="s">
        <v>155</v>
      </c>
      <c r="N32" s="52" t="s">
        <v>155</v>
      </c>
      <c r="O32" s="52" t="s">
        <v>155</v>
      </c>
      <c r="P32" s="52" t="s">
        <v>155</v>
      </c>
      <c r="Q32" s="52" t="s">
        <v>155</v>
      </c>
      <c r="R32" s="52" t="s">
        <v>155</v>
      </c>
      <c r="S32" s="52" t="s">
        <v>155</v>
      </c>
      <c r="T32" s="52" t="s">
        <v>155</v>
      </c>
      <c r="U32" s="52" t="s">
        <v>155</v>
      </c>
      <c r="V32" s="52" t="s">
        <v>155</v>
      </c>
      <c r="W32" s="52" t="s">
        <v>155</v>
      </c>
      <c r="X32" s="52" t="s">
        <v>155</v>
      </c>
      <c r="Y32" s="52" t="s">
        <v>155</v>
      </c>
      <c r="Z32" s="54" t="s">
        <v>155</v>
      </c>
      <c r="AA32" s="55" t="s">
        <v>155</v>
      </c>
      <c r="AB32" s="54" t="s">
        <v>155</v>
      </c>
    </row>
    <row r="33" spans="1:28" ht="12.75">
      <c r="A33" s="22"/>
      <c r="B33" s="22" t="s">
        <v>190</v>
      </c>
      <c r="C33" s="22"/>
      <c r="D33" s="22"/>
      <c r="E33" s="28"/>
      <c r="F33" s="29"/>
      <c r="G33" s="29"/>
      <c r="H33" s="29"/>
      <c r="I33" s="29"/>
      <c r="J33" s="29"/>
      <c r="K33" s="29"/>
      <c r="L33" s="49"/>
      <c r="M33" s="49"/>
      <c r="N33" s="49"/>
      <c r="O33" s="49"/>
      <c r="P33" s="49"/>
      <c r="Q33" s="49"/>
      <c r="R33" s="49"/>
      <c r="S33" s="49"/>
      <c r="T33" s="49"/>
      <c r="U33" s="49"/>
      <c r="V33" s="49"/>
      <c r="W33" s="49"/>
      <c r="X33" s="49"/>
      <c r="Y33" s="49"/>
      <c r="Z33" s="32"/>
      <c r="AA33" s="31"/>
      <c r="AB33" s="32"/>
    </row>
    <row r="34" spans="1:28" ht="12.75">
      <c r="A34" s="22"/>
      <c r="B34" s="58" t="s">
        <v>202</v>
      </c>
      <c r="C34" s="22"/>
      <c r="D34" s="22"/>
      <c r="E34" s="28" t="s">
        <v>155</v>
      </c>
      <c r="F34" s="29" t="s">
        <v>155</v>
      </c>
      <c r="G34" s="29" t="s">
        <v>155</v>
      </c>
      <c r="H34" s="29" t="s">
        <v>155</v>
      </c>
      <c r="I34" s="29" t="s">
        <v>155</v>
      </c>
      <c r="J34" s="29" t="s">
        <v>155</v>
      </c>
      <c r="K34" s="29" t="s">
        <v>155</v>
      </c>
      <c r="L34" s="49" t="s">
        <v>155</v>
      </c>
      <c r="M34" s="49" t="s">
        <v>155</v>
      </c>
      <c r="N34" s="49" t="s">
        <v>155</v>
      </c>
      <c r="O34" s="49" t="s">
        <v>155</v>
      </c>
      <c r="P34" s="49" t="s">
        <v>155</v>
      </c>
      <c r="Q34" s="49" t="s">
        <v>155</v>
      </c>
      <c r="R34" s="49" t="s">
        <v>155</v>
      </c>
      <c r="S34" s="49" t="s">
        <v>155</v>
      </c>
      <c r="T34" s="49" t="s">
        <v>155</v>
      </c>
      <c r="U34" s="49" t="s">
        <v>155</v>
      </c>
      <c r="V34" s="49" t="s">
        <v>155</v>
      </c>
      <c r="W34" s="49" t="s">
        <v>155</v>
      </c>
      <c r="X34" s="49" t="s">
        <v>155</v>
      </c>
      <c r="Y34" s="49" t="s">
        <v>155</v>
      </c>
      <c r="Z34" s="32" t="s">
        <v>155</v>
      </c>
      <c r="AA34" s="31" t="s">
        <v>155</v>
      </c>
      <c r="AB34" s="32" t="s">
        <v>155</v>
      </c>
    </row>
    <row r="35" spans="1:28" ht="12.75">
      <c r="A35" s="22"/>
      <c r="B35" s="58" t="s">
        <v>203</v>
      </c>
      <c r="C35" s="22"/>
      <c r="D35" s="22"/>
      <c r="E35" s="28" t="s">
        <v>155</v>
      </c>
      <c r="F35" s="29" t="s">
        <v>155</v>
      </c>
      <c r="G35" s="29" t="s">
        <v>155</v>
      </c>
      <c r="H35" s="29" t="s">
        <v>155</v>
      </c>
      <c r="I35" s="29" t="s">
        <v>155</v>
      </c>
      <c r="J35" s="29" t="s">
        <v>155</v>
      </c>
      <c r="K35" s="29" t="s">
        <v>155</v>
      </c>
      <c r="L35" s="49" t="s">
        <v>155</v>
      </c>
      <c r="M35" s="49" t="s">
        <v>155</v>
      </c>
      <c r="N35" s="49" t="s">
        <v>155</v>
      </c>
      <c r="O35" s="49" t="s">
        <v>155</v>
      </c>
      <c r="P35" s="49" t="s">
        <v>155</v>
      </c>
      <c r="Q35" s="49" t="s">
        <v>155</v>
      </c>
      <c r="R35" s="49" t="s">
        <v>155</v>
      </c>
      <c r="S35" s="49" t="s">
        <v>155</v>
      </c>
      <c r="T35" s="49" t="s">
        <v>155</v>
      </c>
      <c r="U35" s="49" t="s">
        <v>155</v>
      </c>
      <c r="V35" s="49" t="s">
        <v>155</v>
      </c>
      <c r="W35" s="49" t="s">
        <v>155</v>
      </c>
      <c r="X35" s="49" t="s">
        <v>155</v>
      </c>
      <c r="Y35" s="49" t="s">
        <v>155</v>
      </c>
      <c r="Z35" s="32" t="s">
        <v>155</v>
      </c>
      <c r="AA35" s="31" t="s">
        <v>155</v>
      </c>
      <c r="AB35" s="32" t="s">
        <v>155</v>
      </c>
    </row>
    <row r="36" spans="1:28" ht="12.75">
      <c r="A36" s="22"/>
      <c r="B36" s="58" t="s">
        <v>204</v>
      </c>
      <c r="C36" s="22"/>
      <c r="D36" s="22"/>
      <c r="E36" s="28" t="s">
        <v>155</v>
      </c>
      <c r="F36" s="29" t="s">
        <v>155</v>
      </c>
      <c r="G36" s="29" t="s">
        <v>155</v>
      </c>
      <c r="H36" s="29" t="s">
        <v>155</v>
      </c>
      <c r="I36" s="29" t="s">
        <v>155</v>
      </c>
      <c r="J36" s="29" t="s">
        <v>155</v>
      </c>
      <c r="K36" s="29" t="s">
        <v>155</v>
      </c>
      <c r="L36" s="49" t="s">
        <v>155</v>
      </c>
      <c r="M36" s="49" t="s">
        <v>155</v>
      </c>
      <c r="N36" s="49" t="s">
        <v>155</v>
      </c>
      <c r="O36" s="49" t="s">
        <v>155</v>
      </c>
      <c r="P36" s="49" t="s">
        <v>155</v>
      </c>
      <c r="Q36" s="49" t="s">
        <v>155</v>
      </c>
      <c r="R36" s="49" t="s">
        <v>155</v>
      </c>
      <c r="S36" s="49" t="s">
        <v>155</v>
      </c>
      <c r="T36" s="49" t="s">
        <v>155</v>
      </c>
      <c r="U36" s="49" t="s">
        <v>155</v>
      </c>
      <c r="V36" s="49" t="s">
        <v>155</v>
      </c>
      <c r="W36" s="49" t="s">
        <v>155</v>
      </c>
      <c r="X36" s="49" t="s">
        <v>155</v>
      </c>
      <c r="Y36" s="49" t="s">
        <v>155</v>
      </c>
      <c r="Z36" s="32" t="s">
        <v>155</v>
      </c>
      <c r="AA36" s="31" t="s">
        <v>155</v>
      </c>
      <c r="AB36" s="32" t="s">
        <v>155</v>
      </c>
    </row>
    <row r="37" spans="1:28" ht="12.75">
      <c r="A37" s="23"/>
      <c r="B37" s="60" t="s">
        <v>205</v>
      </c>
      <c r="C37" s="23"/>
      <c r="D37" s="23"/>
      <c r="E37" s="41" t="s">
        <v>155</v>
      </c>
      <c r="F37" s="33" t="s">
        <v>155</v>
      </c>
      <c r="G37" s="33" t="s">
        <v>155</v>
      </c>
      <c r="H37" s="33" t="s">
        <v>155</v>
      </c>
      <c r="I37" s="33" t="s">
        <v>155</v>
      </c>
      <c r="J37" s="33" t="s">
        <v>155</v>
      </c>
      <c r="K37" s="33" t="s">
        <v>155</v>
      </c>
      <c r="L37" s="40" t="s">
        <v>155</v>
      </c>
      <c r="M37" s="40" t="s">
        <v>155</v>
      </c>
      <c r="N37" s="40" t="s">
        <v>155</v>
      </c>
      <c r="O37" s="40" t="s">
        <v>155</v>
      </c>
      <c r="P37" s="40" t="s">
        <v>155</v>
      </c>
      <c r="Q37" s="40" t="s">
        <v>155</v>
      </c>
      <c r="R37" s="40" t="s">
        <v>155</v>
      </c>
      <c r="S37" s="40" t="s">
        <v>155</v>
      </c>
      <c r="T37" s="40" t="s">
        <v>155</v>
      </c>
      <c r="U37" s="40" t="s">
        <v>155</v>
      </c>
      <c r="V37" s="40" t="s">
        <v>155</v>
      </c>
      <c r="W37" s="40" t="s">
        <v>155</v>
      </c>
      <c r="X37" s="40" t="s">
        <v>155</v>
      </c>
      <c r="Y37" s="40" t="s">
        <v>155</v>
      </c>
      <c r="Z37" s="36" t="s">
        <v>155</v>
      </c>
      <c r="AA37" s="35" t="s">
        <v>155</v>
      </c>
      <c r="AB37" s="36" t="s">
        <v>155</v>
      </c>
    </row>
    <row r="38" ht="12.75">
      <c r="E38" s="17"/>
    </row>
    <row r="39" ht="12.75">
      <c r="E39" s="17"/>
    </row>
    <row r="40" ht="12.75">
      <c r="E40" s="17"/>
    </row>
    <row r="41" ht="12.75">
      <c r="E41" s="17"/>
    </row>
    <row r="42" ht="12.75">
      <c r="E42" s="17"/>
    </row>
    <row r="43" spans="1:5" ht="12.75">
      <c r="A43">
        <v>1</v>
      </c>
      <c r="B43" t="s">
        <v>143</v>
      </c>
      <c r="E43" s="17"/>
    </row>
    <row r="44" spans="2:5" ht="12.75">
      <c r="B44" t="s">
        <v>144</v>
      </c>
      <c r="E44" s="17"/>
    </row>
    <row r="45" spans="2:5" ht="12.75">
      <c r="B45" t="s">
        <v>134</v>
      </c>
      <c r="E45" s="17"/>
    </row>
    <row r="46" spans="2:5" ht="12.75">
      <c r="B46" t="s">
        <v>145</v>
      </c>
      <c r="E46" s="17"/>
    </row>
    <row r="47" spans="1:5" ht="12.75">
      <c r="A47">
        <v>2</v>
      </c>
      <c r="B47" t="s">
        <v>146</v>
      </c>
      <c r="E47" s="17"/>
    </row>
    <row r="48" spans="2:5" ht="12.75">
      <c r="B48" t="s">
        <v>144</v>
      </c>
      <c r="E48" s="17"/>
    </row>
    <row r="49" spans="2:5" ht="12.75">
      <c r="B49" t="s">
        <v>135</v>
      </c>
      <c r="E49" s="17"/>
    </row>
    <row r="50" spans="2:5" ht="12.75">
      <c r="B50" t="s">
        <v>145</v>
      </c>
      <c r="E50" s="17"/>
    </row>
    <row r="51" spans="1:5" ht="12.75">
      <c r="A51">
        <v>3</v>
      </c>
      <c r="B51" t="s">
        <v>147</v>
      </c>
      <c r="E51" s="17"/>
    </row>
    <row r="52" spans="2:5" ht="12.75">
      <c r="B52" t="s">
        <v>148</v>
      </c>
      <c r="E52" s="17"/>
    </row>
    <row r="53" spans="2:5" ht="12.75">
      <c r="B53" s="15" t="s">
        <v>149</v>
      </c>
      <c r="E53" s="17"/>
    </row>
    <row r="54" spans="1:5" ht="12.75">
      <c r="A54">
        <v>4</v>
      </c>
      <c r="B54" t="s">
        <v>150</v>
      </c>
      <c r="E54" s="17"/>
    </row>
    <row r="55" spans="2:5" ht="12.75">
      <c r="B55" t="s">
        <v>151</v>
      </c>
      <c r="E55" s="17"/>
    </row>
    <row r="56" spans="2:5" ht="12.75">
      <c r="B56" t="s">
        <v>131</v>
      </c>
      <c r="E56" s="17"/>
    </row>
    <row r="57" spans="2:5" ht="12.75">
      <c r="B57" t="s">
        <v>152</v>
      </c>
      <c r="E57" s="17"/>
    </row>
    <row r="58" spans="1:5" ht="12.75">
      <c r="A58">
        <v>5</v>
      </c>
      <c r="B58" t="s">
        <v>14</v>
      </c>
      <c r="E58" s="17"/>
    </row>
    <row r="59" spans="2:5" ht="12.75">
      <c r="B59" t="s">
        <v>144</v>
      </c>
      <c r="E59" s="17"/>
    </row>
    <row r="60" spans="2:5" ht="12.75">
      <c r="B60" t="s">
        <v>132</v>
      </c>
      <c r="E60" s="17"/>
    </row>
    <row r="61" spans="2:5" ht="12.75">
      <c r="B61" t="s">
        <v>15</v>
      </c>
      <c r="E61" s="17"/>
    </row>
    <row r="62" spans="1:5" ht="12.75">
      <c r="A62">
        <v>6</v>
      </c>
      <c r="B62" t="s">
        <v>16</v>
      </c>
      <c r="E62" s="17"/>
    </row>
    <row r="63" spans="2:5" ht="12.75">
      <c r="B63" t="s">
        <v>133</v>
      </c>
      <c r="E63" s="17"/>
    </row>
    <row r="64" spans="2:5" ht="12.75">
      <c r="B64" t="s">
        <v>17</v>
      </c>
      <c r="E64" s="17"/>
    </row>
    <row r="65" spans="1:5" ht="12.75">
      <c r="A65">
        <v>7</v>
      </c>
      <c r="B65" t="s">
        <v>18</v>
      </c>
      <c r="E65" s="17"/>
    </row>
    <row r="66" spans="2:5" ht="12.75">
      <c r="B66" t="s">
        <v>19</v>
      </c>
      <c r="E66" s="17"/>
    </row>
    <row r="67" spans="2:5" ht="12.75">
      <c r="B67" t="s">
        <v>20</v>
      </c>
      <c r="E67" s="17"/>
    </row>
    <row r="68" spans="1:5" ht="12.75">
      <c r="A68">
        <v>8</v>
      </c>
      <c r="B68" t="s">
        <v>21</v>
      </c>
      <c r="E68" s="17"/>
    </row>
    <row r="69" spans="2:5" ht="12.75">
      <c r="B69" t="s">
        <v>22</v>
      </c>
      <c r="E69" s="17"/>
    </row>
    <row r="70" spans="2:5" ht="12.75">
      <c r="B70" t="s">
        <v>23</v>
      </c>
      <c r="E70" s="17"/>
    </row>
    <row r="71" spans="1:5" ht="12.75">
      <c r="A71">
        <v>9</v>
      </c>
      <c r="B71" t="s">
        <v>24</v>
      </c>
      <c r="E71" s="17"/>
    </row>
    <row r="72" spans="1:5" ht="12.75">
      <c r="A72">
        <v>10</v>
      </c>
      <c r="B72" t="s">
        <v>209</v>
      </c>
      <c r="E72" s="17"/>
    </row>
    <row r="73" spans="2:5" ht="12.75">
      <c r="B73" t="s">
        <v>210</v>
      </c>
      <c r="E73" s="17"/>
    </row>
    <row r="74" spans="2:5" ht="12.75">
      <c r="B74" t="s">
        <v>211</v>
      </c>
      <c r="E74" s="17"/>
    </row>
    <row r="75" spans="1:5" ht="12.75">
      <c r="A75">
        <v>11</v>
      </c>
      <c r="B75" t="s">
        <v>212</v>
      </c>
      <c r="E75" s="17"/>
    </row>
    <row r="76" spans="2:5" ht="12.75">
      <c r="B76" t="s">
        <v>213</v>
      </c>
      <c r="E76" s="17"/>
    </row>
    <row r="77" spans="2:5" ht="12.75">
      <c r="B77" t="s">
        <v>214</v>
      </c>
      <c r="E77" s="17"/>
    </row>
    <row r="78" spans="1:5" ht="12.75">
      <c r="A78">
        <v>12</v>
      </c>
      <c r="B78" t="s">
        <v>215</v>
      </c>
      <c r="E78" s="17"/>
    </row>
    <row r="79" spans="2:5" ht="12.75">
      <c r="B79" t="s">
        <v>210</v>
      </c>
      <c r="E79" s="17"/>
    </row>
    <row r="80" spans="2:5" ht="12.75">
      <c r="B80" t="s">
        <v>211</v>
      </c>
      <c r="E80" s="17"/>
    </row>
    <row r="81" spans="1:5" ht="12.75">
      <c r="A81">
        <v>13</v>
      </c>
      <c r="B81" t="s">
        <v>216</v>
      </c>
      <c r="E81" s="17"/>
    </row>
    <row r="82" spans="2:5" ht="12.75">
      <c r="B82" t="s">
        <v>217</v>
      </c>
      <c r="E82" s="17"/>
    </row>
    <row r="83" spans="2:5" ht="12.75">
      <c r="B83" t="s">
        <v>82</v>
      </c>
      <c r="E83" s="17"/>
    </row>
    <row r="84" spans="2:5" ht="12.75">
      <c r="B84" t="s">
        <v>83</v>
      </c>
      <c r="E84" s="17"/>
    </row>
    <row r="85" spans="1:2" ht="12.75">
      <c r="A85">
        <v>14</v>
      </c>
      <c r="B85" t="s">
        <v>84</v>
      </c>
    </row>
    <row r="86" ht="12.75">
      <c r="B86" t="s">
        <v>85</v>
      </c>
    </row>
    <row r="87" ht="12.75">
      <c r="B87" t="s">
        <v>86</v>
      </c>
    </row>
    <row r="88" ht="12.75">
      <c r="B88" t="s">
        <v>87</v>
      </c>
    </row>
    <row r="89" ht="12.75">
      <c r="B89" t="s">
        <v>88</v>
      </c>
    </row>
    <row r="90" ht="12.75">
      <c r="B90" t="s">
        <v>89</v>
      </c>
    </row>
    <row r="91" ht="12.75">
      <c r="B91" t="s">
        <v>0</v>
      </c>
    </row>
    <row r="92" ht="12.75">
      <c r="B92" t="s">
        <v>1</v>
      </c>
    </row>
    <row r="93" ht="12.75">
      <c r="B93" t="s">
        <v>2</v>
      </c>
    </row>
    <row r="94" ht="12.75">
      <c r="B94" t="s">
        <v>3</v>
      </c>
    </row>
    <row r="95" ht="12.75">
      <c r="B95" t="s">
        <v>4</v>
      </c>
    </row>
    <row r="96" spans="1:2" ht="12.75">
      <c r="A96">
        <v>15</v>
      </c>
      <c r="B96" t="s">
        <v>5</v>
      </c>
    </row>
    <row r="97" ht="12.75">
      <c r="B97" t="s">
        <v>6</v>
      </c>
    </row>
    <row r="98" ht="12.75">
      <c r="B98" t="s">
        <v>7</v>
      </c>
    </row>
    <row r="99" ht="12.75">
      <c r="B99" t="s">
        <v>8</v>
      </c>
    </row>
    <row r="100" ht="12.75">
      <c r="B100" t="s">
        <v>9</v>
      </c>
    </row>
  </sheetData>
  <mergeCells count="1">
    <mergeCell ref="AA2:AB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cols>
    <col min="1" max="16384" width="9" style="0" customWidth="1"/>
  </cols>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cols>
    <col min="1" max="16384" width="9" style="0" customWidth="1"/>
  </cols>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V33"/>
  <sheetViews>
    <sheetView workbookViewId="0" topLeftCell="A1">
      <selection activeCell="C8" sqref="C8"/>
    </sheetView>
  </sheetViews>
  <sheetFormatPr defaultColWidth="9.33203125" defaultRowHeight="12.75"/>
  <cols>
    <col min="1" max="1" width="9" style="0" customWidth="1"/>
    <col min="2" max="2" width="16.66015625" style="0" customWidth="1"/>
    <col min="3" max="3" width="19.16015625" style="0" customWidth="1"/>
    <col min="4" max="11" width="9" style="0" customWidth="1"/>
    <col min="12" max="13" width="12.33203125" style="0" bestFit="1" customWidth="1"/>
    <col min="14" max="16384" width="9" style="0" customWidth="1"/>
  </cols>
  <sheetData>
    <row r="1" spans="1:18" ht="18.75">
      <c r="A1" s="4" t="s">
        <v>227</v>
      </c>
      <c r="I1" s="4" t="s">
        <v>238</v>
      </c>
      <c r="R1" s="4" t="s">
        <v>70</v>
      </c>
    </row>
    <row r="2" spans="1:8" ht="12.75">
      <c r="A2" t="s">
        <v>218</v>
      </c>
      <c r="C2" s="5" t="s">
        <v>228</v>
      </c>
      <c r="E2" t="s">
        <v>221</v>
      </c>
      <c r="H2" t="s">
        <v>233</v>
      </c>
    </row>
    <row r="3" spans="1:20" ht="12.75">
      <c r="A3" t="s">
        <v>234</v>
      </c>
      <c r="G3" t="s">
        <v>233</v>
      </c>
      <c r="L3" t="s">
        <v>118</v>
      </c>
      <c r="M3" t="s">
        <v>120</v>
      </c>
      <c r="T3" s="7"/>
    </row>
    <row r="4" spans="1:20" ht="12.75">
      <c r="A4" t="s">
        <v>219</v>
      </c>
      <c r="G4" t="s">
        <v>233</v>
      </c>
      <c r="L4" t="s">
        <v>119</v>
      </c>
      <c r="M4" t="s">
        <v>119</v>
      </c>
      <c r="R4" t="s">
        <v>239</v>
      </c>
      <c r="T4" s="2">
        <f>Heating!T4</f>
        <v>0.1</v>
      </c>
    </row>
    <row r="5" spans="1:21" ht="12.75">
      <c r="A5" t="s">
        <v>239</v>
      </c>
      <c r="C5" s="13">
        <f>'[2]Lighting-revised'!$D$66</f>
        <v>0.08720858517330704</v>
      </c>
      <c r="E5" t="s">
        <v>103</v>
      </c>
      <c r="G5" t="s">
        <v>233</v>
      </c>
      <c r="I5" t="s">
        <v>239</v>
      </c>
      <c r="L5" s="2">
        <f>'[2]Lighting-revised'!$C$76</f>
        <v>0.2839344262295082</v>
      </c>
      <c r="M5" s="3">
        <f>'[2]Lighting-revised'!$C$77*'[2]Lighting-revised'!$D$77</f>
        <v>0.24333333333333332</v>
      </c>
      <c r="R5" t="s">
        <v>224</v>
      </c>
      <c r="T5">
        <f>Heating!T5</f>
        <v>50</v>
      </c>
      <c r="U5" t="s">
        <v>225</v>
      </c>
    </row>
    <row r="6" spans="1:20" ht="12.75">
      <c r="A6" t="s">
        <v>224</v>
      </c>
      <c r="C6">
        <v>12.5</v>
      </c>
      <c r="D6" t="s">
        <v>225</v>
      </c>
      <c r="E6" t="s">
        <v>102</v>
      </c>
      <c r="G6" t="s">
        <v>233</v>
      </c>
      <c r="I6" t="s">
        <v>224</v>
      </c>
      <c r="L6">
        <v>50</v>
      </c>
      <c r="M6">
        <f>L6</f>
        <v>50</v>
      </c>
      <c r="N6" t="s">
        <v>225</v>
      </c>
      <c r="R6" t="s">
        <v>223</v>
      </c>
      <c r="T6" s="11"/>
    </row>
    <row r="7" spans="1:21" ht="12.75">
      <c r="A7" t="s">
        <v>223</v>
      </c>
      <c r="G7" t="s">
        <v>233</v>
      </c>
      <c r="I7" t="s">
        <v>223</v>
      </c>
      <c r="N7" t="s">
        <v>226</v>
      </c>
      <c r="R7" t="s">
        <v>230</v>
      </c>
      <c r="T7" s="8">
        <f>(T4/M5)*M8</f>
        <v>0.013170382308174414</v>
      </c>
      <c r="U7" t="s">
        <v>71</v>
      </c>
    </row>
    <row r="8" spans="1:20" ht="12.75">
      <c r="A8" t="s">
        <v>230</v>
      </c>
      <c r="C8" s="12">
        <f>'[2]Lighting-revised'!$F$61/100</f>
        <v>0.05896700446713745</v>
      </c>
      <c r="D8" t="s">
        <v>235</v>
      </c>
      <c r="I8" t="s">
        <v>230</v>
      </c>
      <c r="L8" s="8">
        <f>'[2]Lighting-revised'!$G$76</f>
        <v>0.02492767598842816</v>
      </c>
      <c r="M8" s="8">
        <f>'[2]Lighting-revised'!$G$77</f>
        <v>0.032047930283224405</v>
      </c>
      <c r="N8" t="s">
        <v>235</v>
      </c>
      <c r="R8" t="s">
        <v>231</v>
      </c>
      <c r="T8" s="81">
        <f>Heating!T8</f>
        <v>2010</v>
      </c>
    </row>
    <row r="9" spans="1:20" ht="12.75">
      <c r="A9" t="s">
        <v>236</v>
      </c>
      <c r="C9">
        <v>1997</v>
      </c>
      <c r="I9" t="s">
        <v>236</v>
      </c>
      <c r="L9">
        <v>1997</v>
      </c>
      <c r="M9">
        <v>2004</v>
      </c>
      <c r="T9" s="2"/>
    </row>
    <row r="10" spans="10:21" ht="12.75">
      <c r="J10" t="s">
        <v>11</v>
      </c>
      <c r="S10" s="6">
        <f>T8</f>
        <v>2010</v>
      </c>
      <c r="T10" s="6">
        <f>$T8</f>
        <v>2010</v>
      </c>
      <c r="U10" s="6">
        <f>$T8</f>
        <v>2010</v>
      </c>
    </row>
    <row r="11" spans="2:21" ht="12.75">
      <c r="B11" s="6">
        <v>2003</v>
      </c>
      <c r="D11" t="s">
        <v>136</v>
      </c>
      <c r="E11" t="s">
        <v>138</v>
      </c>
      <c r="J11" t="s">
        <v>12</v>
      </c>
      <c r="K11" s="6" t="s">
        <v>259</v>
      </c>
      <c r="S11" s="6" t="s">
        <v>74</v>
      </c>
      <c r="T11" s="6" t="s">
        <v>74</v>
      </c>
      <c r="U11" s="6" t="s">
        <v>74</v>
      </c>
    </row>
    <row r="12" spans="2:21" ht="12.75">
      <c r="B12" s="6" t="s">
        <v>222</v>
      </c>
      <c r="D12" t="s">
        <v>137</v>
      </c>
      <c r="E12" t="s">
        <v>139</v>
      </c>
      <c r="J12" t="s">
        <v>13</v>
      </c>
      <c r="K12" t="s">
        <v>105</v>
      </c>
      <c r="S12" t="s">
        <v>72</v>
      </c>
      <c r="T12" s="6" t="s">
        <v>73</v>
      </c>
      <c r="U12" t="s">
        <v>75</v>
      </c>
    </row>
    <row r="13" spans="1:21" ht="12.75">
      <c r="A13">
        <v>2000</v>
      </c>
      <c r="B13" s="3"/>
      <c r="C13" s="3"/>
      <c r="D13" s="1">
        <f>MIN(B13+E13+K13/2,1)</f>
        <v>0.5314510605006955</v>
      </c>
      <c r="E13" s="2">
        <v>0.52</v>
      </c>
      <c r="I13">
        <v>2000</v>
      </c>
      <c r="J13" s="13">
        <f>ESB!$F49</f>
        <v>0.009638386648122391</v>
      </c>
      <c r="K13" s="3">
        <f>ESB!$H49</f>
        <v>0.02290212100139082</v>
      </c>
      <c r="L13" s="3">
        <f>K13</f>
        <v>0.02290212100139082</v>
      </c>
      <c r="R13">
        <v>2000</v>
      </c>
      <c r="S13" s="3">
        <f>Heating!S13</f>
        <v>0</v>
      </c>
      <c r="T13" s="3">
        <f>Heating!T13</f>
        <v>0.8</v>
      </c>
      <c r="U13" s="3">
        <f>S13*T13</f>
        <v>0</v>
      </c>
    </row>
    <row r="14" spans="1:21" ht="12.75">
      <c r="A14">
        <v>2001</v>
      </c>
      <c r="B14" s="3"/>
      <c r="C14" s="3"/>
      <c r="D14" s="1">
        <f aca="true" t="shared" si="0" ref="D14:D33">MIN(B14+E14+K14/2,1)</f>
        <v>0.5371584753611207</v>
      </c>
      <c r="E14" s="2">
        <v>0.52</v>
      </c>
      <c r="I14">
        <v>2001</v>
      </c>
      <c r="J14" s="13">
        <f>ESB!$F50</f>
        <v>0.01170873650566599</v>
      </c>
      <c r="K14" s="3">
        <f>ESB!$H50</f>
        <v>0.03431695072224133</v>
      </c>
      <c r="L14" s="3">
        <f>K14</f>
        <v>0.03431695072224133</v>
      </c>
      <c r="R14">
        <v>2001</v>
      </c>
      <c r="S14" s="3">
        <f>Heating!S14</f>
        <v>0</v>
      </c>
      <c r="T14" s="3">
        <f>Heating!T14</f>
        <v>0.8</v>
      </c>
      <c r="U14" s="3">
        <f aca="true" t="shared" si="1" ref="U14:U33">S14*T14</f>
        <v>0</v>
      </c>
    </row>
    <row r="15" spans="1:22" ht="12.75">
      <c r="A15">
        <v>2002</v>
      </c>
      <c r="B15" s="3"/>
      <c r="C15" s="3"/>
      <c r="D15" s="1">
        <f t="shared" si="0"/>
        <v>0.5431793299466576</v>
      </c>
      <c r="E15" s="2">
        <v>0.52</v>
      </c>
      <c r="F15" s="1"/>
      <c r="G15" s="1"/>
      <c r="H15" s="1"/>
      <c r="I15">
        <v>2002</v>
      </c>
      <c r="J15" s="13">
        <f>ESB!$F51</f>
        <v>0.012482104392583352</v>
      </c>
      <c r="K15" s="3">
        <f>ESB!$H51</f>
        <v>0.04635865989331517</v>
      </c>
      <c r="L15" s="3">
        <f>K15</f>
        <v>0.04635865989331517</v>
      </c>
      <c r="N15" s="1"/>
      <c r="R15">
        <v>2002</v>
      </c>
      <c r="S15" s="3">
        <f>Heating!S15</f>
        <v>0</v>
      </c>
      <c r="T15" s="3">
        <f>Heating!T15</f>
        <v>0.8</v>
      </c>
      <c r="U15" s="3">
        <f t="shared" si="1"/>
        <v>0</v>
      </c>
      <c r="V15" s="1"/>
    </row>
    <row r="16" spans="1:22" ht="12.75">
      <c r="A16">
        <v>2003</v>
      </c>
      <c r="B16" s="3"/>
      <c r="C16" s="2"/>
      <c r="D16" s="1">
        <f t="shared" si="0"/>
        <v>0.5491917462901023</v>
      </c>
      <c r="E16" s="2">
        <v>0.52</v>
      </c>
      <c r="F16" s="1"/>
      <c r="G16" s="1"/>
      <c r="I16">
        <v>2003</v>
      </c>
      <c r="J16" s="13">
        <f>ESB!$F52</f>
        <v>0.01261976119489825</v>
      </c>
      <c r="K16" s="3">
        <f>ESB!$H52</f>
        <v>0.05838349258020444</v>
      </c>
      <c r="L16" s="3">
        <f>K16</f>
        <v>0.05838349258020444</v>
      </c>
      <c r="M16" s="1"/>
      <c r="N16" s="1"/>
      <c r="R16">
        <v>2003</v>
      </c>
      <c r="S16" s="3">
        <f>Heating!S16</f>
        <v>0</v>
      </c>
      <c r="T16" s="3">
        <f>Heating!T16</f>
        <v>0.8</v>
      </c>
      <c r="U16" s="3">
        <f t="shared" si="1"/>
        <v>0</v>
      </c>
      <c r="V16" s="1"/>
    </row>
    <row r="17" spans="1:21" ht="12.75">
      <c r="A17">
        <v>2004</v>
      </c>
      <c r="B17" s="3">
        <v>1</v>
      </c>
      <c r="C17" s="2"/>
      <c r="D17" s="1">
        <f t="shared" si="0"/>
        <v>1</v>
      </c>
      <c r="E17" s="2">
        <v>0.52</v>
      </c>
      <c r="I17">
        <v>2004</v>
      </c>
      <c r="J17" s="13">
        <f>ESB!$F53</f>
        <v>0.01271142382785407</v>
      </c>
      <c r="K17" s="3">
        <f>ESB!$H53</f>
        <v>0.07034567119232045</v>
      </c>
      <c r="L17" s="2">
        <f>L16</f>
        <v>0.05838349258020444</v>
      </c>
      <c r="M17" s="3">
        <f aca="true" t="shared" si="2" ref="M17:M33">K17-K$16</f>
        <v>0.011962178612116008</v>
      </c>
      <c r="R17">
        <v>2004</v>
      </c>
      <c r="S17" s="3">
        <f>Heating!S17</f>
        <v>0</v>
      </c>
      <c r="T17" s="3">
        <f>Heating!T17</f>
        <v>0.8</v>
      </c>
      <c r="U17" s="3">
        <f t="shared" si="1"/>
        <v>0</v>
      </c>
    </row>
    <row r="18" spans="1:21" ht="12.75">
      <c r="A18">
        <v>2005</v>
      </c>
      <c r="B18" s="3">
        <v>1</v>
      </c>
      <c r="C18" s="2"/>
      <c r="D18" s="1">
        <f t="shared" si="0"/>
        <v>1</v>
      </c>
      <c r="E18" s="2">
        <v>0.52</v>
      </c>
      <c r="I18">
        <v>2005</v>
      </c>
      <c r="J18" s="13">
        <f>ESB!$F54</f>
        <v>0.013575427889363315</v>
      </c>
      <c r="K18" s="3">
        <f>ESB!$H54</f>
        <v>0.08301834120853453</v>
      </c>
      <c r="L18" s="2">
        <f aca="true" t="shared" si="3" ref="L18:L33">L17</f>
        <v>0.05838349258020444</v>
      </c>
      <c r="M18" s="3">
        <f t="shared" si="2"/>
        <v>0.02463484862833009</v>
      </c>
      <c r="R18">
        <v>2005</v>
      </c>
      <c r="S18" s="3">
        <f>Heating!S18</f>
        <v>0</v>
      </c>
      <c r="T18" s="3">
        <f>Heating!T18</f>
        <v>0.8</v>
      </c>
      <c r="U18" s="3">
        <f t="shared" si="1"/>
        <v>0</v>
      </c>
    </row>
    <row r="19" spans="1:21" ht="12.75">
      <c r="A19">
        <v>2006</v>
      </c>
      <c r="B19" s="3">
        <v>1</v>
      </c>
      <c r="C19" s="2"/>
      <c r="D19" s="1">
        <f t="shared" si="0"/>
        <v>1</v>
      </c>
      <c r="E19" s="2">
        <v>0.52</v>
      </c>
      <c r="I19">
        <v>2006</v>
      </c>
      <c r="J19" s="13">
        <f>ESB!$F55</f>
        <v>0.014137949408176623</v>
      </c>
      <c r="K19" s="3">
        <f>ESB!$H55</f>
        <v>0.0960909022300271</v>
      </c>
      <c r="L19" s="2">
        <f t="shared" si="3"/>
        <v>0.05838349258020444</v>
      </c>
      <c r="M19" s="3">
        <f t="shared" si="2"/>
        <v>0.03770740964982266</v>
      </c>
      <c r="R19">
        <v>2006</v>
      </c>
      <c r="S19" s="3">
        <f>Heating!S19</f>
        <v>0</v>
      </c>
      <c r="T19" s="3">
        <f>Heating!T19</f>
        <v>0.8</v>
      </c>
      <c r="U19" s="3">
        <f t="shared" si="1"/>
        <v>0</v>
      </c>
    </row>
    <row r="20" spans="1:21" ht="12.75">
      <c r="A20">
        <v>2007</v>
      </c>
      <c r="B20" s="3">
        <v>1</v>
      </c>
      <c r="C20" s="2"/>
      <c r="D20" s="1">
        <f t="shared" si="0"/>
        <v>1</v>
      </c>
      <c r="E20" s="2">
        <v>0.52</v>
      </c>
      <c r="I20">
        <v>2007</v>
      </c>
      <c r="J20" s="13">
        <f>ESB!$F56</f>
        <v>0.015334911422818042</v>
      </c>
      <c r="K20" s="3">
        <f>ESB!$H56</f>
        <v>0.11019266288385172</v>
      </c>
      <c r="L20" s="2">
        <f t="shared" si="3"/>
        <v>0.05838349258020444</v>
      </c>
      <c r="M20" s="3">
        <f t="shared" si="2"/>
        <v>0.05180917030364728</v>
      </c>
      <c r="R20">
        <v>2007</v>
      </c>
      <c r="S20" s="3">
        <f>Heating!S20</f>
        <v>0</v>
      </c>
      <c r="T20" s="3">
        <f>Heating!T20</f>
        <v>0.8</v>
      </c>
      <c r="U20" s="3">
        <f t="shared" si="1"/>
        <v>0</v>
      </c>
    </row>
    <row r="21" spans="1:21" ht="12.75">
      <c r="A21">
        <v>2008</v>
      </c>
      <c r="B21" s="3">
        <v>1</v>
      </c>
      <c r="C21" s="2"/>
      <c r="D21" s="1">
        <f t="shared" si="0"/>
        <v>1</v>
      </c>
      <c r="E21" s="2">
        <v>0.52</v>
      </c>
      <c r="I21">
        <v>2008</v>
      </c>
      <c r="J21" s="13">
        <f>ESB!$F57</f>
        <v>0.016606250363415995</v>
      </c>
      <c r="K21" s="3">
        <f>ESB!$H57</f>
        <v>0.1253847922033486</v>
      </c>
      <c r="L21" s="2">
        <f t="shared" si="3"/>
        <v>0.05838349258020444</v>
      </c>
      <c r="M21" s="3">
        <f t="shared" si="2"/>
        <v>0.06700129962314416</v>
      </c>
      <c r="R21">
        <v>2008</v>
      </c>
      <c r="S21" s="3">
        <f>Heating!S21</f>
        <v>0</v>
      </c>
      <c r="T21" s="3">
        <f>Heating!T21</f>
        <v>0.8</v>
      </c>
      <c r="U21" s="3">
        <f t="shared" si="1"/>
        <v>0</v>
      </c>
    </row>
    <row r="22" spans="1:21" ht="12.75">
      <c r="A22">
        <v>2009</v>
      </c>
      <c r="B22" s="3">
        <v>1</v>
      </c>
      <c r="C22" s="2"/>
      <c r="D22" s="1">
        <f t="shared" si="0"/>
        <v>1</v>
      </c>
      <c r="E22" s="2">
        <v>0.52</v>
      </c>
      <c r="I22">
        <v>2009</v>
      </c>
      <c r="J22" s="13">
        <f>ESB!$F58</f>
        <v>0.01774810193308983</v>
      </c>
      <c r="K22" s="3">
        <f>ESB!$H58</f>
        <v>0.14152380993244681</v>
      </c>
      <c r="L22" s="2">
        <f t="shared" si="3"/>
        <v>0.05838349258020444</v>
      </c>
      <c r="M22" s="3">
        <f t="shared" si="2"/>
        <v>0.08314031735224237</v>
      </c>
      <c r="R22">
        <v>2009</v>
      </c>
      <c r="S22" s="3">
        <f>Heating!S22</f>
        <v>0</v>
      </c>
      <c r="T22" s="3">
        <f>Heating!T22</f>
        <v>0.8</v>
      </c>
      <c r="U22" s="3">
        <f t="shared" si="1"/>
        <v>0</v>
      </c>
    </row>
    <row r="23" spans="1:21" ht="12.75">
      <c r="A23">
        <v>2010</v>
      </c>
      <c r="B23" s="3">
        <v>1</v>
      </c>
      <c r="C23" s="2"/>
      <c r="D23" s="1">
        <f t="shared" si="0"/>
        <v>1</v>
      </c>
      <c r="E23" s="2">
        <v>0.52</v>
      </c>
      <c r="I23">
        <v>2010</v>
      </c>
      <c r="J23" s="13">
        <f>ESB!$F59</f>
        <v>0.018046589323554192</v>
      </c>
      <c r="K23" s="3">
        <f>ESB!$H59</f>
        <v>0.15775420031313647</v>
      </c>
      <c r="L23" s="2">
        <f t="shared" si="3"/>
        <v>0.05838349258020444</v>
      </c>
      <c r="M23" s="3">
        <f t="shared" si="2"/>
        <v>0.09937070773293202</v>
      </c>
      <c r="R23">
        <v>2010</v>
      </c>
      <c r="S23" s="3">
        <f>Heating!S23</f>
        <v>0.03</v>
      </c>
      <c r="T23" s="3">
        <f>Heating!T23</f>
        <v>0.8</v>
      </c>
      <c r="U23" s="3">
        <f t="shared" si="1"/>
        <v>0.024</v>
      </c>
    </row>
    <row r="24" spans="1:21" ht="12.75">
      <c r="A24">
        <v>2011</v>
      </c>
      <c r="B24" s="3">
        <v>1</v>
      </c>
      <c r="C24" s="2"/>
      <c r="D24" s="1">
        <f t="shared" si="0"/>
        <v>1</v>
      </c>
      <c r="E24" s="2">
        <v>0.52</v>
      </c>
      <c r="I24">
        <v>2011</v>
      </c>
      <c r="J24" s="13">
        <f>ESB!$F60</f>
        <v>0.018118460541308643</v>
      </c>
      <c r="K24" s="3">
        <f>ESB!$H60</f>
        <v>0.17384817457204554</v>
      </c>
      <c r="L24" s="2">
        <f t="shared" si="3"/>
        <v>0.05838349258020444</v>
      </c>
      <c r="M24" s="3">
        <f t="shared" si="2"/>
        <v>0.1154646819918411</v>
      </c>
      <c r="R24">
        <v>2011</v>
      </c>
      <c r="S24" s="3">
        <f>Heating!S24</f>
        <v>0.044</v>
      </c>
      <c r="T24" s="3">
        <f>Heating!T24</f>
        <v>0.8</v>
      </c>
      <c r="U24" s="3">
        <f t="shared" si="1"/>
        <v>0.0352</v>
      </c>
    </row>
    <row r="25" spans="1:21" ht="12.75">
      <c r="A25">
        <v>2012</v>
      </c>
      <c r="B25" s="3">
        <v>1</v>
      </c>
      <c r="C25" s="2"/>
      <c r="D25" s="1">
        <f t="shared" si="0"/>
        <v>1</v>
      </c>
      <c r="E25" s="2">
        <v>0.52</v>
      </c>
      <c r="I25">
        <v>2012</v>
      </c>
      <c r="J25" s="13">
        <f>ESB!$F61</f>
        <v>0.01854572556273556</v>
      </c>
      <c r="K25" s="3">
        <f>ESB!$H61</f>
        <v>0.19016287716396513</v>
      </c>
      <c r="L25" s="2">
        <f t="shared" si="3"/>
        <v>0.05838349258020444</v>
      </c>
      <c r="M25" s="3">
        <f t="shared" si="2"/>
        <v>0.13177938458376068</v>
      </c>
      <c r="R25">
        <v>2012</v>
      </c>
      <c r="S25" s="3">
        <f>Heating!S25</f>
        <v>0.057999999999999996</v>
      </c>
      <c r="T25" s="3">
        <f>Heating!T25</f>
        <v>0.8</v>
      </c>
      <c r="U25" s="3">
        <f t="shared" si="1"/>
        <v>0.0464</v>
      </c>
    </row>
    <row r="26" spans="1:21" ht="12.75">
      <c r="A26">
        <v>2013</v>
      </c>
      <c r="B26" s="3">
        <v>1</v>
      </c>
      <c r="C26" s="2"/>
      <c r="D26" s="1">
        <f t="shared" si="0"/>
        <v>1</v>
      </c>
      <c r="E26" s="2">
        <v>0.52</v>
      </c>
      <c r="I26">
        <v>2013</v>
      </c>
      <c r="J26" s="13">
        <f>ESB!$F62</f>
        <v>0.01821847831879872</v>
      </c>
      <c r="K26" s="3">
        <f>ESB!$H62</f>
        <v>0.20594096317957378</v>
      </c>
      <c r="L26" s="2">
        <f t="shared" si="3"/>
        <v>0.05838349258020444</v>
      </c>
      <c r="M26" s="3">
        <f t="shared" si="2"/>
        <v>0.14755747059936933</v>
      </c>
      <c r="R26">
        <v>2013</v>
      </c>
      <c r="S26" s="3">
        <f>Heating!S26</f>
        <v>0.072</v>
      </c>
      <c r="T26" s="3">
        <f>Heating!T26</f>
        <v>0.8</v>
      </c>
      <c r="U26" s="3">
        <f t="shared" si="1"/>
        <v>0.0576</v>
      </c>
    </row>
    <row r="27" spans="1:21" ht="12.75">
      <c r="A27">
        <v>2014</v>
      </c>
      <c r="B27" s="3">
        <v>1</v>
      </c>
      <c r="C27" s="2"/>
      <c r="D27" s="1">
        <f t="shared" si="0"/>
        <v>1</v>
      </c>
      <c r="E27" s="2">
        <v>0.52</v>
      </c>
      <c r="I27">
        <v>2014</v>
      </c>
      <c r="J27" s="13">
        <f>ESB!$F63</f>
        <v>0.0179266594516933</v>
      </c>
      <c r="K27" s="3">
        <f>ESB!$H63</f>
        <v>0.2212247474868106</v>
      </c>
      <c r="L27" s="2">
        <f t="shared" si="3"/>
        <v>0.05838349258020444</v>
      </c>
      <c r="M27" s="3">
        <f t="shared" si="2"/>
        <v>0.16284125490660614</v>
      </c>
      <c r="R27">
        <v>2014</v>
      </c>
      <c r="S27" s="3">
        <f>Heating!S27</f>
        <v>0.086</v>
      </c>
      <c r="T27" s="3">
        <f>Heating!T27</f>
        <v>0.8</v>
      </c>
      <c r="U27" s="3">
        <f t="shared" si="1"/>
        <v>0.0688</v>
      </c>
    </row>
    <row r="28" spans="1:21" ht="12.75">
      <c r="A28">
        <v>2015</v>
      </c>
      <c r="B28" s="3">
        <v>1</v>
      </c>
      <c r="C28" s="2"/>
      <c r="D28" s="1">
        <f t="shared" si="0"/>
        <v>1</v>
      </c>
      <c r="E28" s="2">
        <v>0.52</v>
      </c>
      <c r="I28">
        <v>2015</v>
      </c>
      <c r="J28" s="13">
        <f>ESB!$F64</f>
        <v>0.018155397704931762</v>
      </c>
      <c r="K28" s="3">
        <f>ESB!$H64</f>
        <v>0.23654113066328375</v>
      </c>
      <c r="L28" s="2">
        <f t="shared" si="3"/>
        <v>0.05838349258020444</v>
      </c>
      <c r="M28" s="3">
        <f t="shared" si="2"/>
        <v>0.1781576380830793</v>
      </c>
      <c r="R28">
        <v>2015</v>
      </c>
      <c r="S28" s="3">
        <f>Heating!S28</f>
        <v>0.1</v>
      </c>
      <c r="T28" s="3">
        <f>Heating!T28</f>
        <v>0.8</v>
      </c>
      <c r="U28" s="3">
        <f t="shared" si="1"/>
        <v>0.08000000000000002</v>
      </c>
    </row>
    <row r="29" spans="1:21" ht="12.75">
      <c r="A29">
        <v>2016</v>
      </c>
      <c r="B29" s="3">
        <v>1</v>
      </c>
      <c r="C29" s="2"/>
      <c r="D29" s="1">
        <f t="shared" si="0"/>
        <v>1</v>
      </c>
      <c r="E29" s="2">
        <v>0.52</v>
      </c>
      <c r="I29">
        <v>2016</v>
      </c>
      <c r="J29" s="13">
        <f>ESB!$F65</f>
        <v>0.01725142301907407</v>
      </c>
      <c r="K29" s="3">
        <f>ESB!$H65</f>
        <v>0.25075698142310543</v>
      </c>
      <c r="L29" s="2">
        <f t="shared" si="3"/>
        <v>0.05838349258020444</v>
      </c>
      <c r="M29" s="3">
        <f t="shared" si="2"/>
        <v>0.19237348884290098</v>
      </c>
      <c r="R29">
        <v>2016</v>
      </c>
      <c r="S29" s="3">
        <f>Heating!S29</f>
        <v>0.11</v>
      </c>
      <c r="T29" s="3">
        <f>Heating!T29</f>
        <v>0.8</v>
      </c>
      <c r="U29" s="3">
        <f t="shared" si="1"/>
        <v>0.08800000000000001</v>
      </c>
    </row>
    <row r="30" spans="1:21" ht="12.75">
      <c r="A30">
        <v>2017</v>
      </c>
      <c r="B30" s="3">
        <v>1</v>
      </c>
      <c r="C30" s="2"/>
      <c r="D30" s="1">
        <f t="shared" si="0"/>
        <v>1</v>
      </c>
      <c r="E30" s="2">
        <v>0.52</v>
      </c>
      <c r="I30">
        <v>2017</v>
      </c>
      <c r="J30" s="13">
        <f>ESB!$F66</f>
        <v>0.016403982740089966</v>
      </c>
      <c r="K30" s="3">
        <f>ESB!$H66</f>
        <v>0.263942957491428</v>
      </c>
      <c r="L30" s="2">
        <f t="shared" si="3"/>
        <v>0.05838349258020444</v>
      </c>
      <c r="M30" s="3">
        <f t="shared" si="2"/>
        <v>0.20555946491122354</v>
      </c>
      <c r="R30">
        <v>2017</v>
      </c>
      <c r="S30" s="3">
        <f>Heating!S30</f>
        <v>0.12</v>
      </c>
      <c r="T30" s="3">
        <f>Heating!T30</f>
        <v>0.8</v>
      </c>
      <c r="U30" s="3">
        <f t="shared" si="1"/>
        <v>0.096</v>
      </c>
    </row>
    <row r="31" spans="1:21" ht="12.75">
      <c r="A31">
        <v>2018</v>
      </c>
      <c r="B31" s="3">
        <v>1</v>
      </c>
      <c r="C31" s="2"/>
      <c r="D31" s="1">
        <f t="shared" si="0"/>
        <v>1</v>
      </c>
      <c r="E31" s="2">
        <v>0.52</v>
      </c>
      <c r="I31">
        <v>2018</v>
      </c>
      <c r="J31" s="13">
        <f>ESB!$F67</f>
        <v>0.015159749027870165</v>
      </c>
      <c r="K31" s="3">
        <f>ESB!$H67</f>
        <v>0.2757154819907804</v>
      </c>
      <c r="L31" s="2">
        <f t="shared" si="3"/>
        <v>0.05838349258020444</v>
      </c>
      <c r="M31" s="3">
        <f t="shared" si="2"/>
        <v>0.21733198941057594</v>
      </c>
      <c r="R31">
        <v>2018</v>
      </c>
      <c r="S31" s="3">
        <f>Heating!S31</f>
        <v>0.13</v>
      </c>
      <c r="T31" s="3">
        <f>Heating!T31</f>
        <v>0.8</v>
      </c>
      <c r="U31" s="3">
        <f t="shared" si="1"/>
        <v>0.10400000000000001</v>
      </c>
    </row>
    <row r="32" spans="1:21" ht="12.75">
      <c r="A32">
        <v>2019</v>
      </c>
      <c r="B32" s="3">
        <v>1</v>
      </c>
      <c r="C32" s="2"/>
      <c r="D32" s="1">
        <f t="shared" si="0"/>
        <v>1</v>
      </c>
      <c r="E32" s="2">
        <v>0.52</v>
      </c>
      <c r="I32">
        <v>2019</v>
      </c>
      <c r="J32" s="13">
        <f>ESB!$F68</f>
        <v>0.013952230831663982</v>
      </c>
      <c r="K32" s="3">
        <f>ESB!$H68</f>
        <v>0.2861294094997591</v>
      </c>
      <c r="L32" s="2">
        <f t="shared" si="3"/>
        <v>0.05838349258020444</v>
      </c>
      <c r="M32" s="3">
        <f t="shared" si="2"/>
        <v>0.22774591691955468</v>
      </c>
      <c r="R32">
        <v>2019</v>
      </c>
      <c r="S32" s="3">
        <f>Heating!S32</f>
        <v>0.14</v>
      </c>
      <c r="T32" s="3">
        <f>Heating!T32</f>
        <v>0.8</v>
      </c>
      <c r="U32" s="3">
        <f t="shared" si="1"/>
        <v>0.11200000000000002</v>
      </c>
    </row>
    <row r="33" spans="1:21" ht="12.75">
      <c r="A33">
        <v>2020</v>
      </c>
      <c r="B33" s="3">
        <v>1</v>
      </c>
      <c r="C33" s="2"/>
      <c r="D33" s="1">
        <f t="shared" si="0"/>
        <v>1</v>
      </c>
      <c r="E33" s="2">
        <v>0.52</v>
      </c>
      <c r="I33">
        <v>2020</v>
      </c>
      <c r="J33" s="13">
        <f>ESB!$F69</f>
        <v>0.012824627503788514</v>
      </c>
      <c r="K33" s="3">
        <f>ESB!$H69</f>
        <v>0.29528208999121114</v>
      </c>
      <c r="L33" s="2">
        <f t="shared" si="3"/>
        <v>0.05838349258020444</v>
      </c>
      <c r="M33" s="3">
        <f t="shared" si="2"/>
        <v>0.2368985974110067</v>
      </c>
      <c r="R33">
        <v>2020</v>
      </c>
      <c r="S33" s="3">
        <f>Heating!S33</f>
        <v>0.15</v>
      </c>
      <c r="T33" s="3">
        <f>Heating!T33</f>
        <v>0.8</v>
      </c>
      <c r="U33" s="3">
        <f t="shared" si="1"/>
        <v>0.12</v>
      </c>
    </row>
  </sheetData>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AC33"/>
  <sheetViews>
    <sheetView workbookViewId="0" topLeftCell="G1">
      <selection activeCell="T8" sqref="T8"/>
    </sheetView>
  </sheetViews>
  <sheetFormatPr defaultColWidth="9.33203125" defaultRowHeight="12.75"/>
  <cols>
    <col min="1" max="16384" width="9" style="0" customWidth="1"/>
  </cols>
  <sheetData>
    <row r="1" spans="1:25" ht="18.75">
      <c r="A1" s="4" t="s">
        <v>232</v>
      </c>
      <c r="H1" s="4" t="s">
        <v>260</v>
      </c>
      <c r="R1" s="4" t="s">
        <v>93</v>
      </c>
      <c r="Y1" s="4" t="s">
        <v>94</v>
      </c>
    </row>
    <row r="2" spans="8:27" ht="12.75">
      <c r="H2" t="s">
        <v>261</v>
      </c>
      <c r="K2" s="2">
        <v>0.9839</v>
      </c>
      <c r="L2" t="s">
        <v>265</v>
      </c>
      <c r="M2" s="7" t="s">
        <v>269</v>
      </c>
      <c r="P2" t="s">
        <v>233</v>
      </c>
      <c r="T2" s="2"/>
      <c r="V2" s="7"/>
      <c r="AA2" s="2"/>
    </row>
    <row r="3" spans="1:27" ht="12.75">
      <c r="A3" t="s">
        <v>218</v>
      </c>
      <c r="C3" s="7">
        <v>3017</v>
      </c>
      <c r="D3" t="s">
        <v>220</v>
      </c>
      <c r="E3" t="s">
        <v>95</v>
      </c>
      <c r="G3" t="s">
        <v>233</v>
      </c>
      <c r="H3" t="s">
        <v>266</v>
      </c>
      <c r="K3" s="2">
        <v>0.9729</v>
      </c>
      <c r="L3" t="s">
        <v>265</v>
      </c>
      <c r="M3" t="s">
        <v>270</v>
      </c>
      <c r="P3" t="s">
        <v>233</v>
      </c>
      <c r="T3" s="2"/>
      <c r="AA3" s="2"/>
    </row>
    <row r="4" spans="1:29" ht="12.75">
      <c r="A4" t="s">
        <v>219</v>
      </c>
      <c r="C4" s="10">
        <f>C3-1945</f>
        <v>1072</v>
      </c>
      <c r="D4" t="s">
        <v>220</v>
      </c>
      <c r="E4" t="s">
        <v>95</v>
      </c>
      <c r="G4" t="s">
        <v>233</v>
      </c>
      <c r="H4" t="s">
        <v>267</v>
      </c>
      <c r="K4" s="10">
        <f>'[1]Savings Calcs'!$F$5*'[1]Savings Calcs'!$H$5*'[1]Savings Calcs'!$I$5*(1-K3)</f>
        <v>3738.987000000001</v>
      </c>
      <c r="L4" t="s">
        <v>220</v>
      </c>
      <c r="M4" t="s">
        <v>270</v>
      </c>
      <c r="P4" t="s">
        <v>233</v>
      </c>
      <c r="R4" t="s">
        <v>267</v>
      </c>
      <c r="T4" s="10">
        <v>14034</v>
      </c>
      <c r="U4" t="s">
        <v>220</v>
      </c>
      <c r="V4" t="s">
        <v>95</v>
      </c>
      <c r="X4" t="s">
        <v>233</v>
      </c>
      <c r="Y4" t="s">
        <v>267</v>
      </c>
      <c r="AA4" s="10">
        <v>350</v>
      </c>
      <c r="AB4" t="s">
        <v>220</v>
      </c>
      <c r="AC4" t="s">
        <v>95</v>
      </c>
    </row>
    <row r="5" spans="1:28" ht="12.75">
      <c r="A5" t="s">
        <v>224</v>
      </c>
      <c r="C5">
        <v>30</v>
      </c>
      <c r="D5" t="s">
        <v>225</v>
      </c>
      <c r="E5" t="s">
        <v>95</v>
      </c>
      <c r="G5" t="s">
        <v>233</v>
      </c>
      <c r="H5" t="s">
        <v>268</v>
      </c>
      <c r="K5" s="10">
        <f>'[1]Savings Calcs'!$F$5*'[1]Savings Calcs'!$H$5*'[1]Savings Calcs'!$I$5*(1-K2)</f>
        <v>2221.317</v>
      </c>
      <c r="L5" t="s">
        <v>220</v>
      </c>
      <c r="M5" t="s">
        <v>270</v>
      </c>
      <c r="P5" t="s">
        <v>233</v>
      </c>
      <c r="R5" t="s">
        <v>268</v>
      </c>
      <c r="T5" s="10">
        <v>1493</v>
      </c>
      <c r="U5" t="s">
        <v>220</v>
      </c>
      <c r="V5" t="s">
        <v>95</v>
      </c>
      <c r="X5" t="s">
        <v>233</v>
      </c>
      <c r="Y5" t="s">
        <v>268</v>
      </c>
      <c r="AA5" s="10">
        <f>AA4-AA6</f>
        <v>26</v>
      </c>
      <c r="AB5" t="s">
        <v>220</v>
      </c>
    </row>
    <row r="6" spans="1:29" ht="12.75">
      <c r="A6" t="s">
        <v>223</v>
      </c>
      <c r="C6" s="11">
        <f>'[2]Misc-Elec'!$F$27</f>
        <v>201.76666594737674</v>
      </c>
      <c r="D6" t="s">
        <v>226</v>
      </c>
      <c r="E6" t="s">
        <v>95</v>
      </c>
      <c r="G6" t="s">
        <v>233</v>
      </c>
      <c r="H6" t="s">
        <v>219</v>
      </c>
      <c r="K6" s="10">
        <f>'[1]Savings Calcs'!$F$5*'[1]Savings Calcs'!$H$5*'[1]Savings Calcs'!$I$5*(K2-K3)</f>
        <v>1517.670000000001</v>
      </c>
      <c r="L6" t="s">
        <v>220</v>
      </c>
      <c r="R6" t="s">
        <v>219</v>
      </c>
      <c r="T6" s="10">
        <f>T4-T5</f>
        <v>12541</v>
      </c>
      <c r="U6" t="s">
        <v>220</v>
      </c>
      <c r="V6" t="s">
        <v>95</v>
      </c>
      <c r="X6" t="s">
        <v>233</v>
      </c>
      <c r="Y6" t="s">
        <v>219</v>
      </c>
      <c r="AA6" s="10">
        <v>324</v>
      </c>
      <c r="AB6" t="s">
        <v>220</v>
      </c>
      <c r="AC6" t="s">
        <v>95</v>
      </c>
    </row>
    <row r="7" spans="1:28" ht="12.75">
      <c r="A7" t="s">
        <v>230</v>
      </c>
      <c r="C7" s="8">
        <f>-PMT(discount_rate,C5,C6)/C4</f>
        <v>0.015167583915230301</v>
      </c>
      <c r="H7" t="s">
        <v>224</v>
      </c>
      <c r="K7">
        <v>30</v>
      </c>
      <c r="L7" t="s">
        <v>225</v>
      </c>
      <c r="M7" t="s">
        <v>90</v>
      </c>
      <c r="P7" t="s">
        <v>233</v>
      </c>
      <c r="R7" t="s">
        <v>224</v>
      </c>
      <c r="T7">
        <v>10</v>
      </c>
      <c r="U7" t="s">
        <v>225</v>
      </c>
      <c r="V7" t="s">
        <v>95</v>
      </c>
      <c r="X7" t="s">
        <v>233</v>
      </c>
      <c r="Y7" t="s">
        <v>224</v>
      </c>
      <c r="AA7">
        <v>10</v>
      </c>
      <c r="AB7" t="s">
        <v>225</v>
      </c>
    </row>
    <row r="8" spans="1:29" ht="12.75">
      <c r="A8" t="s">
        <v>231</v>
      </c>
      <c r="C8" s="16" t="s">
        <v>155</v>
      </c>
      <c r="H8" t="s">
        <v>223</v>
      </c>
      <c r="K8" s="11">
        <f>'[2]Misc-Elec'!$F$30</f>
        <v>121.05999956842606</v>
      </c>
      <c r="L8" t="s">
        <v>226</v>
      </c>
      <c r="R8" t="s">
        <v>223</v>
      </c>
      <c r="T8" s="97">
        <f>2880/('[7]Sheet1'!$B$77/'[7]Sheet1'!$B$76)</f>
        <v>2823.529411764706</v>
      </c>
      <c r="U8" t="s">
        <v>226</v>
      </c>
      <c r="V8" t="s">
        <v>95</v>
      </c>
      <c r="X8" t="s">
        <v>233</v>
      </c>
      <c r="Y8" t="s">
        <v>223</v>
      </c>
      <c r="AA8" s="97">
        <f>45/('[7]Sheet1'!$B$77/'[7]Sheet1'!$B$76)</f>
        <v>44.11764705882353</v>
      </c>
      <c r="AB8" t="s">
        <v>226</v>
      </c>
      <c r="AC8" t="s">
        <v>95</v>
      </c>
    </row>
    <row r="9" spans="8:27" ht="12.75">
      <c r="H9" t="s">
        <v>230</v>
      </c>
      <c r="K9" s="8">
        <f>-PMT(discount_rate,K7,K8)/K6</f>
        <v>0.006428136534474638</v>
      </c>
      <c r="R9" t="s">
        <v>230</v>
      </c>
      <c r="T9" s="8">
        <f>-PMT(discount_rate,T7,T8)/T6</f>
        <v>0.03205542353275846</v>
      </c>
      <c r="Y9" t="s">
        <v>230</v>
      </c>
      <c r="AA9" s="8">
        <f>-PMT(discount_rate,AA7,AA8)/AA6</f>
        <v>0.01938691485939062</v>
      </c>
    </row>
    <row r="10" spans="8:27" ht="12.75">
      <c r="H10" t="s">
        <v>264</v>
      </c>
      <c r="K10">
        <v>1998</v>
      </c>
      <c r="R10" t="s">
        <v>264</v>
      </c>
      <c r="T10">
        <v>2003</v>
      </c>
      <c r="Y10" t="s">
        <v>264</v>
      </c>
      <c r="AA10">
        <v>1997</v>
      </c>
    </row>
    <row r="11" spans="2:26" ht="12.75">
      <c r="B11" s="6" t="str">
        <f>C8</f>
        <v>NA</v>
      </c>
      <c r="J11" s="6" t="s">
        <v>262</v>
      </c>
      <c r="M11" t="s">
        <v>140</v>
      </c>
      <c r="S11" s="6" t="s">
        <v>262</v>
      </c>
      <c r="Z11" s="6" t="s">
        <v>262</v>
      </c>
    </row>
    <row r="12" spans="2:26" ht="12.75">
      <c r="B12" s="6" t="s">
        <v>222</v>
      </c>
      <c r="J12" s="6" t="s">
        <v>263</v>
      </c>
      <c r="M12" t="s">
        <v>263</v>
      </c>
      <c r="S12" s="6" t="s">
        <v>263</v>
      </c>
      <c r="Z12" s="6" t="s">
        <v>263</v>
      </c>
    </row>
    <row r="13" spans="1:27" ht="12.75">
      <c r="A13">
        <v>2000</v>
      </c>
      <c r="B13" s="3">
        <f>IF($C$8="NA",0,IF(A13&lt;$C$8,0,1))</f>
        <v>0</v>
      </c>
      <c r="C13" s="3"/>
      <c r="H13">
        <v>2000</v>
      </c>
      <c r="I13" s="3">
        <v>0.09</v>
      </c>
      <c r="J13" s="3">
        <f>IF($C$8="NA",I13,IF(H13&lt;$C$8,I13,0))</f>
        <v>0.09</v>
      </c>
      <c r="K13" s="3"/>
      <c r="M13" s="3">
        <f>B13+J13</f>
        <v>0.09</v>
      </c>
      <c r="R13">
        <v>2000</v>
      </c>
      <c r="S13" s="3"/>
      <c r="T13" s="3"/>
      <c r="Y13">
        <v>2000</v>
      </c>
      <c r="Z13" s="3">
        <v>0.05</v>
      </c>
      <c r="AA13" s="3"/>
    </row>
    <row r="14" spans="1:27" ht="12.75">
      <c r="A14">
        <v>2001</v>
      </c>
      <c r="B14" s="3">
        <f aca="true" t="shared" si="0" ref="B14:B33">IF($C$8="NA",0,IF(A14&lt;$C$8,0,1))</f>
        <v>0</v>
      </c>
      <c r="C14" s="3"/>
      <c r="H14">
        <v>2001</v>
      </c>
      <c r="I14" s="3">
        <f>I13+(I$23-I$13)/(H$23-H$13)</f>
        <v>0.121</v>
      </c>
      <c r="J14" s="3">
        <f aca="true" t="shared" si="1" ref="J14:J33">IF($C$8="NA",I14,IF(H14&lt;$C$8,I14,0))</f>
        <v>0.121</v>
      </c>
      <c r="K14" s="3"/>
      <c r="M14" s="3">
        <f aca="true" t="shared" si="2" ref="M14:M33">B14+J14</f>
        <v>0.121</v>
      </c>
      <c r="R14">
        <v>2001</v>
      </c>
      <c r="S14" s="3"/>
      <c r="T14" s="3"/>
      <c r="Y14">
        <v>2001</v>
      </c>
      <c r="Z14" s="3">
        <f aca="true" t="shared" si="3" ref="Z14:Z21">Z13+(Z$23-Z$13)/(Y$23-Y$13)</f>
        <v>0.105</v>
      </c>
      <c r="AA14" s="3"/>
    </row>
    <row r="15" spans="1:27" ht="12.75">
      <c r="A15">
        <v>2002</v>
      </c>
      <c r="B15" s="3">
        <f t="shared" si="0"/>
        <v>0</v>
      </c>
      <c r="C15" s="3"/>
      <c r="E15" s="1"/>
      <c r="H15">
        <v>2002</v>
      </c>
      <c r="I15" s="3">
        <f aca="true" t="shared" si="4" ref="I15:I22">I14+(I$23-I$13)/(H$23-H$13)</f>
        <v>0.152</v>
      </c>
      <c r="J15" s="3">
        <f t="shared" si="1"/>
        <v>0.152</v>
      </c>
      <c r="K15" s="3"/>
      <c r="M15" s="3">
        <f t="shared" si="2"/>
        <v>0.152</v>
      </c>
      <c r="R15">
        <v>2002</v>
      </c>
      <c r="S15" s="3"/>
      <c r="T15" s="3"/>
      <c r="V15" s="1"/>
      <c r="Y15">
        <v>2002</v>
      </c>
      <c r="Z15" s="3">
        <f t="shared" si="3"/>
        <v>0.15999999999999998</v>
      </c>
      <c r="AA15" s="3"/>
    </row>
    <row r="16" spans="1:28" ht="12.75">
      <c r="A16">
        <v>2003</v>
      </c>
      <c r="B16" s="3">
        <f t="shared" si="0"/>
        <v>0</v>
      </c>
      <c r="C16" s="2"/>
      <c r="D16" s="1"/>
      <c r="E16" s="1"/>
      <c r="H16">
        <v>2003</v>
      </c>
      <c r="I16" s="3">
        <f t="shared" si="4"/>
        <v>0.183</v>
      </c>
      <c r="J16" s="3">
        <f t="shared" si="1"/>
        <v>0.183</v>
      </c>
      <c r="K16" s="2"/>
      <c r="L16" s="1"/>
      <c r="M16" s="3">
        <f t="shared" si="2"/>
        <v>0.183</v>
      </c>
      <c r="R16">
        <v>2003</v>
      </c>
      <c r="S16" s="3">
        <v>0.1</v>
      </c>
      <c r="T16" s="2"/>
      <c r="U16" s="1"/>
      <c r="V16" s="1"/>
      <c r="Y16">
        <v>2003</v>
      </c>
      <c r="Z16" s="3">
        <f t="shared" si="3"/>
        <v>0.21499999999999997</v>
      </c>
      <c r="AA16" s="2"/>
      <c r="AB16" s="1"/>
    </row>
    <row r="17" spans="1:27" ht="12.75">
      <c r="A17">
        <v>2004</v>
      </c>
      <c r="B17" s="3">
        <f t="shared" si="0"/>
        <v>0</v>
      </c>
      <c r="C17" s="2"/>
      <c r="H17">
        <v>2004</v>
      </c>
      <c r="I17" s="3">
        <f t="shared" si="4"/>
        <v>0.214</v>
      </c>
      <c r="J17" s="3">
        <f t="shared" si="1"/>
        <v>0.214</v>
      </c>
      <c r="K17" s="2"/>
      <c r="M17" s="3">
        <f t="shared" si="2"/>
        <v>0.214</v>
      </c>
      <c r="R17">
        <v>2004</v>
      </c>
      <c r="S17" s="3">
        <f aca="true" t="shared" si="5" ref="S17:S22">S16+(S$23-S$16)/(R$23-R$16)</f>
        <v>0.17142857142857143</v>
      </c>
      <c r="T17" s="2"/>
      <c r="Y17">
        <v>2004</v>
      </c>
      <c r="Z17" s="3">
        <f t="shared" si="3"/>
        <v>0.26999999999999996</v>
      </c>
      <c r="AA17" s="2"/>
    </row>
    <row r="18" spans="1:27" ht="12.75">
      <c r="A18">
        <v>2005</v>
      </c>
      <c r="B18" s="3">
        <f t="shared" si="0"/>
        <v>0</v>
      </c>
      <c r="C18" s="2"/>
      <c r="H18">
        <v>2005</v>
      </c>
      <c r="I18" s="3">
        <f t="shared" si="4"/>
        <v>0.245</v>
      </c>
      <c r="J18" s="3">
        <f t="shared" si="1"/>
        <v>0.245</v>
      </c>
      <c r="K18" s="2"/>
      <c r="M18" s="3">
        <f t="shared" si="2"/>
        <v>0.245</v>
      </c>
      <c r="R18">
        <v>2005</v>
      </c>
      <c r="S18" s="3">
        <f t="shared" si="5"/>
        <v>0.24285714285714285</v>
      </c>
      <c r="T18" s="2"/>
      <c r="Y18">
        <v>2005</v>
      </c>
      <c r="Z18" s="3">
        <f t="shared" si="3"/>
        <v>0.32499999999999996</v>
      </c>
      <c r="AA18" s="2"/>
    </row>
    <row r="19" spans="1:27" ht="12.75">
      <c r="A19">
        <v>2006</v>
      </c>
      <c r="B19" s="3">
        <f t="shared" si="0"/>
        <v>0</v>
      </c>
      <c r="C19" s="2"/>
      <c r="H19">
        <v>2006</v>
      </c>
      <c r="I19" s="3">
        <f t="shared" si="4"/>
        <v>0.276</v>
      </c>
      <c r="J19" s="3">
        <f t="shared" si="1"/>
        <v>0.276</v>
      </c>
      <c r="K19" s="2"/>
      <c r="M19" s="3">
        <f t="shared" si="2"/>
        <v>0.276</v>
      </c>
      <c r="R19">
        <v>2006</v>
      </c>
      <c r="S19" s="3">
        <f t="shared" si="5"/>
        <v>0.3142857142857143</v>
      </c>
      <c r="T19" s="2"/>
      <c r="Y19">
        <v>2006</v>
      </c>
      <c r="Z19" s="3">
        <f t="shared" si="3"/>
        <v>0.37999999999999995</v>
      </c>
      <c r="AA19" s="2"/>
    </row>
    <row r="20" spans="1:27" ht="12.75">
      <c r="A20">
        <v>2007</v>
      </c>
      <c r="B20" s="3">
        <f t="shared" si="0"/>
        <v>0</v>
      </c>
      <c r="C20" s="2"/>
      <c r="H20">
        <v>2007</v>
      </c>
      <c r="I20" s="3">
        <f t="shared" si="4"/>
        <v>0.30700000000000005</v>
      </c>
      <c r="J20" s="3">
        <f t="shared" si="1"/>
        <v>0.30700000000000005</v>
      </c>
      <c r="K20" s="2"/>
      <c r="M20" s="3">
        <f t="shared" si="2"/>
        <v>0.30700000000000005</v>
      </c>
      <c r="R20">
        <v>2007</v>
      </c>
      <c r="S20" s="3">
        <f t="shared" si="5"/>
        <v>0.3857142857142857</v>
      </c>
      <c r="T20" s="2"/>
      <c r="Y20">
        <v>2007</v>
      </c>
      <c r="Z20" s="3">
        <f t="shared" si="3"/>
        <v>0.43499999999999994</v>
      </c>
      <c r="AA20" s="2"/>
    </row>
    <row r="21" spans="1:27" ht="12.75">
      <c r="A21">
        <v>2008</v>
      </c>
      <c r="B21" s="3">
        <f t="shared" si="0"/>
        <v>0</v>
      </c>
      <c r="C21" s="2"/>
      <c r="H21">
        <v>2008</v>
      </c>
      <c r="I21" s="3">
        <f t="shared" si="4"/>
        <v>0.3380000000000001</v>
      </c>
      <c r="J21" s="3">
        <f t="shared" si="1"/>
        <v>0.3380000000000001</v>
      </c>
      <c r="K21" s="2"/>
      <c r="M21" s="3">
        <f t="shared" si="2"/>
        <v>0.3380000000000001</v>
      </c>
      <c r="R21">
        <v>2008</v>
      </c>
      <c r="S21" s="3">
        <f t="shared" si="5"/>
        <v>0.4571428571428571</v>
      </c>
      <c r="T21" s="2"/>
      <c r="Y21">
        <v>2008</v>
      </c>
      <c r="Z21" s="3">
        <f t="shared" si="3"/>
        <v>0.48999999999999994</v>
      </c>
      <c r="AA21" s="2"/>
    </row>
    <row r="22" spans="1:27" ht="12.75">
      <c r="A22">
        <v>2009</v>
      </c>
      <c r="B22" s="3">
        <f t="shared" si="0"/>
        <v>0</v>
      </c>
      <c r="C22" s="2"/>
      <c r="H22">
        <v>2009</v>
      </c>
      <c r="I22" s="3">
        <f t="shared" si="4"/>
        <v>0.3690000000000001</v>
      </c>
      <c r="J22" s="3">
        <f t="shared" si="1"/>
        <v>0.3690000000000001</v>
      </c>
      <c r="K22" s="2"/>
      <c r="M22" s="3">
        <f t="shared" si="2"/>
        <v>0.3690000000000001</v>
      </c>
      <c r="R22">
        <v>2009</v>
      </c>
      <c r="S22" s="3">
        <f t="shared" si="5"/>
        <v>0.5285714285714285</v>
      </c>
      <c r="T22" s="2"/>
      <c r="Y22">
        <v>2009</v>
      </c>
      <c r="Z22" s="3">
        <f>Z21+(Z$23-Z$13)/(Y$23-Y$13)</f>
        <v>0.5449999999999999</v>
      </c>
      <c r="AA22" s="2"/>
    </row>
    <row r="23" spans="1:27" ht="12.75">
      <c r="A23">
        <v>2010</v>
      </c>
      <c r="B23" s="3">
        <f t="shared" si="0"/>
        <v>0</v>
      </c>
      <c r="C23" s="2"/>
      <c r="H23">
        <v>2010</v>
      </c>
      <c r="I23" s="3">
        <v>0.4</v>
      </c>
      <c r="J23" s="3">
        <f t="shared" si="1"/>
        <v>0.4</v>
      </c>
      <c r="K23" s="2"/>
      <c r="M23" s="3">
        <f t="shared" si="2"/>
        <v>0.4</v>
      </c>
      <c r="R23">
        <v>2010</v>
      </c>
      <c r="S23" s="3">
        <v>0.6</v>
      </c>
      <c r="T23" s="2"/>
      <c r="Y23">
        <v>2010</v>
      </c>
      <c r="Z23" s="3">
        <v>0.6</v>
      </c>
      <c r="AA23" s="2"/>
    </row>
    <row r="24" spans="1:27" ht="12.75">
      <c r="A24">
        <v>2011</v>
      </c>
      <c r="B24" s="3">
        <f t="shared" si="0"/>
        <v>0</v>
      </c>
      <c r="C24" s="2"/>
      <c r="H24">
        <v>2011</v>
      </c>
      <c r="I24" s="3">
        <f>I23+(I$33-I$23)/(H$33-H$23)</f>
        <v>0.41500000000000004</v>
      </c>
      <c r="J24" s="3">
        <f t="shared" si="1"/>
        <v>0.41500000000000004</v>
      </c>
      <c r="K24" s="2"/>
      <c r="M24" s="3">
        <f t="shared" si="2"/>
        <v>0.41500000000000004</v>
      </c>
      <c r="R24">
        <v>2011</v>
      </c>
      <c r="S24" s="3">
        <f>S23+(S$33-S$23)/(R$33-R$23)</f>
        <v>0.62</v>
      </c>
      <c r="T24" s="2"/>
      <c r="Y24">
        <v>2011</v>
      </c>
      <c r="Z24" s="3">
        <f>Z23+(Z$33-Z$23)/(Y$33-Y$23)</f>
        <v>0.62</v>
      </c>
      <c r="AA24" s="2"/>
    </row>
    <row r="25" spans="1:27" ht="12.75">
      <c r="A25">
        <v>2012</v>
      </c>
      <c r="B25" s="3">
        <f t="shared" si="0"/>
        <v>0</v>
      </c>
      <c r="C25" s="2"/>
      <c r="H25">
        <v>2012</v>
      </c>
      <c r="I25" s="3">
        <f aca="true" t="shared" si="6" ref="I25:I32">I24+(I$33-I$23)/(H$33-H$23)</f>
        <v>0.43000000000000005</v>
      </c>
      <c r="J25" s="3">
        <f t="shared" si="1"/>
        <v>0.43000000000000005</v>
      </c>
      <c r="K25" s="2"/>
      <c r="M25" s="3">
        <f t="shared" si="2"/>
        <v>0.43000000000000005</v>
      </c>
      <c r="R25">
        <v>2012</v>
      </c>
      <c r="S25" s="3">
        <f aca="true" t="shared" si="7" ref="S25:S32">S24+(S$33-S$23)/(R$33-R$23)</f>
        <v>0.64</v>
      </c>
      <c r="T25" s="2"/>
      <c r="Y25">
        <v>2012</v>
      </c>
      <c r="Z25" s="3">
        <f aca="true" t="shared" si="8" ref="Z25:Z32">Z24+(Z$33-Z$23)/(Y$33-Y$23)</f>
        <v>0.64</v>
      </c>
      <c r="AA25" s="2"/>
    </row>
    <row r="26" spans="1:27" ht="12.75">
      <c r="A26">
        <v>2013</v>
      </c>
      <c r="B26" s="3">
        <f t="shared" si="0"/>
        <v>0</v>
      </c>
      <c r="C26" s="2"/>
      <c r="H26">
        <v>2013</v>
      </c>
      <c r="I26" s="3">
        <f t="shared" si="6"/>
        <v>0.44500000000000006</v>
      </c>
      <c r="J26" s="3">
        <f t="shared" si="1"/>
        <v>0.44500000000000006</v>
      </c>
      <c r="K26" s="2"/>
      <c r="M26" s="3">
        <f t="shared" si="2"/>
        <v>0.44500000000000006</v>
      </c>
      <c r="R26">
        <v>2013</v>
      </c>
      <c r="S26" s="3">
        <f t="shared" si="7"/>
        <v>0.66</v>
      </c>
      <c r="T26" s="2"/>
      <c r="Y26">
        <v>2013</v>
      </c>
      <c r="Z26" s="3">
        <f t="shared" si="8"/>
        <v>0.66</v>
      </c>
      <c r="AA26" s="2"/>
    </row>
    <row r="27" spans="1:27" ht="12.75">
      <c r="A27">
        <v>2014</v>
      </c>
      <c r="B27" s="3">
        <f t="shared" si="0"/>
        <v>0</v>
      </c>
      <c r="C27" s="2"/>
      <c r="H27">
        <v>2014</v>
      </c>
      <c r="I27" s="3">
        <f t="shared" si="6"/>
        <v>0.4600000000000001</v>
      </c>
      <c r="J27" s="3">
        <f t="shared" si="1"/>
        <v>0.4600000000000001</v>
      </c>
      <c r="K27" s="2"/>
      <c r="M27" s="3">
        <f t="shared" si="2"/>
        <v>0.4600000000000001</v>
      </c>
      <c r="R27">
        <v>2014</v>
      </c>
      <c r="S27" s="3">
        <f t="shared" si="7"/>
        <v>0.68</v>
      </c>
      <c r="T27" s="2"/>
      <c r="Y27">
        <v>2014</v>
      </c>
      <c r="Z27" s="3">
        <f t="shared" si="8"/>
        <v>0.68</v>
      </c>
      <c r="AA27" s="2"/>
    </row>
    <row r="28" spans="1:27" ht="12.75">
      <c r="A28">
        <v>2015</v>
      </c>
      <c r="B28" s="3">
        <f t="shared" si="0"/>
        <v>0</v>
      </c>
      <c r="C28" s="2"/>
      <c r="H28">
        <v>2015</v>
      </c>
      <c r="I28" s="3">
        <f t="shared" si="6"/>
        <v>0.4750000000000001</v>
      </c>
      <c r="J28" s="3">
        <f t="shared" si="1"/>
        <v>0.4750000000000001</v>
      </c>
      <c r="K28" s="2"/>
      <c r="M28" s="3">
        <f t="shared" si="2"/>
        <v>0.4750000000000001</v>
      </c>
      <c r="R28">
        <v>2015</v>
      </c>
      <c r="S28" s="3">
        <f t="shared" si="7"/>
        <v>0.7000000000000001</v>
      </c>
      <c r="T28" s="2"/>
      <c r="Y28">
        <v>2015</v>
      </c>
      <c r="Z28" s="3">
        <f t="shared" si="8"/>
        <v>0.7000000000000001</v>
      </c>
      <c r="AA28" s="2"/>
    </row>
    <row r="29" spans="1:27" ht="12.75">
      <c r="A29">
        <v>2016</v>
      </c>
      <c r="B29" s="3">
        <f t="shared" si="0"/>
        <v>0</v>
      </c>
      <c r="C29" s="2"/>
      <c r="H29">
        <v>2016</v>
      </c>
      <c r="I29" s="3">
        <f t="shared" si="6"/>
        <v>0.4900000000000001</v>
      </c>
      <c r="J29" s="3">
        <f t="shared" si="1"/>
        <v>0.4900000000000001</v>
      </c>
      <c r="K29" s="2"/>
      <c r="M29" s="3">
        <f t="shared" si="2"/>
        <v>0.4900000000000001</v>
      </c>
      <c r="R29">
        <v>2016</v>
      </c>
      <c r="S29" s="3">
        <f t="shared" si="7"/>
        <v>0.7200000000000001</v>
      </c>
      <c r="T29" s="2"/>
      <c r="Y29">
        <v>2016</v>
      </c>
      <c r="Z29" s="3">
        <f t="shared" si="8"/>
        <v>0.7200000000000001</v>
      </c>
      <c r="AA29" s="2"/>
    </row>
    <row r="30" spans="1:27" ht="12.75">
      <c r="A30">
        <v>2017</v>
      </c>
      <c r="B30" s="3">
        <f t="shared" si="0"/>
        <v>0</v>
      </c>
      <c r="C30" s="2"/>
      <c r="H30">
        <v>2017</v>
      </c>
      <c r="I30" s="3">
        <f t="shared" si="6"/>
        <v>0.5050000000000001</v>
      </c>
      <c r="J30" s="3">
        <f t="shared" si="1"/>
        <v>0.5050000000000001</v>
      </c>
      <c r="K30" s="2"/>
      <c r="M30" s="3">
        <f t="shared" si="2"/>
        <v>0.5050000000000001</v>
      </c>
      <c r="R30">
        <v>2017</v>
      </c>
      <c r="S30" s="3">
        <f t="shared" si="7"/>
        <v>0.7400000000000001</v>
      </c>
      <c r="T30" s="2"/>
      <c r="Y30">
        <v>2017</v>
      </c>
      <c r="Z30" s="3">
        <f t="shared" si="8"/>
        <v>0.7400000000000001</v>
      </c>
      <c r="AA30" s="2"/>
    </row>
    <row r="31" spans="1:27" ht="12.75">
      <c r="A31">
        <v>2018</v>
      </c>
      <c r="B31" s="3">
        <f t="shared" si="0"/>
        <v>0</v>
      </c>
      <c r="C31" s="2"/>
      <c r="H31">
        <v>2018</v>
      </c>
      <c r="I31" s="3">
        <f t="shared" si="6"/>
        <v>0.5200000000000001</v>
      </c>
      <c r="J31" s="3">
        <f t="shared" si="1"/>
        <v>0.5200000000000001</v>
      </c>
      <c r="K31" s="2"/>
      <c r="M31" s="3">
        <f t="shared" si="2"/>
        <v>0.5200000000000001</v>
      </c>
      <c r="R31">
        <v>2018</v>
      </c>
      <c r="S31" s="3">
        <f t="shared" si="7"/>
        <v>0.7600000000000001</v>
      </c>
      <c r="T31" s="2"/>
      <c r="Y31">
        <v>2018</v>
      </c>
      <c r="Z31" s="3">
        <f t="shared" si="8"/>
        <v>0.7600000000000001</v>
      </c>
      <c r="AA31" s="2"/>
    </row>
    <row r="32" spans="1:27" ht="12.75">
      <c r="A32">
        <v>2019</v>
      </c>
      <c r="B32" s="3">
        <f t="shared" si="0"/>
        <v>0</v>
      </c>
      <c r="C32" s="2"/>
      <c r="H32">
        <v>2019</v>
      </c>
      <c r="I32" s="3">
        <f t="shared" si="6"/>
        <v>0.5350000000000001</v>
      </c>
      <c r="J32" s="3">
        <f t="shared" si="1"/>
        <v>0.5350000000000001</v>
      </c>
      <c r="K32" s="2"/>
      <c r="M32" s="3">
        <f t="shared" si="2"/>
        <v>0.5350000000000001</v>
      </c>
      <c r="R32">
        <v>2019</v>
      </c>
      <c r="S32" s="3">
        <f t="shared" si="7"/>
        <v>0.7800000000000001</v>
      </c>
      <c r="T32" s="2"/>
      <c r="Y32">
        <v>2019</v>
      </c>
      <c r="Z32" s="3">
        <f t="shared" si="8"/>
        <v>0.7800000000000001</v>
      </c>
      <c r="AA32" s="2"/>
    </row>
    <row r="33" spans="1:27" ht="12.75">
      <c r="A33">
        <v>2020</v>
      </c>
      <c r="B33" s="3">
        <f t="shared" si="0"/>
        <v>0</v>
      </c>
      <c r="C33" s="2"/>
      <c r="H33">
        <v>2020</v>
      </c>
      <c r="I33" s="3">
        <v>0.55</v>
      </c>
      <c r="J33" s="3">
        <f t="shared" si="1"/>
        <v>0.55</v>
      </c>
      <c r="K33" s="2"/>
      <c r="M33" s="3">
        <f t="shared" si="2"/>
        <v>0.55</v>
      </c>
      <c r="R33">
        <v>2020</v>
      </c>
      <c r="S33" s="3">
        <v>0.8</v>
      </c>
      <c r="T33" s="2"/>
      <c r="Y33">
        <v>2020</v>
      </c>
      <c r="Z33" s="3">
        <v>0.8</v>
      </c>
      <c r="AA33" s="2"/>
    </row>
  </sheetData>
  <printOptions/>
  <pageMargins left="0.75" right="0.75" top="1" bottom="1"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cols>
    <col min="1" max="16384" width="9" style="0" customWidth="1"/>
  </cols>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cols>
    <col min="1" max="16384" width="9" style="0" customWidth="1"/>
  </cols>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W33"/>
  <sheetViews>
    <sheetView workbookViewId="0" topLeftCell="J1">
      <selection activeCell="U8" sqref="U8"/>
    </sheetView>
  </sheetViews>
  <sheetFormatPr defaultColWidth="9.33203125" defaultRowHeight="12.75"/>
  <cols>
    <col min="1" max="16384" width="9" style="0" customWidth="1"/>
  </cols>
  <sheetData>
    <row r="1" spans="1:19" ht="18.75">
      <c r="A1" s="4" t="s">
        <v>117</v>
      </c>
      <c r="I1" s="4" t="s">
        <v>91</v>
      </c>
      <c r="S1" s="4" t="s">
        <v>92</v>
      </c>
    </row>
    <row r="2" spans="3:23" ht="12.75">
      <c r="C2" s="2"/>
      <c r="E2" s="7"/>
      <c r="K2" s="2"/>
      <c r="M2" s="7"/>
      <c r="U2" s="2"/>
      <c r="W2" s="7"/>
    </row>
    <row r="3" spans="1:22" ht="12.75">
      <c r="A3" t="s">
        <v>267</v>
      </c>
      <c r="C3" s="10">
        <f>'[2]Refrigeration'!$F$16</f>
        <v>5981.411613140701</v>
      </c>
      <c r="D3" t="s">
        <v>220</v>
      </c>
      <c r="I3" t="s">
        <v>267</v>
      </c>
      <c r="K3" s="10">
        <f>'[2]Refrigeration'!$F$13</f>
        <v>3007.5390475078943</v>
      </c>
      <c r="L3" t="s">
        <v>220</v>
      </c>
      <c r="S3" t="s">
        <v>267</v>
      </c>
      <c r="U3" s="10">
        <f>'[2]Refrigeration'!$F$9</f>
        <v>7821.845955645533</v>
      </c>
      <c r="V3" t="s">
        <v>220</v>
      </c>
    </row>
    <row r="4" spans="1:22" ht="12.75">
      <c r="A4" t="s">
        <v>268</v>
      </c>
      <c r="C4" s="10">
        <f>C3*(1-C6)</f>
        <v>2691.635225913315</v>
      </c>
      <c r="D4" t="s">
        <v>220</v>
      </c>
      <c r="I4" t="s">
        <v>268</v>
      </c>
      <c r="K4" s="10">
        <f>K3*(1-0.32)</f>
        <v>2045.126552305368</v>
      </c>
      <c r="L4" t="s">
        <v>220</v>
      </c>
      <c r="S4" t="s">
        <v>268</v>
      </c>
      <c r="U4" s="10">
        <f>U3*(1-U6)</f>
        <v>6413.913683629337</v>
      </c>
      <c r="V4" t="s">
        <v>220</v>
      </c>
    </row>
    <row r="5" spans="1:22" ht="12.75">
      <c r="A5" t="s">
        <v>219</v>
      </c>
      <c r="C5" s="10">
        <f>C3-C4</f>
        <v>3289.776387227386</v>
      </c>
      <c r="D5" t="s">
        <v>220</v>
      </c>
      <c r="I5" t="s">
        <v>219</v>
      </c>
      <c r="K5" s="10">
        <f>K3-K4</f>
        <v>962.4124952025263</v>
      </c>
      <c r="L5" t="s">
        <v>220</v>
      </c>
      <c r="S5" t="s">
        <v>219</v>
      </c>
      <c r="U5" s="10">
        <f>U3-U4</f>
        <v>1407.9322720161954</v>
      </c>
      <c r="V5" t="s">
        <v>220</v>
      </c>
    </row>
    <row r="6" spans="1:21" ht="12.75">
      <c r="A6" t="s">
        <v>115</v>
      </c>
      <c r="C6" s="2">
        <f>'[2]Refrigeration'!$G$16</f>
        <v>0.55</v>
      </c>
      <c r="I6" t="s">
        <v>115</v>
      </c>
      <c r="K6" s="2">
        <f>K5/K3</f>
        <v>0.32000000000000006</v>
      </c>
      <c r="M6" t="s">
        <v>95</v>
      </c>
      <c r="O6" t="s">
        <v>233</v>
      </c>
      <c r="S6" t="s">
        <v>115</v>
      </c>
      <c r="U6" s="2">
        <f>'[2]Refrigeration'!$G$9</f>
        <v>0.18</v>
      </c>
    </row>
    <row r="7" spans="1:22" ht="12.75">
      <c r="A7" t="s">
        <v>224</v>
      </c>
      <c r="C7" s="14">
        <f>'[2]Refrigeration'!$C$25</f>
        <v>20</v>
      </c>
      <c r="D7" t="s">
        <v>225</v>
      </c>
      <c r="I7" t="s">
        <v>224</v>
      </c>
      <c r="K7" s="14">
        <f>'[2]Refrigeration'!$C$25</f>
        <v>20</v>
      </c>
      <c r="L7" t="s">
        <v>225</v>
      </c>
      <c r="O7" t="s">
        <v>233</v>
      </c>
      <c r="S7" t="s">
        <v>224</v>
      </c>
      <c r="U7" s="14">
        <f>'[2]Refrigeration'!$C$25</f>
        <v>20</v>
      </c>
      <c r="V7" t="s">
        <v>225</v>
      </c>
    </row>
    <row r="8" spans="1:22" ht="12.75">
      <c r="A8" t="s">
        <v>223</v>
      </c>
      <c r="C8" s="97">
        <f>'[2]Refrigeration'!$N$16</f>
        <v>390.199237280253</v>
      </c>
      <c r="D8" t="s">
        <v>226</v>
      </c>
      <c r="I8" t="s">
        <v>223</v>
      </c>
      <c r="K8">
        <f>102/('[7]Sheet1'!$B$77/'[7]Sheet1'!$B$76)</f>
        <v>100</v>
      </c>
      <c r="L8" t="s">
        <v>226</v>
      </c>
      <c r="M8" t="s">
        <v>95</v>
      </c>
      <c r="O8" t="s">
        <v>233</v>
      </c>
      <c r="S8" t="s">
        <v>223</v>
      </c>
      <c r="U8" s="97">
        <f>'[2]Refrigeration'!$N$9</f>
        <v>151.5135336247791</v>
      </c>
      <c r="V8" t="s">
        <v>226</v>
      </c>
    </row>
    <row r="9" spans="1:21" ht="12.75">
      <c r="A9" t="s">
        <v>230</v>
      </c>
      <c r="C9" s="8">
        <f>-PMT(discount_rate,C7,C8)/C5</f>
        <v>0.011195912212353094</v>
      </c>
      <c r="I9" t="s">
        <v>230</v>
      </c>
      <c r="K9" s="8">
        <f>-PMT(discount_rate,K7,K8)/K5</f>
        <v>0.009807948900683384</v>
      </c>
      <c r="S9" t="s">
        <v>230</v>
      </c>
      <c r="U9" s="8">
        <f>-PMT(discount_rate,U7,U8)/U5</f>
        <v>0.010158021101442255</v>
      </c>
    </row>
    <row r="10" spans="1:21" ht="12.75">
      <c r="A10" t="s">
        <v>264</v>
      </c>
      <c r="C10">
        <v>2003</v>
      </c>
      <c r="I10" t="s">
        <v>264</v>
      </c>
      <c r="K10">
        <v>2003</v>
      </c>
      <c r="S10" t="s">
        <v>264</v>
      </c>
      <c r="U10">
        <v>2003</v>
      </c>
    </row>
    <row r="11" spans="2:20" ht="12.75">
      <c r="B11" s="6" t="s">
        <v>262</v>
      </c>
      <c r="J11" s="6" t="s">
        <v>262</v>
      </c>
      <c r="T11" s="6" t="s">
        <v>262</v>
      </c>
    </row>
    <row r="12" spans="2:20" ht="12.75">
      <c r="B12" s="6" t="s">
        <v>263</v>
      </c>
      <c r="J12" s="6" t="s">
        <v>263</v>
      </c>
      <c r="T12" s="6" t="s">
        <v>263</v>
      </c>
    </row>
    <row r="13" spans="1:21" ht="12.75">
      <c r="A13">
        <v>2000</v>
      </c>
      <c r="B13" s="3"/>
      <c r="C13" s="3"/>
      <c r="I13">
        <v>2000</v>
      </c>
      <c r="J13" s="3"/>
      <c r="K13" s="3"/>
      <c r="S13">
        <v>2000</v>
      </c>
      <c r="T13" s="3"/>
      <c r="U13" s="3"/>
    </row>
    <row r="14" spans="1:21" ht="12.75">
      <c r="A14">
        <v>2001</v>
      </c>
      <c r="B14" s="3"/>
      <c r="C14" s="3"/>
      <c r="I14">
        <v>2001</v>
      </c>
      <c r="J14" s="3"/>
      <c r="K14" s="3"/>
      <c r="S14">
        <v>2001</v>
      </c>
      <c r="T14" s="3"/>
      <c r="U14" s="3"/>
    </row>
    <row r="15" spans="1:23" ht="12.75">
      <c r="A15">
        <v>2002</v>
      </c>
      <c r="B15" s="3"/>
      <c r="C15" s="3"/>
      <c r="E15" s="1"/>
      <c r="I15">
        <v>2002</v>
      </c>
      <c r="J15" s="3"/>
      <c r="K15" s="3"/>
      <c r="M15" s="1"/>
      <c r="S15">
        <v>2002</v>
      </c>
      <c r="T15" s="3"/>
      <c r="U15" s="3"/>
      <c r="W15" s="1"/>
    </row>
    <row r="16" spans="1:23" ht="12.75">
      <c r="A16">
        <v>2003</v>
      </c>
      <c r="B16" s="3">
        <v>0.05</v>
      </c>
      <c r="C16" s="2"/>
      <c r="D16" s="1"/>
      <c r="E16" s="1"/>
      <c r="I16">
        <v>2003</v>
      </c>
      <c r="J16" s="3">
        <v>0.05</v>
      </c>
      <c r="K16" s="2"/>
      <c r="L16" s="1"/>
      <c r="M16" s="1"/>
      <c r="S16">
        <v>2003</v>
      </c>
      <c r="T16" s="3">
        <v>0.05</v>
      </c>
      <c r="U16" s="2"/>
      <c r="V16" s="1"/>
      <c r="W16" s="1"/>
    </row>
    <row r="17" spans="1:21" ht="12.75">
      <c r="A17">
        <v>2004</v>
      </c>
      <c r="B17" s="3">
        <f aca="true" t="shared" si="0" ref="B17:B22">B16+(B$23-B$16)/(A$23-A$16)</f>
        <v>0.07857142857142857</v>
      </c>
      <c r="C17" s="2"/>
      <c r="I17">
        <v>2004</v>
      </c>
      <c r="J17" s="3">
        <f aca="true" t="shared" si="1" ref="J17:J22">J16+(J$23-J$16)/(I$23-I$16)</f>
        <v>0.07857142857142857</v>
      </c>
      <c r="K17" s="2"/>
      <c r="S17">
        <v>2004</v>
      </c>
      <c r="T17" s="3">
        <f aca="true" t="shared" si="2" ref="T17:T22">T16+(T$23-T$16)/(S$23-S$16)</f>
        <v>0.07857142857142857</v>
      </c>
      <c r="U17" s="2"/>
    </row>
    <row r="18" spans="1:21" ht="12.75">
      <c r="A18">
        <v>2005</v>
      </c>
      <c r="B18" s="3">
        <f t="shared" si="0"/>
        <v>0.10714285714285715</v>
      </c>
      <c r="C18" s="2"/>
      <c r="I18">
        <v>2005</v>
      </c>
      <c r="J18" s="3">
        <f t="shared" si="1"/>
        <v>0.10714285714285715</v>
      </c>
      <c r="K18" s="2"/>
      <c r="S18">
        <v>2005</v>
      </c>
      <c r="T18" s="3">
        <f t="shared" si="2"/>
        <v>0.10714285714285715</v>
      </c>
      <c r="U18" s="2"/>
    </row>
    <row r="19" spans="1:21" ht="12.75">
      <c r="A19">
        <v>2006</v>
      </c>
      <c r="B19" s="3">
        <f t="shared" si="0"/>
        <v>0.13571428571428573</v>
      </c>
      <c r="C19" s="2"/>
      <c r="I19">
        <v>2006</v>
      </c>
      <c r="J19" s="3">
        <f t="shared" si="1"/>
        <v>0.13571428571428573</v>
      </c>
      <c r="K19" s="2"/>
      <c r="S19">
        <v>2006</v>
      </c>
      <c r="T19" s="3">
        <f t="shared" si="2"/>
        <v>0.13571428571428573</v>
      </c>
      <c r="U19" s="2"/>
    </row>
    <row r="20" spans="1:21" ht="12.75">
      <c r="A20">
        <v>2007</v>
      </c>
      <c r="B20" s="3">
        <f t="shared" si="0"/>
        <v>0.1642857142857143</v>
      </c>
      <c r="C20" s="2"/>
      <c r="I20">
        <v>2007</v>
      </c>
      <c r="J20" s="3">
        <f t="shared" si="1"/>
        <v>0.1642857142857143</v>
      </c>
      <c r="K20" s="2"/>
      <c r="S20">
        <v>2007</v>
      </c>
      <c r="T20" s="3">
        <f t="shared" si="2"/>
        <v>0.1642857142857143</v>
      </c>
      <c r="U20" s="2"/>
    </row>
    <row r="21" spans="1:21" ht="12.75">
      <c r="A21">
        <v>2008</v>
      </c>
      <c r="B21" s="3">
        <f t="shared" si="0"/>
        <v>0.1928571428571429</v>
      </c>
      <c r="C21" s="2"/>
      <c r="I21">
        <v>2008</v>
      </c>
      <c r="J21" s="3">
        <f t="shared" si="1"/>
        <v>0.1928571428571429</v>
      </c>
      <c r="K21" s="2"/>
      <c r="S21">
        <v>2008</v>
      </c>
      <c r="T21" s="3">
        <f t="shared" si="2"/>
        <v>0.1928571428571429</v>
      </c>
      <c r="U21" s="2"/>
    </row>
    <row r="22" spans="1:21" ht="12.75">
      <c r="A22">
        <v>2009</v>
      </c>
      <c r="B22" s="3">
        <f t="shared" si="0"/>
        <v>0.22142857142857147</v>
      </c>
      <c r="C22" s="2"/>
      <c r="I22">
        <v>2009</v>
      </c>
      <c r="J22" s="3">
        <f t="shared" si="1"/>
        <v>0.22142857142857147</v>
      </c>
      <c r="K22" s="2"/>
      <c r="S22">
        <v>2009</v>
      </c>
      <c r="T22" s="3">
        <f t="shared" si="2"/>
        <v>0.22142857142857147</v>
      </c>
      <c r="U22" s="2"/>
    </row>
    <row r="23" spans="1:21" ht="12.75">
      <c r="A23">
        <v>2010</v>
      </c>
      <c r="B23" s="3">
        <v>0.25</v>
      </c>
      <c r="C23" s="2"/>
      <c r="I23">
        <v>2010</v>
      </c>
      <c r="J23" s="3">
        <v>0.25</v>
      </c>
      <c r="K23" s="2"/>
      <c r="S23">
        <v>2010</v>
      </c>
      <c r="T23" s="3">
        <v>0.25</v>
      </c>
      <c r="U23" s="2"/>
    </row>
    <row r="24" spans="1:21" ht="12.75">
      <c r="A24">
        <v>2011</v>
      </c>
      <c r="B24" s="3">
        <f>B23+(B$33-B$23)/(A$33-A$23)</f>
        <v>0.255</v>
      </c>
      <c r="C24" s="2"/>
      <c r="I24">
        <v>2011</v>
      </c>
      <c r="J24" s="3">
        <f aca="true" t="shared" si="3" ref="J24:J32">J23+(J$33-J$23)/(I$33-I$23)</f>
        <v>0.255</v>
      </c>
      <c r="K24" s="2"/>
      <c r="S24">
        <v>2011</v>
      </c>
      <c r="T24" s="3">
        <f aca="true" t="shared" si="4" ref="T24:T32">T23+(T$33-T$23)/(S$33-S$23)</f>
        <v>0.255</v>
      </c>
      <c r="U24" s="2"/>
    </row>
    <row r="25" spans="1:21" ht="12.75">
      <c r="A25">
        <v>2012</v>
      </c>
      <c r="B25" s="3">
        <f aca="true" t="shared" si="5" ref="B25:B32">B24+(B$33-B$23)/(A$33-A$23)</f>
        <v>0.26</v>
      </c>
      <c r="C25" s="2"/>
      <c r="I25">
        <v>2012</v>
      </c>
      <c r="J25" s="3">
        <f t="shared" si="3"/>
        <v>0.26</v>
      </c>
      <c r="K25" s="2"/>
      <c r="S25">
        <v>2012</v>
      </c>
      <c r="T25" s="3">
        <f t="shared" si="4"/>
        <v>0.26</v>
      </c>
      <c r="U25" s="2"/>
    </row>
    <row r="26" spans="1:21" ht="12.75">
      <c r="A26">
        <v>2013</v>
      </c>
      <c r="B26" s="3">
        <f t="shared" si="5"/>
        <v>0.265</v>
      </c>
      <c r="C26" s="2"/>
      <c r="I26">
        <v>2013</v>
      </c>
      <c r="J26" s="3">
        <f t="shared" si="3"/>
        <v>0.265</v>
      </c>
      <c r="K26" s="2"/>
      <c r="S26">
        <v>2013</v>
      </c>
      <c r="T26" s="3">
        <f t="shared" si="4"/>
        <v>0.265</v>
      </c>
      <c r="U26" s="2"/>
    </row>
    <row r="27" spans="1:21" ht="12.75">
      <c r="A27">
        <v>2014</v>
      </c>
      <c r="B27" s="3">
        <f t="shared" si="5"/>
        <v>0.27</v>
      </c>
      <c r="C27" s="2"/>
      <c r="I27">
        <v>2014</v>
      </c>
      <c r="J27" s="3">
        <f t="shared" si="3"/>
        <v>0.27</v>
      </c>
      <c r="K27" s="2"/>
      <c r="S27">
        <v>2014</v>
      </c>
      <c r="T27" s="3">
        <f t="shared" si="4"/>
        <v>0.27</v>
      </c>
      <c r="U27" s="2"/>
    </row>
    <row r="28" spans="1:21" ht="12.75">
      <c r="A28">
        <v>2015</v>
      </c>
      <c r="B28" s="3">
        <f t="shared" si="5"/>
        <v>0.275</v>
      </c>
      <c r="C28" s="2"/>
      <c r="I28">
        <v>2015</v>
      </c>
      <c r="J28" s="3">
        <f t="shared" si="3"/>
        <v>0.275</v>
      </c>
      <c r="K28" s="2"/>
      <c r="S28">
        <v>2015</v>
      </c>
      <c r="T28" s="3">
        <f t="shared" si="4"/>
        <v>0.275</v>
      </c>
      <c r="U28" s="2"/>
    </row>
    <row r="29" spans="1:21" ht="12.75">
      <c r="A29">
        <v>2016</v>
      </c>
      <c r="B29" s="3">
        <f t="shared" si="5"/>
        <v>0.28</v>
      </c>
      <c r="C29" s="2"/>
      <c r="I29">
        <v>2016</v>
      </c>
      <c r="J29" s="3">
        <f t="shared" si="3"/>
        <v>0.28</v>
      </c>
      <c r="K29" s="2"/>
      <c r="S29">
        <v>2016</v>
      </c>
      <c r="T29" s="3">
        <f t="shared" si="4"/>
        <v>0.28</v>
      </c>
      <c r="U29" s="2"/>
    </row>
    <row r="30" spans="1:21" ht="12.75">
      <c r="A30">
        <v>2017</v>
      </c>
      <c r="B30" s="3">
        <f t="shared" si="5"/>
        <v>0.28500000000000003</v>
      </c>
      <c r="C30" s="2"/>
      <c r="I30">
        <v>2017</v>
      </c>
      <c r="J30" s="3">
        <f t="shared" si="3"/>
        <v>0.28500000000000003</v>
      </c>
      <c r="K30" s="2"/>
      <c r="S30">
        <v>2017</v>
      </c>
      <c r="T30" s="3">
        <f t="shared" si="4"/>
        <v>0.28500000000000003</v>
      </c>
      <c r="U30" s="2"/>
    </row>
    <row r="31" spans="1:21" ht="12.75">
      <c r="A31">
        <v>2018</v>
      </c>
      <c r="B31" s="3">
        <f t="shared" si="5"/>
        <v>0.29000000000000004</v>
      </c>
      <c r="C31" s="2"/>
      <c r="I31">
        <v>2018</v>
      </c>
      <c r="J31" s="3">
        <f t="shared" si="3"/>
        <v>0.29000000000000004</v>
      </c>
      <c r="K31" s="2"/>
      <c r="S31">
        <v>2018</v>
      </c>
      <c r="T31" s="3">
        <f t="shared" si="4"/>
        <v>0.29000000000000004</v>
      </c>
      <c r="U31" s="2"/>
    </row>
    <row r="32" spans="1:21" ht="12.75">
      <c r="A32">
        <v>2019</v>
      </c>
      <c r="B32" s="3">
        <f t="shared" si="5"/>
        <v>0.29500000000000004</v>
      </c>
      <c r="C32" s="2"/>
      <c r="I32">
        <v>2019</v>
      </c>
      <c r="J32" s="3">
        <f t="shared" si="3"/>
        <v>0.29500000000000004</v>
      </c>
      <c r="K32" s="2"/>
      <c r="S32">
        <v>2019</v>
      </c>
      <c r="T32" s="3">
        <f t="shared" si="4"/>
        <v>0.29500000000000004</v>
      </c>
      <c r="U32" s="2"/>
    </row>
    <row r="33" spans="1:21" ht="12.75">
      <c r="A33">
        <v>2020</v>
      </c>
      <c r="B33" s="3">
        <v>0.3</v>
      </c>
      <c r="C33" s="2"/>
      <c r="I33">
        <v>2020</v>
      </c>
      <c r="J33" s="3">
        <v>0.3</v>
      </c>
      <c r="K33" s="2"/>
      <c r="S33">
        <v>2020</v>
      </c>
      <c r="T33" s="3">
        <v>0.3</v>
      </c>
      <c r="U33" s="2"/>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Berkeley Lab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Carrie A. Webber</dc:creator>
  <cp:keywords/>
  <dc:description/>
  <cp:lastModifiedBy>Carrie A. Webber</cp:lastModifiedBy>
  <cp:lastPrinted>1999-06-22T17:00:22Z</cp:lastPrinted>
  <dcterms:created xsi:type="dcterms:W3CDTF">1999-01-13T18:25:52Z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