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521" windowWidth="8220" windowHeight="8580" tabRatio="923" firstSheet="5" activeTab="11"/>
  </bookViews>
  <sheets>
    <sheet name="Assumptions" sheetId="1" r:id="rId1"/>
    <sheet name="Volume calcs" sheetId="2" r:id="rId2"/>
    <sheet name="Ops unit rev" sheetId="3" r:id="rId3"/>
    <sheet name="Mktg unit rev" sheetId="4" r:id="rId4"/>
    <sheet name="Ops unit cost" sheetId="5" r:id="rId5"/>
    <sheet name="Mktg unit cost" sheetId="6" r:id="rId6"/>
    <sheet name="Disc&amp;Exposure" sheetId="7" r:id="rId7"/>
    <sheet name="UAA calcs" sheetId="8" r:id="rId8"/>
    <sheet name="SM rev calcs" sheetId="9" r:id="rId9"/>
    <sheet name="SM cost calcs" sheetId="10" r:id="rId10"/>
    <sheet name="Contrib inputs" sheetId="11" r:id="rId11"/>
    <sheet name="USPS value" sheetId="12" r:id="rId12"/>
  </sheets>
  <definedNames>
    <definedName name="solver_adj" localSheetId="6" hidden="1">'Disc&amp;Exposure'!$D$20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'Disc&amp;Exposure'!$D$28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3</definedName>
    <definedName name="solver_val" localSheetId="6" hidden="1">4333333</definedName>
  </definedNames>
  <calcPr fullCalcOnLoad="1"/>
</workbook>
</file>

<file path=xl/sharedStrings.xml><?xml version="1.0" encoding="utf-8"?>
<sst xmlns="http://schemas.openxmlformats.org/spreadsheetml/2006/main" count="893" uniqueCount="312">
  <si>
    <t>Year 1</t>
  </si>
  <si>
    <t>Year 2</t>
  </si>
  <si>
    <t>Year 3</t>
  </si>
  <si>
    <t>Statement mail</t>
  </si>
  <si>
    <t>Marketing mail letter</t>
  </si>
  <si>
    <t>Return Forecast</t>
  </si>
  <si>
    <t>Unit cost assumptions</t>
  </si>
  <si>
    <t>USPS FCM average return rates</t>
  </si>
  <si>
    <t xml:space="preserve">Manual Letter Returns Unit Cost </t>
  </si>
  <si>
    <t>Electronic Letter Returns Unit Cost</t>
  </si>
  <si>
    <t>Address Change Service (ACS) Success Rate</t>
  </si>
  <si>
    <t>Inflation cost adjustment factor</t>
  </si>
  <si>
    <t>Agreement Structure</t>
  </si>
  <si>
    <t>Threshold</t>
  </si>
  <si>
    <t>Discount</t>
  </si>
  <si>
    <t>Rate Category</t>
  </si>
  <si>
    <t>Single-Piece Letters</t>
  </si>
  <si>
    <t>First Ounces, except QBRM</t>
  </si>
  <si>
    <t>Qualified Business Reply Mail</t>
  </si>
  <si>
    <t>Additional Ounces</t>
  </si>
  <si>
    <t>Nonmachinable Pieces</t>
  </si>
  <si>
    <t>Revenue Adjustment Factor (a)</t>
  </si>
  <si>
    <t>Nonautomated Presorted Letters</t>
  </si>
  <si>
    <t>First Ounce</t>
  </si>
  <si>
    <t>Heavy Piece Deduction</t>
  </si>
  <si>
    <t>Automation Presort Letters</t>
  </si>
  <si>
    <t>Mixed AADC Letters</t>
  </si>
  <si>
    <t>AADC Letters</t>
  </si>
  <si>
    <t>3-Digit Letters</t>
  </si>
  <si>
    <t>5-Digit Letters</t>
  </si>
  <si>
    <t xml:space="preserve">Automation Carrier Route Letters </t>
  </si>
  <si>
    <t xml:space="preserve">Additional Ounces </t>
  </si>
  <si>
    <t>FY 2003</t>
  </si>
  <si>
    <t>Volume</t>
  </si>
  <si>
    <t>Rates</t>
  </si>
  <si>
    <t>Revenue</t>
  </si>
  <si>
    <t>Current</t>
  </si>
  <si>
    <t>Single-Piece revenue</t>
  </si>
  <si>
    <t>Automation Carrier Route Revenue</t>
  </si>
  <si>
    <t>Total pieces</t>
  </si>
  <si>
    <t>Revenue per piece</t>
  </si>
  <si>
    <t>DOCKET NO. R2001-1 PRC FIGURES - NATIONWIDE MAIL MIX</t>
  </si>
  <si>
    <t>After Rates</t>
  </si>
  <si>
    <t>Returns</t>
  </si>
  <si>
    <t>w/Rets Adj</t>
  </si>
  <si>
    <t>Total</t>
  </si>
  <si>
    <t>Mail Proc</t>
  </si>
  <si>
    <t>Delivery</t>
  </si>
  <si>
    <t>Other</t>
  </si>
  <si>
    <t>Mail</t>
  </si>
  <si>
    <t>Adjustment</t>
  </si>
  <si>
    <t>Unit Cost</t>
  </si>
  <si>
    <t>(Dollars)</t>
  </si>
  <si>
    <t>(Pieces)</t>
  </si>
  <si>
    <t>(Percent)</t>
  </si>
  <si>
    <t>FIRST-CLASS MAIL LETTERS</t>
  </si>
  <si>
    <t>Nonautomation Presort Letters</t>
  </si>
  <si>
    <t>Automation Mixed AADC</t>
  </si>
  <si>
    <t>Automation AADC</t>
  </si>
  <si>
    <t>Automation 3-Digit</t>
  </si>
  <si>
    <t>Automation Carrier Route</t>
  </si>
  <si>
    <t>WEIGHTED AVERAGE / TOTAL</t>
  </si>
  <si>
    <t>Discount on volume above threshold</t>
  </si>
  <si>
    <t>Discount in first tier</t>
  </si>
  <si>
    <t>Discount in second tier</t>
  </si>
  <si>
    <t>Discount in third tier</t>
  </si>
  <si>
    <t>Discount in fourth tier</t>
  </si>
  <si>
    <t>Discount in fifth tier</t>
  </si>
  <si>
    <t>Discount Earned</t>
  </si>
  <si>
    <t>After Rates Forecast</t>
  </si>
  <si>
    <t>Before Rates Forecast</t>
  </si>
  <si>
    <t>Return Costs</t>
  </si>
  <si>
    <t>UAA Rate</t>
  </si>
  <si>
    <t>After Rates Return Costs</t>
  </si>
  <si>
    <t>Mail Category</t>
  </si>
  <si>
    <t>Weighted Avg.</t>
  </si>
  <si>
    <t>Mixed AADC Auto</t>
  </si>
  <si>
    <t>AADC Auto</t>
  </si>
  <si>
    <t>3-Digit Auto</t>
  </si>
  <si>
    <t>5-Digit Auto</t>
  </si>
  <si>
    <t>Basic Nonauto</t>
  </si>
  <si>
    <t>3/5 Digit Nonauto</t>
  </si>
  <si>
    <t>Total Volume</t>
  </si>
  <si>
    <t>Basic Nonauto Letters</t>
  </si>
  <si>
    <t>Basic Auto Letters</t>
  </si>
  <si>
    <t>Saturation Letters</t>
  </si>
  <si>
    <t>From Docket No. R2001-1</t>
  </si>
  <si>
    <t>LETTERS</t>
  </si>
  <si>
    <t>Nonauto Basic</t>
  </si>
  <si>
    <t>Nonauto 3/5-Digit</t>
  </si>
  <si>
    <t>Auto Mixed AADC</t>
  </si>
  <si>
    <t>Auto AADC</t>
  </si>
  <si>
    <t>Auto 3-digit</t>
  </si>
  <si>
    <t>Auto 5-digit</t>
  </si>
  <si>
    <t>Total/average</t>
  </si>
  <si>
    <t>Unit Costs</t>
  </si>
  <si>
    <t>Total ECR letter unit cost</t>
  </si>
  <si>
    <t>Total ECR letter delivery unit cost</t>
  </si>
  <si>
    <t>ECR Basic Auto Letters</t>
  </si>
  <si>
    <t>ECR Basic Letters</t>
  </si>
  <si>
    <t>ECR Saturation Letters</t>
  </si>
  <si>
    <t>Company Average letter ECR Unit Delivery Cost</t>
  </si>
  <si>
    <t>Company Delivery Cost Adjustment</t>
  </si>
  <si>
    <t>Company ECR total letter unit cost</t>
  </si>
  <si>
    <t>Standard Regular Unit Cost</t>
  </si>
  <si>
    <t>Standard ECR Unit Cost</t>
  </si>
  <si>
    <t>First-Class Marketing Letter cost per Piece Before Rates</t>
  </si>
  <si>
    <t>First-Class Marketing Letter avg. Contribution Before Rates</t>
  </si>
  <si>
    <t>First-Class Marketing Letter avg. Contribution After Rates</t>
  </si>
  <si>
    <t>First-Class Marketing Letter cost per Piece After Rates</t>
  </si>
  <si>
    <t>First Class Letter</t>
  </si>
  <si>
    <t>Standard Mail</t>
  </si>
  <si>
    <t>ACS Savings</t>
  </si>
  <si>
    <t>Statement Mail</t>
  </si>
  <si>
    <t>Marketing Mail Letter</t>
  </si>
  <si>
    <t>Contribution from New Volume</t>
  </si>
  <si>
    <t>Contingency Factor</t>
  </si>
  <si>
    <t xml:space="preserve">Total Unit Cost Estimates, Including Contingency =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</si>
  <si>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</si>
  <si>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</si>
  <si>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</si>
  <si>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</si>
  <si>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</si>
  <si>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</si>
  <si>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</si>
  <si>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</si>
  <si>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</si>
  <si>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(4) Total Single-Piece Postage Revenue</t>
  </si>
  <si>
    <t>(5) Total Nonautomated Presorted Letters Revenue</t>
  </si>
  <si>
    <t>(6) Total Automation Presort Letters Revenue</t>
  </si>
  <si>
    <t>(7) Automation Carrier Route Letters Revenue</t>
  </si>
  <si>
    <t>(8) Total Company Letters Subclass</t>
  </si>
  <si>
    <t>(10)</t>
  </si>
  <si>
    <t>(a)</t>
  </si>
  <si>
    <t>Automation Presort Letter Revenue</t>
  </si>
  <si>
    <t>Nonautomated Presorted Revenue</t>
  </si>
  <si>
    <t>Single Piece Revenue * Revenue Adjustment Factor</t>
  </si>
  <si>
    <t>Automation Presort Letter Revenue * Revenue Adjustment Factor</t>
  </si>
  <si>
    <t>Automation Carrier Route Revenue * Revenue Adjustment Factor</t>
  </si>
  <si>
    <t>Nonautomated Presorted Revenue * Revenue Adjustment Factor</t>
  </si>
  <si>
    <t>(4) + (5) + (6) + (7)</t>
  </si>
  <si>
    <t>(8) / Total pieces</t>
  </si>
  <si>
    <t>(11)</t>
  </si>
  <si>
    <t>(12)</t>
  </si>
  <si>
    <t>(13)</t>
  </si>
  <si>
    <t>(14)</t>
  </si>
  <si>
    <t>(15)</t>
  </si>
  <si>
    <t>(16)</t>
  </si>
  <si>
    <t>(2) + (3) + (4)</t>
  </si>
  <si>
    <t>(1) - Weighted Average(2) - Weighted Average(3)</t>
  </si>
  <si>
    <t>(14) * Contingency Factor (Assumptions)</t>
  </si>
  <si>
    <t>(Manual Letter Returns Unit Cost * After Rates Statement Mail) * (Statement Mail Return Forecast - USPS FCM Avg. Return Rate) / After Rates Statement Mail</t>
  </si>
  <si>
    <t xml:space="preserve">((ACS Success Rate * Electronic Letter Returns Unit Cost + (1 - ACS Success Rate) * Manual Letter Returns Unit Cost) * After Rates Statement Mail * (Statement Mail Return Forecast - USPS FCM Avg. Return Rate))) / </t>
  </si>
  <si>
    <t>After Rates Statement Mail - USPS FCM Avg. Return Rate * (Manual Letter Returns Unit Cost - Electronics Letter Returns Unit Cost) * ACS Success Rate</t>
  </si>
  <si>
    <t>Before Rates</t>
  </si>
  <si>
    <t>Before Rates Total Volume (Volume calcs)</t>
  </si>
  <si>
    <t>After Rates Total Volume (Volume calcs)</t>
  </si>
  <si>
    <t>Agreement Structure Beginning Threshold</t>
  </si>
  <si>
    <t>(1) Standard Mail Regular Revenue per piece</t>
  </si>
  <si>
    <t>(2) Standard Mail ECR Revenue per piece</t>
  </si>
  <si>
    <t>(1) - average from (2) - average from (3)</t>
  </si>
  <si>
    <t>(17)</t>
  </si>
  <si>
    <t>(18)</t>
  </si>
  <si>
    <t>(19)</t>
  </si>
  <si>
    <t>(1) * (3)</t>
  </si>
  <si>
    <t>(2) * (4)</t>
  </si>
  <si>
    <t>After Rates Total Unit Cost Estimates, Including Contingency (Stmt unit cost)</t>
  </si>
  <si>
    <t>(1) - (3)</t>
  </si>
  <si>
    <t>CurrentTotal Unit Cost Estimates, Including Contingency (Mktg unit cost)</t>
  </si>
  <si>
    <t>After Rates Total Unit Cost Estimates, Including Contingency (Mktg unit cost)</t>
  </si>
  <si>
    <t>Average Cost per piece</t>
  </si>
  <si>
    <t>Standard Revenue per Piece</t>
  </si>
  <si>
    <t>Standard Cost per Piece</t>
  </si>
  <si>
    <t>Average Revenue per Piece (SM rev calcs)</t>
  </si>
  <si>
    <t>Average Cost per Piece (SM cost calcs)</t>
  </si>
  <si>
    <t>(7) Total USPS Value</t>
  </si>
  <si>
    <t>Marketing mail</t>
  </si>
  <si>
    <t>Statement Mail Return Costs - Statement Mail After Rates Return Costs (UAA calcs)</t>
  </si>
  <si>
    <t>(Statement Mail After Rates - Statement Mail Before Rates) * FCM Statement Letter avg. Contribution After Rates</t>
  </si>
  <si>
    <t>Total Leakage (Disc&amp;Leak)</t>
  </si>
  <si>
    <t>Discount Earned - Total Leakage (Disc&amp;Leak)</t>
  </si>
  <si>
    <t>(1) + (2) + (3) + (4) - (5) - (6)</t>
  </si>
  <si>
    <t>(20)</t>
  </si>
  <si>
    <t>(13) Return Cost Savings</t>
  </si>
  <si>
    <t>USPS-LR-1/MC2002-2</t>
  </si>
  <si>
    <t>USPS witness Wilson, T4/MC2002-2</t>
  </si>
  <si>
    <t xml:space="preserve">(Standard Mail Regular Revenue + Standard Mail ECR Revenue) / </t>
  </si>
  <si>
    <t>(Standard Mail Regular Total Volume + Standard Mail ECR Total Volume)</t>
  </si>
  <si>
    <t>(3) Average Revenue per piece</t>
  </si>
  <si>
    <t>Year 1 * Inflation cost adjustment factor Year 2 (Assumptions)</t>
  </si>
  <si>
    <t>Year 2 * Inflation cost adjustment factor Year 3 (Assumptions)</t>
  </si>
  <si>
    <t>Negotiated Service Agreement</t>
  </si>
  <si>
    <t>Exposure on volume above threshold</t>
  </si>
  <si>
    <t>Exposure in first tier</t>
  </si>
  <si>
    <t>Exposure in second tier</t>
  </si>
  <si>
    <t>Exposure in third tier</t>
  </si>
  <si>
    <t>Exposure in fourth tier</t>
  </si>
  <si>
    <t>Total Exposure</t>
  </si>
  <si>
    <t>Before rates - Threshold: The number of total pieces on which Exposure occurs</t>
  </si>
  <si>
    <t>Exposed Pieces</t>
  </si>
  <si>
    <t>(5) Total Exposure</t>
  </si>
  <si>
    <t>Docket No. R2001-1, LR-J-58, LR58AECR.xls, sum of TY2003 ECR unit letter delivery costs</t>
  </si>
  <si>
    <t>(7) + (8)</t>
  </si>
  <si>
    <t>(10) + (11)</t>
  </si>
  <si>
    <t>(9) - (12)</t>
  </si>
  <si>
    <t xml:space="preserve">Docket No. R2001-1, PRC LR-2, Volume 4, "TYBR", page 3 </t>
  </si>
  <si>
    <t xml:space="preserve">Docket No. R2001-1, PRC LR-4, "FCLETPRCFA.XLS", page 1 </t>
  </si>
  <si>
    <t xml:space="preserve">Docket No. R2001-1, PRC LR-7, Page 2 </t>
  </si>
  <si>
    <t>TYBR  2003</t>
  </si>
  <si>
    <t>BY 2000</t>
  </si>
  <si>
    <t xml:space="preserve">Mail </t>
  </si>
  <si>
    <t xml:space="preserve">Volume </t>
  </si>
  <si>
    <t>Dollars</t>
  </si>
  <si>
    <t>(16) * Contingency Factor (Assumptions)</t>
  </si>
  <si>
    <t>Docket No. R2001, PRC, LR-4, FCM base year volumes from FCM letter model.</t>
  </si>
  <si>
    <t>Revenue, Pieces, and Weight (RPW) Report.</t>
  </si>
  <si>
    <t>(8) / [Sum (8)]</t>
  </si>
  <si>
    <t>Line Item (6), Weighted Average weighted by percentages in (12).</t>
  </si>
  <si>
    <t>(11) / [Sum (11)]</t>
  </si>
  <si>
    <t>(10) + (13)</t>
  </si>
  <si>
    <t>(10) + (15)</t>
  </si>
  <si>
    <t>Docket No. R2001-1, PRC LR-2, Volume 4, "TYBR", page 3.</t>
  </si>
  <si>
    <t>Docket No. R2001-1, PRC LR-4, "FCLETPRCFA.XLS".</t>
  </si>
  <si>
    <t>Docket No. R2001-1, PRC LR-7, Page 2 .</t>
  </si>
  <si>
    <t>Rate Schedule</t>
  </si>
  <si>
    <t xml:space="preserve"> (1) * (2) </t>
  </si>
  <si>
    <t>TYBR 2003</t>
  </si>
  <si>
    <t>TYBR</t>
  </si>
  <si>
    <t>(21)</t>
  </si>
  <si>
    <t>(22)</t>
  </si>
  <si>
    <t>Docket No. R2001-1, LR-J-58, LR58AREG.xls, total unit letter costs</t>
  </si>
  <si>
    <t xml:space="preserve">Docket R2001-1, LR-J-60 Revised 11/15/01 </t>
  </si>
  <si>
    <t>Each row in (8) divided by total in (8)</t>
  </si>
  <si>
    <t>Weighted average costs calculated by multiplying column (10) by column (12)</t>
  </si>
  <si>
    <t>Docket No. R2001, PRC, LR-4, SM base year volumes from SM letter model.</t>
  </si>
  <si>
    <t>(6) Total Incremental Discounts</t>
  </si>
  <si>
    <t xml:space="preserve">   </t>
  </si>
  <si>
    <t>Automation 5-Digit</t>
  </si>
  <si>
    <t xml:space="preserve">Year 2 </t>
  </si>
  <si>
    <t>Marketing Mail (Mktg)</t>
  </si>
  <si>
    <t>FY 2005</t>
  </si>
  <si>
    <t>TY 2005</t>
  </si>
  <si>
    <t>HSBC MAIL MIX</t>
  </si>
  <si>
    <t>HSBC</t>
  </si>
  <si>
    <t>(5) * (1 + inflation cost adjustment factor) * (1 + inflation cost adjustment factor)</t>
  </si>
  <si>
    <t>Docket No. R2001-1, LR-J-117, Revised 1/22/02, TY2003 unit delivery costs  *(1 +  inflation cost adjustment factor) * (1 + inflation cost adjustment factor)</t>
  </si>
  <si>
    <t>Appendix A, page 11</t>
  </si>
  <si>
    <t>Appendix A, page 2</t>
  </si>
  <si>
    <t>Appendix A, page 3</t>
  </si>
  <si>
    <t>Appendix A, page 4</t>
  </si>
  <si>
    <t>Appendix A, page 5</t>
  </si>
  <si>
    <t>Appendix A, page 6</t>
  </si>
  <si>
    <t>Appendix A, page 7</t>
  </si>
  <si>
    <t>Appendix A, page 8</t>
  </si>
  <si>
    <t>Appendix A, page 9</t>
  </si>
  <si>
    <t>Appendix A, page 10</t>
  </si>
  <si>
    <t>Discount in sixth tier</t>
  </si>
  <si>
    <t>Operational mail</t>
  </si>
  <si>
    <t>Avg Revenue First-Class Marketing Letters</t>
  </si>
  <si>
    <t>Avg Revenue First-Class Operational Letters</t>
  </si>
  <si>
    <t>First-Class Operational Letter cost per Piece Before Rates</t>
  </si>
  <si>
    <t>First-Class Operational Letter cost per Piece After Rates</t>
  </si>
  <si>
    <t>First-Class Operational Letter avg. Contribution Before Rates</t>
  </si>
  <si>
    <t>First-Class Operational Letter avg. Contribution After Rates</t>
  </si>
  <si>
    <t>Revenue per piece (Mktg unit rev)</t>
  </si>
  <si>
    <t>Revenue per piece (Ops unit rev)</t>
  </si>
  <si>
    <t>Operational Mail (Ops)</t>
  </si>
  <si>
    <t>(23)</t>
  </si>
  <si>
    <t>(24)</t>
  </si>
  <si>
    <t>Company average letter cost, Including Contingency</t>
  </si>
  <si>
    <t>Company average letter cost</t>
  </si>
  <si>
    <t>(22) * Contingency Factor (Assumptions)</t>
  </si>
  <si>
    <t>(13) * Contigency Factor (Assumptions)</t>
  </si>
  <si>
    <t>Percent of volume in each row of (18) divided by total in (18)</t>
  </si>
  <si>
    <t>Weighted average of the unit costs in (17) weighted by the volume percents in (19)</t>
  </si>
  <si>
    <t>(15) + (21)</t>
  </si>
  <si>
    <t>(20) - (16)</t>
  </si>
  <si>
    <t>((14 * 11) + (23 * 18)) / (11 + 18)</t>
  </si>
  <si>
    <t>Revenue Adjustment Factor not required because customer specific revenue is presented</t>
  </si>
  <si>
    <t>Docket No. R2001-1, LR-J-58, LR58AECR.xls, total TY2003 ECR unit letter costs * (1 + inflation cost adjustment factor) * (1 + inflation cost adjustment factor)</t>
  </si>
  <si>
    <t>(Cost segments 6, 7 and 10)  * (1 + inflation cost adjustment factor) * (1 + inflation cost adjustment factor)</t>
  </si>
  <si>
    <t>Company ECR total letter unit cost, Including Contingency</t>
  </si>
  <si>
    <t>Current Total Unit Cost Estimates, Including Contingency (Stmt unit cost)</t>
  </si>
  <si>
    <t>(1) - (4)</t>
  </si>
  <si>
    <t>(2) - (7)</t>
  </si>
  <si>
    <t>(2) - (8)</t>
  </si>
  <si>
    <t>(11) - (12)</t>
  </si>
  <si>
    <t>Appendix A, page 1</t>
  </si>
  <si>
    <t>Appendix A, page 12</t>
  </si>
  <si>
    <t>Marketing Mail Return Costs - Marketing Mail After Rates Return Costs (UAA calcs)</t>
  </si>
  <si>
    <t>Percent of new marketing mail switched from Standard Mail (SM) or Conversion Rate</t>
  </si>
  <si>
    <t>Standard Mail Contribution per Piece</t>
  </si>
  <si>
    <t xml:space="preserve"> (1 - Conversion Rate) * (Marketing Mail After Rates - Marketing Mail Before Rates) * FCM Marketing Letter avg. Contribution After Rates</t>
  </si>
  <si>
    <t xml:space="preserve">Conversion Rate * (Marketing Mail After Rates - Marketing Mail Before Rates) * </t>
  </si>
  <si>
    <t xml:space="preserve">(FCM Marketing Letter avg. Contribution After Rates - Standard Mail Contribution per Piece) + </t>
  </si>
  <si>
    <t>Dauer (USPS-T-1)</t>
  </si>
  <si>
    <t>Each row in column (11) divided by total in column (11)</t>
  </si>
  <si>
    <t>First-Class Mail Volume calculations</t>
  </si>
  <si>
    <t>Sum of  discounts earned in first tier to sixth tier</t>
  </si>
  <si>
    <t>Sum of Exposure in first tier to sixth tier</t>
  </si>
  <si>
    <t>Harvey (HSBC-T-1)</t>
  </si>
  <si>
    <t>FY 2004</t>
  </si>
  <si>
    <t>2004 Standard Mail Regular Billing Determinants</t>
  </si>
  <si>
    <t>2004 Standard Mail ECR Billing Determinants</t>
  </si>
  <si>
    <t>CBCIS 2004 HSBC Volume Data</t>
  </si>
  <si>
    <t>HSBC North America Holdings Inc. Model</t>
  </si>
  <si>
    <t>USPS-LR-1/MC2002-2 * (1 + (4)) * (1 + (4))</t>
  </si>
  <si>
    <t>(5) * (Manual Letter Returns Unit Cost * Contingency Factor)  (Assumptions)</t>
  </si>
  <si>
    <t>(6) * (Manual Letter Returns Unit Cost * Contingency Factor) (Assumptions)</t>
  </si>
  <si>
    <t>(5) * (Manual Letter Returns Unit Cost * Contingency Factor) (Assumptions)</t>
  </si>
  <si>
    <t>((6) * ACS Success Rate * Electronic Letter Returns Unit Cost * Contingency Factor) +((1 - ACS Success Rate)</t>
  </si>
  <si>
    <t xml:space="preserve"> * Manual Letter Returns Unit Cost * (6) * Contingency Factor)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</si>
</sst>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0.0%_);\(0.0%\)"/>
    <numFmt numFmtId="166" formatCode="0.0%"/>
    <numFmt numFmtId="167" formatCode="_(* #,##0.0_);_(* \(#,##0.0\);_(* &quot;-&quot;?_);_(@_)"/>
    <numFmt numFmtId="168" formatCode="\ #,##0_);_(#,##0\);_(* &quot;-&quot;_);_(@_)"/>
    <numFmt numFmtId="169" formatCode="General_);[Red]\-General_)"/>
    <numFmt numFmtId="170" formatCode="0.00%_);\(0.00%\)"/>
    <numFmt numFmtId="171" formatCode="0.000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\ #,##0.0_);_(#,##0.0\);_(* &quot;-&quot;_);_(@_)"/>
    <numFmt numFmtId="175" formatCode="\ #,##0.00_);_(#,##0.00\);_(* &quot;-&quot;_);_(@_)"/>
    <numFmt numFmtId="176" formatCode="\ #,##0.000_);_(#,##0.000\);_(* &quot;-&quot;_);_(@_)"/>
    <numFmt numFmtId="177" formatCode="\ #,##0_);\(#,##0\);_(* &quot;-&quot;_);_(@_)"/>
    <numFmt numFmtId="178" formatCode="\ #,##0.0_);\(#,##0.0\);_(* &quot;-&quot;_);_(@_)"/>
    <numFmt numFmtId="179" formatCode="\ #,##0.00_);\(#,##0.00\);_(* &quot;-&quot;_);_(@_)"/>
    <numFmt numFmtId="180" formatCode="\ #,##0.000_);\(#,##0.000\);_(* &quot;-&quot;_);_(@_)"/>
    <numFmt numFmtId="181" formatCode="\ #,##0.0000_);\(#,##0.0000\);_(* &quot;-&quot;_);_(@_)"/>
    <numFmt numFmtId="182" formatCode="\ #,##0.00000_);\(#,##0.00000\);_(* &quot;-&quot;_);_(@_)"/>
    <numFmt numFmtId="183" formatCode="&quot;$&quot;#,##0.000"/>
    <numFmt numFmtId="184" formatCode="0.0000"/>
    <numFmt numFmtId="185" formatCode="&quot;$&quot;#,##0"/>
    <numFmt numFmtId="186" formatCode="_(&quot;$&quot;* #,##0_);_(&quot;$&quot;* \(#,##0\);_(&quot;$&quot;* &quot;-&quot;??_);_(@_)"/>
    <numFmt numFmtId="187" formatCode="&quot;$&quot;#,##0.0000"/>
    <numFmt numFmtId="188" formatCode="_(* #,##0.000_);_(* \(#,##0.000\);_(* &quot;-&quot;???_);_(@_)"/>
    <numFmt numFmtId="189" formatCode="_(&quot;$&quot;* #,##0.0000_);_(&quot;$&quot;* \(#,##0.0000\);_(&quot;$&quot;* &quot;-&quot;??_);_(@_)"/>
    <numFmt numFmtId="190" formatCode="_(&quot;$&quot;* #,##0.0_);_(&quot;$&quot;* \(#,##0.0\);_(&quot;$&quot;* &quot;-&quot;??_);_(@_)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&quot;$&quot;* #,##0.000_);_(&quot;$&quot;* \(#,##0.000\);_(&quot;$&quot;* &quot;-&quot;_);_(@_)"/>
    <numFmt numFmtId="194" formatCode="_(&quot;$&quot;* #,##0.0000_);_(&quot;$&quot;* \(#,##0.0000\);_(&quot;$&quot;* &quot;-&quot;_);_(@_)"/>
    <numFmt numFmtId="195" formatCode="0.000%_);\(0.000%\)"/>
    <numFmt numFmtId="196" formatCode="_(* #,##0.0000_);_(* \(#,##0.0000\);_(* &quot;-&quot;??_);_(@_)"/>
    <numFmt numFmtId="197" formatCode="0%_);\(0%\)"/>
    <numFmt numFmtId="198" formatCode="\ #,##0.000000_);\(#,##0.000000\);_(* &quot;-&quot;_);_(@_)"/>
    <numFmt numFmtId="199" formatCode="\ #,##0.0000000_);\(#,##0.0000000\);_(* &quot;-&quot;_);_(@_)"/>
    <numFmt numFmtId="200" formatCode="\ #,##0.00000000_);\(#,##0.00000000\);_(* &quot;-&quot;_);_(@_)"/>
    <numFmt numFmtId="201" formatCode="\ #,##0.000000000_);\(#,##0.000000000\);_(* &quot;-&quot;_);_(@_)"/>
    <numFmt numFmtId="202" formatCode="\ #,##0.0000000000_);\(#,##0.0000000000\);_(* &quot;-&quot;_);_(@_)"/>
    <numFmt numFmtId="203" formatCode="\ #,##0.00000000000_);\(#,##0.00000000000\);_(* &quot;-&quot;_);_(@_)"/>
    <numFmt numFmtId="204" formatCode="_(* #,##0.0_);_(* \(#,##0.0\);_(* &quot;-&quot;??_);_(@_)"/>
    <numFmt numFmtId="205" formatCode="_(* #,##0.000_);_(* \(#,##0.000\);_(* &quot;-&quot;??_);_(@_)"/>
    <numFmt numFmtId="206" formatCode="0.0000%_);\(0.0000%\)"/>
    <numFmt numFmtId="207" formatCode="0.00000%_);\(0.00000%\)"/>
    <numFmt numFmtId="208" formatCode="0.000000%_);\(0.000000%\)"/>
    <numFmt numFmtId="209" formatCode="_(* #,##0.00000_);_(* \(#,##0.00000\);_(* &quot;-&quot;??_);_(@_)"/>
    <numFmt numFmtId="210" formatCode="_(* #,##0.000000_);_(* \(#,##0.000000\);_(* &quot;-&quot;??_);_(@_)"/>
    <numFmt numFmtId="211" formatCode="_(* #,##0.000000_);_(* \(#,##0.000000\);_(* &quot;-&quot;??????_);_(@_)"/>
    <numFmt numFmtId="212" formatCode="0.0000000%_);\(0.0000000%\)"/>
    <numFmt numFmtId="213" formatCode="0.00000000%_);\(0.00000000%\)"/>
    <numFmt numFmtId="214" formatCode="0_);\(0\)"/>
    <numFmt numFmtId="215" formatCode="_(&quot;$&quot;* #,##0.0_);_(&quot;$&quot;* \(#,##0.0\);_(&quot;$&quot;* &quot;-&quot;?_);_(@_)"/>
  </numFmts>
  <fonts count="16">
    <font>
      <sz val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b/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2">
    <xf numFmtId="177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2" borderId="1" applyNumberFormat="0" applyFont="0" applyBorder="0" applyAlignment="0" applyProtection="0"/>
    <xf numFmtId="41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1" fontId="1" fillId="0" borderId="0" applyNumberFormat="0" applyFill="0" applyBorder="0" applyAlignment="0" applyProtection="0"/>
    <xf numFmtId="41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169" fontId="7" fillId="0" borderId="0" applyBorder="0">
      <alignment/>
      <protection/>
    </xf>
    <xf numFmtId="169" fontId="7" fillId="0" borderId="0" applyBorder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41" fontId="1" fillId="0" borderId="2" applyNumberFormat="0" applyFont="0" applyFill="0" applyAlignment="0" applyProtection="0"/>
    <xf numFmtId="41" fontId="0" fillId="0" borderId="3" applyNumberFormat="0" applyFont="0" applyFill="0" applyAlignment="0" applyProtection="0"/>
  </cellStyleXfs>
  <cellXfs count="275">
    <xf numFmtId="177" fontId="0" fillId="0" borderId="0" xfId="0" applyAlignment="1">
      <alignment/>
    </xf>
    <xf numFmtId="41" fontId="2" fillId="3" borderId="0" xfId="23" applyAlignment="1">
      <alignment/>
    </xf>
    <xf numFmtId="41" fontId="4" fillId="3" borderId="0" xfId="23" applyFont="1" applyAlignment="1">
      <alignment/>
    </xf>
    <xf numFmtId="41" fontId="5" fillId="3" borderId="0" xfId="23" applyFont="1" applyAlignment="1">
      <alignment/>
    </xf>
    <xf numFmtId="0" fontId="4" fillId="3" borderId="0" xfId="23" applyNumberFormat="1" applyFont="1" applyAlignment="1">
      <alignment/>
    </xf>
    <xf numFmtId="41" fontId="4" fillId="3" borderId="0" xfId="23" applyFont="1" applyAlignment="1">
      <alignment horizontal="right"/>
    </xf>
    <xf numFmtId="177" fontId="6" fillId="0" borderId="0" xfId="0" applyFont="1" applyAlignment="1">
      <alignment/>
    </xf>
    <xf numFmtId="165" fontId="0" fillId="0" borderId="0" xfId="29" applyAlignment="1">
      <alignment/>
    </xf>
    <xf numFmtId="165" fontId="6" fillId="0" borderId="0" xfId="29" applyFont="1" applyAlignment="1">
      <alignment/>
    </xf>
    <xf numFmtId="177" fontId="0" fillId="0" borderId="0" xfId="0" applyFill="1" applyBorder="1" applyAlignment="1">
      <alignment/>
    </xf>
    <xf numFmtId="177" fontId="0" fillId="0" borderId="0" xfId="0" applyFill="1" applyAlignment="1">
      <alignment/>
    </xf>
    <xf numFmtId="0" fontId="4" fillId="3" borderId="0" xfId="23" applyNumberFormat="1" applyFont="1" applyAlignment="1">
      <alignment horizontal="center"/>
    </xf>
    <xf numFmtId="177" fontId="0" fillId="0" borderId="0" xfId="0" applyFont="1" applyFill="1" applyAlignment="1">
      <alignment horizontal="left"/>
    </xf>
    <xf numFmtId="170" fontId="1" fillId="0" borderId="0" xfId="22" applyNumberFormat="1" applyFill="1" applyBorder="1" applyAlignment="1">
      <alignment/>
    </xf>
    <xf numFmtId="171" fontId="0" fillId="0" borderId="0" xfId="0" applyNumberFormat="1" applyFont="1" applyFill="1" applyAlignment="1">
      <alignment horizontal="left"/>
    </xf>
    <xf numFmtId="177" fontId="8" fillId="0" borderId="0" xfId="0" applyFont="1" applyFill="1" applyAlignment="1">
      <alignment/>
    </xf>
    <xf numFmtId="177" fontId="7" fillId="0" borderId="0" xfId="0" applyFont="1" applyFill="1" applyAlignment="1">
      <alignment/>
    </xf>
    <xf numFmtId="177" fontId="6" fillId="0" borderId="4" xfId="0" applyFont="1" applyFill="1" applyBorder="1" applyAlignment="1">
      <alignment/>
    </xf>
    <xf numFmtId="177" fontId="0" fillId="0" borderId="5" xfId="0" applyFont="1" applyFill="1" applyBorder="1" applyAlignment="1">
      <alignment/>
    </xf>
    <xf numFmtId="177" fontId="6" fillId="0" borderId="5" xfId="0" applyFont="1" applyFill="1" applyBorder="1" applyAlignment="1">
      <alignment/>
    </xf>
    <xf numFmtId="177" fontId="6" fillId="0" borderId="6" xfId="0" applyFont="1" applyFill="1" applyBorder="1" applyAlignment="1">
      <alignment/>
    </xf>
    <xf numFmtId="44" fontId="6" fillId="0" borderId="6" xfId="19" applyFont="1" applyFill="1" applyBorder="1" applyAlignment="1">
      <alignment/>
    </xf>
    <xf numFmtId="44" fontId="6" fillId="0" borderId="1" xfId="19" applyFont="1" applyFill="1" applyBorder="1" applyAlignment="1">
      <alignment/>
    </xf>
    <xf numFmtId="177" fontId="6" fillId="0" borderId="7" xfId="0" applyFont="1" applyFill="1" applyBorder="1" applyAlignment="1">
      <alignment horizontal="centerContinuous"/>
    </xf>
    <xf numFmtId="177" fontId="6" fillId="0" borderId="8" xfId="0" applyFont="1" applyFill="1" applyBorder="1" applyAlignment="1">
      <alignment horizontal="centerContinuous"/>
    </xf>
    <xf numFmtId="176" fontId="0" fillId="0" borderId="0" xfId="0" applyNumberFormat="1" applyAlignment="1">
      <alignment/>
    </xf>
    <xf numFmtId="177" fontId="0" fillId="0" borderId="2" xfId="30" applyAlignment="1">
      <alignment/>
    </xf>
    <xf numFmtId="176" fontId="0" fillId="0" borderId="2" xfId="30" applyNumberFormat="1" applyAlignment="1">
      <alignment/>
    </xf>
    <xf numFmtId="180" fontId="0" fillId="0" borderId="0" xfId="0" applyNumberFormat="1" applyAlignment="1">
      <alignment/>
    </xf>
    <xf numFmtId="177" fontId="1" fillId="0" borderId="0" xfId="22" applyAlignment="1">
      <alignment/>
    </xf>
    <xf numFmtId="176" fontId="1" fillId="0" borderId="0" xfId="22" applyNumberFormat="1" applyAlignment="1">
      <alignment/>
    </xf>
    <xf numFmtId="180" fontId="1" fillId="0" borderId="0" xfId="22" applyNumberFormat="1" applyAlignment="1">
      <alignment/>
    </xf>
    <xf numFmtId="42" fontId="0" fillId="0" borderId="0" xfId="20" applyAlignment="1">
      <alignment/>
    </xf>
    <xf numFmtId="177" fontId="0" fillId="0" borderId="0" xfId="31" applyBorder="1" applyAlignment="1">
      <alignment/>
    </xf>
    <xf numFmtId="180" fontId="6" fillId="0" borderId="0" xfId="31" applyNumberFormat="1" applyFont="1" applyBorder="1" applyAlignment="1">
      <alignment/>
    </xf>
    <xf numFmtId="177" fontId="6" fillId="0" borderId="0" xfId="31" applyFont="1" applyBorder="1" applyAlignment="1">
      <alignment/>
    </xf>
    <xf numFmtId="180" fontId="0" fillId="0" borderId="0" xfId="22" applyNumberFormat="1" applyFont="1" applyAlignment="1">
      <alignment/>
    </xf>
    <xf numFmtId="180" fontId="6" fillId="0" borderId="0" xfId="0" applyNumberFormat="1" applyFont="1" applyAlignment="1">
      <alignment/>
    </xf>
    <xf numFmtId="41" fontId="6" fillId="0" borderId="0" xfId="23" applyFont="1" applyFill="1" applyAlignment="1">
      <alignment/>
    </xf>
    <xf numFmtId="177" fontId="0" fillId="0" borderId="0" xfId="0" applyFont="1" applyAlignment="1">
      <alignment/>
    </xf>
    <xf numFmtId="177" fontId="6" fillId="0" borderId="2" xfId="30" applyFont="1" applyAlignment="1">
      <alignment/>
    </xf>
    <xf numFmtId="177" fontId="1" fillId="0" borderId="0" xfId="22" applyFill="1" applyAlignment="1">
      <alignment/>
    </xf>
    <xf numFmtId="177" fontId="6" fillId="0" borderId="0" xfId="30" applyFont="1" applyBorder="1" applyAlignment="1">
      <alignment/>
    </xf>
    <xf numFmtId="165" fontId="0" fillId="0" borderId="0" xfId="29" applyFill="1" applyAlignment="1">
      <alignment/>
    </xf>
    <xf numFmtId="42" fontId="0" fillId="0" borderId="2" xfId="20" applyAlignment="1">
      <alignment/>
    </xf>
    <xf numFmtId="173" fontId="1" fillId="0" borderId="0" xfId="22" applyNumberFormat="1" applyAlignment="1">
      <alignment/>
    </xf>
    <xf numFmtId="173" fontId="6" fillId="0" borderId="0" xfId="19" applyNumberFormat="1" applyFont="1" applyAlignment="1">
      <alignment/>
    </xf>
    <xf numFmtId="179" fontId="0" fillId="0" borderId="0" xfId="0" applyNumberFormat="1" applyAlignment="1">
      <alignment/>
    </xf>
    <xf numFmtId="179" fontId="1" fillId="0" borderId="0" xfId="22" applyNumberFormat="1" applyAlignment="1">
      <alignment/>
    </xf>
    <xf numFmtId="179" fontId="6" fillId="0" borderId="0" xfId="0" applyNumberFormat="1" applyFont="1" applyAlignment="1">
      <alignment/>
    </xf>
    <xf numFmtId="177" fontId="2" fillId="3" borderId="0" xfId="23" applyNumberFormat="1" applyAlignment="1">
      <alignment/>
    </xf>
    <xf numFmtId="177" fontId="0" fillId="0" borderId="0" xfId="0" applyNumberFormat="1" applyAlignment="1">
      <alignment/>
    </xf>
    <xf numFmtId="177" fontId="4" fillId="3" borderId="0" xfId="23" applyNumberFormat="1" applyFont="1" applyAlignment="1">
      <alignment/>
    </xf>
    <xf numFmtId="177" fontId="4" fillId="3" borderId="0" xfId="23" applyNumberFormat="1" applyFont="1" applyAlignment="1">
      <alignment horizontal="right"/>
    </xf>
    <xf numFmtId="0" fontId="6" fillId="0" borderId="0" xfId="28" applyFont="1">
      <alignment/>
      <protection/>
    </xf>
    <xf numFmtId="0" fontId="0" fillId="0" borderId="0" xfId="28" applyFont="1">
      <alignment/>
      <protection/>
    </xf>
    <xf numFmtId="0" fontId="6" fillId="0" borderId="0" xfId="28" applyFont="1" applyFill="1" applyBorder="1" applyAlignment="1">
      <alignment horizontal="center"/>
      <protection/>
    </xf>
    <xf numFmtId="10" fontId="6" fillId="0" borderId="0" xfId="28" applyNumberFormat="1" applyFont="1" applyFill="1" applyBorder="1" applyAlignment="1">
      <alignment horizontal="center"/>
      <protection/>
    </xf>
    <xf numFmtId="3" fontId="6" fillId="0" borderId="0" xfId="28" applyNumberFormat="1" applyFont="1" applyFill="1" applyAlignment="1">
      <alignment horizontal="center"/>
      <protection/>
    </xf>
    <xf numFmtId="10" fontId="6" fillId="0" borderId="0" xfId="28" applyNumberFormat="1" applyFont="1" applyFill="1" applyAlignment="1">
      <alignment horizontal="center"/>
      <protection/>
    </xf>
    <xf numFmtId="0" fontId="6" fillId="0" borderId="0" xfId="27" applyFont="1">
      <alignment/>
      <protection/>
    </xf>
    <xf numFmtId="166" fontId="0" fillId="0" borderId="0" xfId="28" applyNumberFormat="1" applyFont="1" applyAlignment="1">
      <alignment horizontal="right"/>
      <protection/>
    </xf>
    <xf numFmtId="171" fontId="0" fillId="0" borderId="0" xfId="28" applyNumberFormat="1" applyFont="1">
      <alignment/>
      <protection/>
    </xf>
    <xf numFmtId="171" fontId="1" fillId="0" borderId="0" xfId="22" applyNumberFormat="1" applyAlignment="1">
      <alignment horizontal="center"/>
    </xf>
    <xf numFmtId="3" fontId="1" fillId="0" borderId="0" xfId="22" applyNumberFormat="1" applyAlignment="1">
      <alignment horizontal="right"/>
    </xf>
    <xf numFmtId="3" fontId="0" fillId="0" borderId="2" xfId="30" applyNumberFormat="1" applyFont="1" applyAlignment="1">
      <alignment/>
    </xf>
    <xf numFmtId="0" fontId="6" fillId="0" borderId="2" xfId="30" applyFont="1" applyFill="1" applyAlignment="1">
      <alignment/>
    </xf>
    <xf numFmtId="0" fontId="0" fillId="0" borderId="2" xfId="30" applyFont="1" applyFill="1" applyAlignment="1">
      <alignment/>
    </xf>
    <xf numFmtId="171" fontId="6" fillId="0" borderId="2" xfId="30" applyNumberFormat="1" applyFont="1" applyFill="1" applyAlignment="1">
      <alignment/>
    </xf>
    <xf numFmtId="190" fontId="0" fillId="0" borderId="0" xfId="19" applyNumberFormat="1" applyFill="1" applyBorder="1" applyAlignment="1">
      <alignment/>
    </xf>
    <xf numFmtId="177" fontId="6" fillId="0" borderId="0" xfId="0" applyFont="1" applyFill="1" applyBorder="1" applyAlignment="1">
      <alignment/>
    </xf>
    <xf numFmtId="185" fontId="6" fillId="0" borderId="0" xfId="19" applyNumberFormat="1" applyFont="1" applyFill="1" applyBorder="1" applyAlignment="1">
      <alignment horizontal="center"/>
    </xf>
    <xf numFmtId="177" fontId="0" fillId="0" borderId="0" xfId="0" applyFont="1" applyFill="1" applyBorder="1" applyAlignment="1">
      <alignment/>
    </xf>
    <xf numFmtId="185" fontId="0" fillId="0" borderId="0" xfId="19" applyNumberFormat="1" applyFont="1" applyFill="1" applyBorder="1" applyAlignment="1">
      <alignment horizontal="center"/>
    </xf>
    <xf numFmtId="186" fontId="0" fillId="0" borderId="0" xfId="19" applyNumberFormat="1" applyFill="1" applyBorder="1" applyAlignment="1">
      <alignment horizontal="center"/>
    </xf>
    <xf numFmtId="186" fontId="0" fillId="0" borderId="0" xfId="19" applyNumberFormat="1" applyFont="1" applyFill="1" applyBorder="1" applyAlignment="1">
      <alignment horizontal="center"/>
    </xf>
    <xf numFmtId="42" fontId="6" fillId="0" borderId="2" xfId="20" applyFont="1" applyAlignment="1">
      <alignment/>
    </xf>
    <xf numFmtId="42" fontId="6" fillId="0" borderId="3" xfId="31" applyFont="1" applyAlignment="1">
      <alignment/>
    </xf>
    <xf numFmtId="180" fontId="0" fillId="0" borderId="0" xfId="0" applyNumberFormat="1" applyFont="1" applyAlignment="1">
      <alignment/>
    </xf>
    <xf numFmtId="37" fontId="1" fillId="0" borderId="0" xfId="22" applyNumberFormat="1" applyFill="1" applyBorder="1" applyAlignment="1" applyProtection="1">
      <alignment/>
      <protection/>
    </xf>
    <xf numFmtId="177" fontId="1" fillId="0" borderId="0" xfId="0" applyFill="1" applyBorder="1" applyAlignment="1" applyProtection="1">
      <alignment/>
      <protection/>
    </xf>
    <xf numFmtId="3" fontId="0" fillId="0" borderId="0" xfId="25" applyNumberFormat="1" applyFont="1" applyFill="1" applyAlignment="1">
      <alignment horizontal="right"/>
      <protection/>
    </xf>
    <xf numFmtId="3" fontId="6" fillId="0" borderId="0" xfId="25" applyNumberFormat="1" applyFont="1" applyFill="1" applyAlignment="1">
      <alignment horizontal="right"/>
      <protection/>
    </xf>
    <xf numFmtId="3" fontId="1" fillId="0" borderId="0" xfId="22" applyNumberFormat="1" applyFill="1" applyAlignment="1">
      <alignment horizontal="right"/>
    </xf>
    <xf numFmtId="177" fontId="0" fillId="0" borderId="0" xfId="0" applyBorder="1" applyAlignment="1">
      <alignment/>
    </xf>
    <xf numFmtId="177" fontId="2" fillId="3" borderId="0" xfId="23" applyAlignment="1">
      <alignment/>
    </xf>
    <xf numFmtId="41" fontId="2" fillId="0" borderId="0" xfId="23" applyFill="1" applyAlignment="1">
      <alignment/>
    </xf>
    <xf numFmtId="41" fontId="4" fillId="0" borderId="0" xfId="23" applyFont="1" applyFill="1" applyAlignment="1">
      <alignment horizontal="right"/>
    </xf>
    <xf numFmtId="177" fontId="2" fillId="0" borderId="0" xfId="23" applyFill="1" applyAlignment="1">
      <alignment/>
    </xf>
    <xf numFmtId="180" fontId="6" fillId="0" borderId="9" xfId="0" applyNumberFormat="1" applyFont="1" applyBorder="1" applyAlignment="1">
      <alignment/>
    </xf>
    <xf numFmtId="177" fontId="6" fillId="0" borderId="4" xfId="0" applyFont="1" applyBorder="1" applyAlignment="1">
      <alignment/>
    </xf>
    <xf numFmtId="177" fontId="6" fillId="0" borderId="5" xfId="0" applyFont="1" applyBorder="1" applyAlignment="1">
      <alignment/>
    </xf>
    <xf numFmtId="177" fontId="6" fillId="0" borderId="10" xfId="0" applyFont="1" applyBorder="1" applyAlignment="1">
      <alignment/>
    </xf>
    <xf numFmtId="177" fontId="0" fillId="0" borderId="5" xfId="0" applyNumberFormat="1" applyBorder="1" applyAlignment="1">
      <alignment/>
    </xf>
    <xf numFmtId="177" fontId="6" fillId="0" borderId="0" xfId="22" applyFont="1" applyAlignment="1">
      <alignment/>
    </xf>
    <xf numFmtId="177" fontId="0" fillId="0" borderId="0" xfId="0" applyAlignment="1" quotePrefix="1">
      <alignment/>
    </xf>
    <xf numFmtId="165" fontId="1" fillId="0" borderId="0" xfId="22" applyFill="1" applyAlignment="1">
      <alignment/>
    </xf>
    <xf numFmtId="170" fontId="1" fillId="0" borderId="0" xfId="22" applyNumberFormat="1" applyAlignment="1">
      <alignment/>
    </xf>
    <xf numFmtId="177" fontId="0" fillId="0" borderId="0" xfId="0" applyFill="1" applyAlignment="1" quotePrefix="1">
      <alignment/>
    </xf>
    <xf numFmtId="177" fontId="0" fillId="0" borderId="0" xfId="0" applyFont="1" applyAlignment="1" quotePrefix="1">
      <alignment/>
    </xf>
    <xf numFmtId="41" fontId="2" fillId="3" borderId="0" xfId="23" applyFont="1" applyAlignment="1" quotePrefix="1">
      <alignment horizontal="center"/>
    </xf>
    <xf numFmtId="177" fontId="0" fillId="0" borderId="2" xfId="30" applyFont="1" applyAlignment="1">
      <alignment/>
    </xf>
    <xf numFmtId="169" fontId="0" fillId="0" borderId="0" xfId="26" applyFont="1" applyFill="1" applyBorder="1">
      <alignment/>
      <protection/>
    </xf>
    <xf numFmtId="177" fontId="0" fillId="0" borderId="0" xfId="0" applyFont="1" applyBorder="1" applyAlignment="1" quotePrefix="1">
      <alignment horizontal="center"/>
    </xf>
    <xf numFmtId="177" fontId="0" fillId="0" borderId="0" xfId="0" applyAlignment="1" quotePrefix="1">
      <alignment horizontal="center"/>
    </xf>
    <xf numFmtId="177" fontId="0" fillId="0" borderId="0" xfId="0" applyAlignment="1">
      <alignment horizontal="center"/>
    </xf>
    <xf numFmtId="169" fontId="0" fillId="0" borderId="0" xfId="25" applyFont="1" applyFill="1">
      <alignment/>
      <protection/>
    </xf>
    <xf numFmtId="177" fontId="0" fillId="0" borderId="0" xfId="0" applyFont="1" applyFill="1" applyBorder="1" applyAlignment="1" quotePrefix="1">
      <alignment horizontal="center"/>
    </xf>
    <xf numFmtId="10" fontId="0" fillId="0" borderId="0" xfId="25" applyNumberFormat="1" applyFont="1" applyFill="1" applyAlignment="1">
      <alignment horizontal="left"/>
      <protection/>
    </xf>
    <xf numFmtId="177" fontId="0" fillId="0" borderId="0" xfId="0" applyAlignment="1" quotePrefix="1">
      <alignment/>
    </xf>
    <xf numFmtId="177" fontId="0" fillId="0" borderId="0" xfId="0" applyFont="1" applyFill="1" applyBorder="1" applyAlignment="1">
      <alignment/>
    </xf>
    <xf numFmtId="3" fontId="0" fillId="0" borderId="0" xfId="28" applyNumberFormat="1" applyFont="1" applyFill="1" applyBorder="1" applyAlignment="1" quotePrefix="1">
      <alignment horizontal="center"/>
      <protection/>
    </xf>
    <xf numFmtId="177" fontId="0" fillId="0" borderId="0" xfId="30" applyBorder="1" applyAlignment="1">
      <alignment/>
    </xf>
    <xf numFmtId="0" fontId="0" fillId="0" borderId="0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 applyBorder="1" quotePrefix="1">
      <alignment/>
      <protection/>
    </xf>
    <xf numFmtId="177" fontId="0" fillId="0" borderId="0" xfId="0" applyAlignment="1">
      <alignment horizontal="left"/>
    </xf>
    <xf numFmtId="10" fontId="0" fillId="0" borderId="11" xfId="28" applyNumberFormat="1" applyFont="1" applyFill="1" applyBorder="1" applyAlignment="1" quotePrefix="1">
      <alignment horizontal="center"/>
      <protection/>
    </xf>
    <xf numFmtId="0" fontId="0" fillId="0" borderId="0" xfId="28" applyFont="1" applyBorder="1">
      <alignment/>
      <protection/>
    </xf>
    <xf numFmtId="177" fontId="2" fillId="3" borderId="0" xfId="23" applyAlignment="1" quotePrefix="1">
      <alignment horizontal="center"/>
    </xf>
    <xf numFmtId="177" fontId="0" fillId="0" borderId="0" xfId="0" applyFill="1" applyBorder="1" applyAlignment="1" quotePrefix="1">
      <alignment/>
    </xf>
    <xf numFmtId="41" fontId="2" fillId="3" borderId="0" xfId="23" applyFill="1" applyAlignment="1">
      <alignment/>
    </xf>
    <xf numFmtId="177" fontId="4" fillId="3" borderId="0" xfId="23" applyFont="1" applyFill="1" applyAlignment="1">
      <alignment horizontal="center"/>
    </xf>
    <xf numFmtId="165" fontId="1" fillId="0" borderId="0" xfId="29" applyNumberFormat="1" applyFill="1" applyAlignment="1">
      <alignment/>
    </xf>
    <xf numFmtId="177" fontId="0" fillId="0" borderId="0" xfId="0" applyFont="1" applyFill="1" applyBorder="1" applyAlignment="1" quotePrefix="1">
      <alignment/>
    </xf>
    <xf numFmtId="177" fontId="0" fillId="0" borderId="0" xfId="0" applyFont="1" applyFill="1" applyAlignment="1">
      <alignment/>
    </xf>
    <xf numFmtId="177" fontId="1" fillId="0" borderId="0" xfId="0" applyFont="1" applyFill="1" applyAlignment="1">
      <alignment/>
    </xf>
    <xf numFmtId="180" fontId="1" fillId="0" borderId="0" xfId="22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3" fontId="10" fillId="0" borderId="0" xfId="25" applyNumberFormat="1" applyFont="1" applyFill="1" applyAlignment="1">
      <alignment horizontal="center"/>
      <protection/>
    </xf>
    <xf numFmtId="180" fontId="10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77" fontId="6" fillId="0" borderId="0" xfId="0" applyFont="1" applyFill="1" applyAlignment="1">
      <alignment horizontal="center"/>
    </xf>
    <xf numFmtId="180" fontId="0" fillId="0" borderId="0" xfId="22" applyNumberFormat="1" applyFont="1" applyAlignment="1">
      <alignment/>
    </xf>
    <xf numFmtId="177" fontId="6" fillId="0" borderId="0" xfId="0" applyFont="1" applyFill="1" applyAlignment="1">
      <alignment/>
    </xf>
    <xf numFmtId="3" fontId="1" fillId="0" borderId="0" xfId="22" applyNumberFormat="1" applyFont="1" applyFill="1" applyAlignment="1">
      <alignment/>
    </xf>
    <xf numFmtId="177" fontId="1" fillId="0" borderId="0" xfId="22" applyFont="1" applyFill="1" applyAlignment="1">
      <alignment/>
    </xf>
    <xf numFmtId="3" fontId="10" fillId="0" borderId="0" xfId="22" applyNumberFormat="1" applyFont="1" applyFill="1" applyAlignment="1">
      <alignment/>
    </xf>
    <xf numFmtId="177" fontId="10" fillId="0" borderId="0" xfId="0" applyFont="1" applyFill="1" applyAlignment="1">
      <alignment/>
    </xf>
    <xf numFmtId="177" fontId="6" fillId="0" borderId="0" xfId="0" applyFont="1" applyAlignment="1">
      <alignment horizontal="center"/>
    </xf>
    <xf numFmtId="177" fontId="0" fillId="0" borderId="0" xfId="0" applyFont="1" applyFill="1" applyAlignment="1" quotePrefix="1">
      <alignment horizontal="center"/>
    </xf>
    <xf numFmtId="169" fontId="0" fillId="0" borderId="0" xfId="26" applyFont="1" applyFill="1" applyBorder="1" applyAlignment="1" quotePrefix="1">
      <alignment horizontal="center"/>
      <protection/>
    </xf>
    <xf numFmtId="169" fontId="0" fillId="0" borderId="0" xfId="26" applyFont="1" applyFill="1" applyBorder="1" applyAlignment="1">
      <alignment horizontal="center"/>
      <protection/>
    </xf>
    <xf numFmtId="177" fontId="0" fillId="0" borderId="10" xfId="0" applyBorder="1" applyAlignment="1">
      <alignment/>
    </xf>
    <xf numFmtId="0" fontId="0" fillId="0" borderId="0" xfId="28" applyFont="1" applyAlignment="1" quotePrefix="1">
      <alignment horizontal="center"/>
      <protection/>
    </xf>
    <xf numFmtId="177" fontId="6" fillId="0" borderId="0" xfId="0" applyFont="1" applyBorder="1" applyAlignment="1" quotePrefix="1">
      <alignment horizontal="center"/>
    </xf>
    <xf numFmtId="177" fontId="6" fillId="0" borderId="0" xfId="0" applyFont="1" applyAlignment="1" quotePrefix="1">
      <alignment horizontal="center"/>
    </xf>
    <xf numFmtId="171" fontId="6" fillId="0" borderId="0" xfId="28" applyNumberFormat="1" applyFont="1" applyFill="1" applyBorder="1" applyAlignment="1" quotePrefix="1">
      <alignment horizontal="center"/>
      <protection/>
    </xf>
    <xf numFmtId="3" fontId="6" fillId="0" borderId="0" xfId="28" applyNumberFormat="1" applyFont="1" applyFill="1" applyBorder="1" applyAlignment="1" quotePrefix="1">
      <alignment horizontal="center"/>
      <protection/>
    </xf>
    <xf numFmtId="10" fontId="6" fillId="0" borderId="0" xfId="28" applyNumberFormat="1" applyFont="1" applyFill="1" applyBorder="1" applyAlignment="1" quotePrefix="1">
      <alignment horizontal="center"/>
      <protection/>
    </xf>
    <xf numFmtId="179" fontId="6" fillId="0" borderId="0" xfId="0" applyNumberFormat="1" applyFont="1" applyAlignment="1" quotePrefix="1">
      <alignment horizontal="center"/>
    </xf>
    <xf numFmtId="0" fontId="6" fillId="0" borderId="0" xfId="28" applyFont="1" applyAlignment="1" quotePrefix="1">
      <alignment horizontal="center"/>
      <protection/>
    </xf>
    <xf numFmtId="177" fontId="6" fillId="0" borderId="0" xfId="0" applyNumberFormat="1" applyFont="1" applyFill="1" applyAlignment="1">
      <alignment horizontal="center"/>
    </xf>
    <xf numFmtId="177" fontId="6" fillId="0" borderId="0" xfId="0" applyFont="1" applyFill="1" applyBorder="1" applyAlignment="1">
      <alignment horizontal="center"/>
    </xf>
    <xf numFmtId="177" fontId="6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6" fillId="0" borderId="0" xfId="28" applyFont="1" applyFill="1" applyAlignment="1">
      <alignment horizontal="center"/>
      <protection/>
    </xf>
    <xf numFmtId="171" fontId="1" fillId="0" borderId="0" xfId="28" applyNumberFormat="1" applyFont="1" applyFill="1" applyAlignment="1">
      <alignment horizontal="center"/>
      <protection/>
    </xf>
    <xf numFmtId="177" fontId="0" fillId="0" borderId="11" xfId="0" applyBorder="1" applyAlignment="1" quotePrefix="1">
      <alignment horizontal="center"/>
    </xf>
    <xf numFmtId="177" fontId="1" fillId="0" borderId="0" xfId="0" applyFont="1" applyFill="1" applyAlignment="1">
      <alignment/>
    </xf>
    <xf numFmtId="177" fontId="0" fillId="0" borderId="2" xfId="30" applyFill="1" applyAlignment="1">
      <alignment/>
    </xf>
    <xf numFmtId="170" fontId="0" fillId="0" borderId="0" xfId="29" applyNumberFormat="1" applyAlignment="1">
      <alignment/>
    </xf>
    <xf numFmtId="170" fontId="1" fillId="0" borderId="0" xfId="22" applyNumberFormat="1" applyFill="1" applyAlignment="1">
      <alignment/>
    </xf>
    <xf numFmtId="170" fontId="0" fillId="0" borderId="0" xfId="29" applyNumberFormat="1" applyFill="1" applyAlignment="1">
      <alignment/>
    </xf>
    <xf numFmtId="177" fontId="4" fillId="3" borderId="0" xfId="23" applyFont="1" applyAlignment="1">
      <alignment horizontal="right"/>
    </xf>
    <xf numFmtId="177" fontId="1" fillId="0" borderId="11" xfId="22" applyBorder="1" applyAlignment="1">
      <alignment/>
    </xf>
    <xf numFmtId="172" fontId="0" fillId="0" borderId="0" xfId="17" applyNumberFormat="1" applyBorder="1" applyAlignment="1">
      <alignment/>
    </xf>
    <xf numFmtId="195" fontId="1" fillId="0" borderId="0" xfId="29" applyNumberFormat="1" applyAlignment="1">
      <alignment/>
    </xf>
    <xf numFmtId="195" fontId="0" fillId="0" borderId="0" xfId="29" applyNumberFormat="1" applyAlignment="1">
      <alignment/>
    </xf>
    <xf numFmtId="165" fontId="0" fillId="0" borderId="0" xfId="29" applyFont="1" applyFill="1" applyBorder="1" applyAlignment="1">
      <alignment/>
    </xf>
    <xf numFmtId="165" fontId="0" fillId="0" borderId="0" xfId="29" applyFont="1" applyFill="1" applyBorder="1" applyAlignment="1">
      <alignment/>
    </xf>
    <xf numFmtId="165" fontId="0" fillId="0" borderId="0" xfId="29" applyFont="1" applyFill="1" applyBorder="1" applyAlignment="1">
      <alignment/>
    </xf>
    <xf numFmtId="165" fontId="0" fillId="0" borderId="0" xfId="29" applyFill="1" applyBorder="1" applyAlignment="1">
      <alignment/>
    </xf>
    <xf numFmtId="172" fontId="0" fillId="0" borderId="0" xfId="17" applyNumberFormat="1" applyFont="1" applyFill="1" applyBorder="1" applyAlignment="1">
      <alignment/>
    </xf>
    <xf numFmtId="42" fontId="0" fillId="0" borderId="0" xfId="20" applyBorder="1" applyAlignment="1">
      <alignment/>
    </xf>
    <xf numFmtId="165" fontId="0" fillId="0" borderId="0" xfId="29" applyBorder="1" applyAlignment="1">
      <alignment/>
    </xf>
    <xf numFmtId="172" fontId="0" fillId="0" borderId="0" xfId="17" applyNumberFormat="1" applyFont="1" applyBorder="1" applyAlignment="1">
      <alignment/>
    </xf>
    <xf numFmtId="42" fontId="0" fillId="0" borderId="0" xfId="20" applyFont="1" applyBorder="1" applyAlignment="1">
      <alignment/>
    </xf>
    <xf numFmtId="214" fontId="4" fillId="3" borderId="0" xfId="17" applyNumberFormat="1" applyFont="1" applyAlignment="1">
      <alignment horizontal="right"/>
    </xf>
    <xf numFmtId="186" fontId="0" fillId="0" borderId="0" xfId="19" applyNumberFormat="1" applyFill="1" applyBorder="1" applyAlignment="1">
      <alignment/>
    </xf>
    <xf numFmtId="186" fontId="0" fillId="0" borderId="0" xfId="19" applyNumberFormat="1" applyFont="1" applyFill="1" applyBorder="1" applyAlignment="1">
      <alignment/>
    </xf>
    <xf numFmtId="165" fontId="0" fillId="0" borderId="0" xfId="29" applyFont="1" applyBorder="1" applyAlignment="1">
      <alignment/>
    </xf>
    <xf numFmtId="170" fontId="6" fillId="0" borderId="0" xfId="29" applyNumberFormat="1" applyFont="1" applyFill="1" applyBorder="1" applyAlignment="1">
      <alignment/>
    </xf>
    <xf numFmtId="186" fontId="0" fillId="0" borderId="0" xfId="19" applyNumberFormat="1" applyBorder="1" applyAlignment="1">
      <alignment/>
    </xf>
    <xf numFmtId="42" fontId="0" fillId="0" borderId="0" xfId="20" applyAlignment="1">
      <alignment/>
    </xf>
    <xf numFmtId="165" fontId="0" fillId="0" borderId="0" xfId="29" applyAlignment="1">
      <alignment/>
    </xf>
    <xf numFmtId="177" fontId="0" fillId="0" borderId="2" xfId="30" applyFont="1" applyAlignment="1">
      <alignment/>
    </xf>
    <xf numFmtId="177" fontId="0" fillId="0" borderId="2" xfId="30" applyAlignment="1">
      <alignment/>
    </xf>
    <xf numFmtId="177" fontId="0" fillId="0" borderId="2" xfId="30" applyFill="1" applyAlignment="1">
      <alignment/>
    </xf>
    <xf numFmtId="176" fontId="0" fillId="0" borderId="2" xfId="30" applyNumberFormat="1" applyAlignment="1">
      <alignment/>
    </xf>
    <xf numFmtId="177" fontId="0" fillId="0" borderId="0" xfId="31" applyBorder="1" applyAlignment="1">
      <alignment/>
    </xf>
    <xf numFmtId="43" fontId="1" fillId="0" borderId="0" xfId="17" applyFill="1" applyBorder="1" applyAlignment="1" applyProtection="1">
      <alignment/>
      <protection/>
    </xf>
    <xf numFmtId="3" fontId="1" fillId="0" borderId="0" xfId="22" applyNumberFormat="1" applyFont="1" applyFill="1" applyAlignment="1">
      <alignment horizontal="right"/>
    </xf>
    <xf numFmtId="165" fontId="0" fillId="0" borderId="0" xfId="29" applyNumberFormat="1" applyAlignment="1">
      <alignment/>
    </xf>
    <xf numFmtId="179" fontId="0" fillId="0" borderId="0" xfId="0" applyNumberFormat="1" applyFont="1" applyAlignment="1" quotePrefix="1">
      <alignment horizontal="center"/>
    </xf>
    <xf numFmtId="173" fontId="6" fillId="0" borderId="1" xfId="30" applyNumberFormat="1" applyFont="1" applyBorder="1" applyAlignment="1">
      <alignment/>
    </xf>
    <xf numFmtId="173" fontId="6" fillId="0" borderId="1" xfId="19" applyNumberFormat="1" applyFont="1" applyBorder="1" applyAlignment="1">
      <alignment/>
    </xf>
    <xf numFmtId="3" fontId="6" fillId="0" borderId="0" xfId="25" applyNumberFormat="1" applyFont="1" applyFill="1" applyAlignment="1">
      <alignment horizontal="left"/>
      <protection/>
    </xf>
    <xf numFmtId="177" fontId="6" fillId="0" borderId="0" xfId="30" applyFont="1" applyBorder="1" applyAlignment="1">
      <alignment horizontal="left"/>
    </xf>
    <xf numFmtId="41" fontId="5" fillId="3" borderId="0" xfId="23" applyFont="1" applyAlignment="1">
      <alignment horizontal="left"/>
    </xf>
    <xf numFmtId="41" fontId="4" fillId="3" borderId="0" xfId="23" applyFont="1" applyAlignment="1">
      <alignment horizontal="left"/>
    </xf>
    <xf numFmtId="41" fontId="6" fillId="0" borderId="0" xfId="23" applyFont="1" applyFill="1" applyAlignment="1">
      <alignment horizontal="left"/>
    </xf>
    <xf numFmtId="177" fontId="6" fillId="0" borderId="0" xfId="0" applyFont="1" applyAlignment="1">
      <alignment horizontal="left"/>
    </xf>
    <xf numFmtId="0" fontId="0" fillId="0" borderId="0" xfId="28" applyFont="1" applyAlignment="1">
      <alignment horizontal="left"/>
      <protection/>
    </xf>
    <xf numFmtId="0" fontId="0" fillId="0" borderId="0" xfId="28" applyFont="1" applyFill="1" applyBorder="1" applyAlignment="1">
      <alignment horizontal="left"/>
      <protection/>
    </xf>
    <xf numFmtId="177" fontId="0" fillId="0" borderId="0" xfId="0" applyFont="1" applyBorder="1" applyAlignment="1" quotePrefix="1">
      <alignment horizontal="left"/>
    </xf>
    <xf numFmtId="177" fontId="0" fillId="0" borderId="0" xfId="0" applyAlignment="1" quotePrefix="1">
      <alignment horizontal="left"/>
    </xf>
    <xf numFmtId="0" fontId="0" fillId="0" borderId="0" xfId="28" applyFont="1" applyBorder="1" applyAlignment="1" quotePrefix="1">
      <alignment horizontal="left"/>
      <protection/>
    </xf>
    <xf numFmtId="3" fontId="0" fillId="0" borderId="0" xfId="28" applyNumberFormat="1" applyFont="1" applyFill="1" applyBorder="1" applyAlignment="1" quotePrefix="1">
      <alignment horizontal="left"/>
      <protection/>
    </xf>
    <xf numFmtId="10" fontId="0" fillId="0" borderId="0" xfId="28" applyNumberFormat="1" applyFont="1" applyFill="1" applyBorder="1" applyAlignment="1" quotePrefix="1">
      <alignment horizontal="left"/>
      <protection/>
    </xf>
    <xf numFmtId="177" fontId="0" fillId="0" borderId="0" xfId="0" applyBorder="1" applyAlignment="1" quotePrefix="1">
      <alignment horizontal="left"/>
    </xf>
    <xf numFmtId="177" fontId="0" fillId="0" borderId="0" xfId="0" applyFill="1" applyBorder="1" applyAlignment="1" quotePrefix="1">
      <alignment horizontal="left"/>
    </xf>
    <xf numFmtId="0" fontId="6" fillId="0" borderId="12" xfId="30" applyFont="1" applyFill="1" applyBorder="1" applyAlignment="1">
      <alignment/>
    </xf>
    <xf numFmtId="0" fontId="0" fillId="0" borderId="12" xfId="30" applyFont="1" applyFill="1" applyBorder="1" applyAlignment="1">
      <alignment/>
    </xf>
    <xf numFmtId="171" fontId="6" fillId="0" borderId="12" xfId="30" applyNumberFormat="1" applyFont="1" applyFill="1" applyBorder="1" applyAlignment="1">
      <alignment/>
    </xf>
    <xf numFmtId="173" fontId="6" fillId="0" borderId="9" xfId="19" applyNumberFormat="1" applyFont="1" applyBorder="1" applyAlignment="1">
      <alignment/>
    </xf>
    <xf numFmtId="181" fontId="6" fillId="0" borderId="9" xfId="0" applyNumberFormat="1" applyFont="1" applyBorder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Alignment="1">
      <alignment/>
    </xf>
    <xf numFmtId="172" fontId="0" fillId="4" borderId="1" xfId="22" applyNumberFormat="1" applyFont="1" applyFill="1" applyBorder="1" applyAlignment="1">
      <alignment/>
    </xf>
    <xf numFmtId="173" fontId="0" fillId="4" borderId="1" xfId="22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73" fontId="0" fillId="0" borderId="0" xfId="19" applyNumberFormat="1" applyFill="1" applyBorder="1" applyAlignment="1">
      <alignment/>
    </xf>
    <xf numFmtId="172" fontId="1" fillId="0" borderId="0" xfId="22" applyNumberFormat="1" applyFill="1" applyBorder="1" applyAlignment="1">
      <alignment/>
    </xf>
    <xf numFmtId="173" fontId="1" fillId="0" borderId="0" xfId="22" applyNumberFormat="1" applyFill="1" applyBorder="1" applyAlignment="1">
      <alignment/>
    </xf>
    <xf numFmtId="38" fontId="1" fillId="0" borderId="0" xfId="22" applyNumberFormat="1" applyFill="1" applyBorder="1" applyAlignment="1" applyProtection="1">
      <alignment/>
      <protection/>
    </xf>
    <xf numFmtId="186" fontId="0" fillId="0" borderId="0" xfId="31" applyNumberFormat="1" applyFont="1" applyFill="1" applyBorder="1" applyAlignment="1">
      <alignment horizontal="center"/>
    </xf>
    <xf numFmtId="177" fontId="0" fillId="0" borderId="0" xfId="0" applyFont="1" applyBorder="1" applyAlignment="1">
      <alignment/>
    </xf>
    <xf numFmtId="41" fontId="6" fillId="0" borderId="0" xfId="23" applyFont="1" applyFill="1" applyAlignment="1" quotePrefix="1">
      <alignment horizontal="left"/>
    </xf>
    <xf numFmtId="177" fontId="0" fillId="0" borderId="11" xfId="0" applyBorder="1" applyAlignment="1">
      <alignment/>
    </xf>
    <xf numFmtId="177" fontId="0" fillId="0" borderId="11" xfId="0" applyFont="1" applyBorder="1" applyAlignment="1">
      <alignment/>
    </xf>
    <xf numFmtId="177" fontId="1" fillId="0" borderId="11" xfId="22" applyFill="1" applyBorder="1" applyAlignment="1">
      <alignment/>
    </xf>
    <xf numFmtId="172" fontId="6" fillId="0" borderId="0" xfId="17" applyNumberFormat="1" applyFont="1" applyFill="1" applyBorder="1" applyAlignment="1">
      <alignment/>
    </xf>
    <xf numFmtId="172" fontId="0" fillId="0" borderId="0" xfId="17" applyNumberFormat="1" applyFill="1" applyBorder="1" applyAlignment="1">
      <alignment/>
    </xf>
    <xf numFmtId="172" fontId="6" fillId="0" borderId="0" xfId="17" applyNumberFormat="1" applyFont="1" applyBorder="1" applyAlignment="1">
      <alignment/>
    </xf>
    <xf numFmtId="177" fontId="1" fillId="0" borderId="0" xfId="15" applyFill="1" applyAlignment="1">
      <alignment/>
    </xf>
    <xf numFmtId="177" fontId="6" fillId="0" borderId="2" xfId="30" applyFont="1" applyFill="1" applyAlignment="1">
      <alignment/>
    </xf>
    <xf numFmtId="177" fontId="6" fillId="0" borderId="0" xfId="30" applyNumberFormat="1" applyFont="1" applyFill="1" applyBorder="1" applyAlignment="1">
      <alignment/>
    </xf>
    <xf numFmtId="177" fontId="1" fillId="0" borderId="11" xfId="15" applyFill="1" applyBorder="1" applyAlignment="1">
      <alignment/>
    </xf>
    <xf numFmtId="177" fontId="6" fillId="0" borderId="0" xfId="30" applyFont="1" applyFill="1" applyBorder="1" applyAlignment="1">
      <alignment/>
    </xf>
    <xf numFmtId="172" fontId="0" fillId="0" borderId="0" xfId="17" applyNumberFormat="1" applyFont="1" applyFill="1" applyBorder="1" applyAlignment="1">
      <alignment/>
    </xf>
    <xf numFmtId="177" fontId="1" fillId="0" borderId="0" xfId="0" applyFont="1" applyAlignment="1">
      <alignment/>
    </xf>
    <xf numFmtId="43" fontId="1" fillId="0" borderId="0" xfId="17" applyFont="1" applyFill="1" applyBorder="1" applyAlignment="1" applyProtection="1">
      <alignment/>
      <protection/>
    </xf>
    <xf numFmtId="177" fontId="1" fillId="0" borderId="2" xfId="30" applyFont="1" applyFill="1" applyAlignment="1">
      <alignment/>
    </xf>
    <xf numFmtId="177" fontId="1" fillId="0" borderId="0" xfId="0" applyFont="1" applyFill="1" applyBorder="1" applyAlignment="1" applyProtection="1">
      <alignment/>
      <protection/>
    </xf>
    <xf numFmtId="165" fontId="0" fillId="0" borderId="0" xfId="29" applyFont="1" applyAlignment="1">
      <alignment/>
    </xf>
    <xf numFmtId="177" fontId="1" fillId="0" borderId="11" xfId="0" applyFont="1" applyBorder="1" applyAlignment="1">
      <alignment/>
    </xf>
    <xf numFmtId="177" fontId="1" fillId="0" borderId="0" xfId="22" applyFont="1" applyAlignment="1">
      <alignment/>
    </xf>
    <xf numFmtId="177" fontId="6" fillId="0" borderId="13" xfId="0" applyFont="1" applyFill="1" applyBorder="1" applyAlignment="1">
      <alignment/>
    </xf>
    <xf numFmtId="177" fontId="6" fillId="0" borderId="14" xfId="0" applyFont="1" applyFill="1" applyBorder="1" applyAlignment="1">
      <alignment/>
    </xf>
    <xf numFmtId="177" fontId="6" fillId="0" borderId="1" xfId="0" applyFont="1" applyFill="1" applyBorder="1" applyAlignment="1">
      <alignment/>
    </xf>
    <xf numFmtId="172" fontId="0" fillId="0" borderId="0" xfId="17" applyNumberFormat="1" applyFont="1" applyAlignment="1">
      <alignment/>
    </xf>
    <xf numFmtId="44" fontId="13" fillId="0" borderId="0" xfId="22" applyFont="1" applyFill="1" applyAlignment="1">
      <alignment/>
    </xf>
    <xf numFmtId="177" fontId="13" fillId="0" borderId="0" xfId="0" applyFont="1" applyFill="1" applyAlignment="1" quotePrefix="1">
      <alignment/>
    </xf>
    <xf numFmtId="177" fontId="13" fillId="0" borderId="0" xfId="0" applyFont="1" applyAlignment="1">
      <alignment/>
    </xf>
    <xf numFmtId="180" fontId="14" fillId="0" borderId="0" xfId="0" applyNumberFormat="1" applyFont="1" applyAlignment="1">
      <alignment/>
    </xf>
    <xf numFmtId="180" fontId="14" fillId="0" borderId="9" xfId="0" applyNumberFormat="1" applyFont="1" applyBorder="1" applyAlignment="1">
      <alignment/>
    </xf>
    <xf numFmtId="181" fontId="14" fillId="0" borderId="0" xfId="0" applyNumberFormat="1" applyFont="1" applyAlignment="1">
      <alignment/>
    </xf>
    <xf numFmtId="177" fontId="13" fillId="0" borderId="0" xfId="0" applyFont="1" applyAlignment="1" quotePrefix="1">
      <alignment/>
    </xf>
    <xf numFmtId="180" fontId="13" fillId="0" borderId="0" xfId="0" applyNumberFormat="1" applyFont="1" applyAlignment="1">
      <alignment/>
    </xf>
    <xf numFmtId="186" fontId="14" fillId="0" borderId="3" xfId="31" applyNumberFormat="1" applyFont="1" applyFill="1" applyAlignment="1">
      <alignment horizontal="center"/>
    </xf>
    <xf numFmtId="177" fontId="14" fillId="0" borderId="3" xfId="0" applyFont="1" applyBorder="1" applyAlignment="1">
      <alignment/>
    </xf>
    <xf numFmtId="186" fontId="13" fillId="0" borderId="0" xfId="19" applyNumberFormat="1" applyFont="1" applyFill="1" applyBorder="1" applyAlignment="1">
      <alignment horizontal="center"/>
    </xf>
    <xf numFmtId="177" fontId="14" fillId="0" borderId="0" xfId="0" applyFont="1" applyAlignment="1">
      <alignment/>
    </xf>
    <xf numFmtId="177" fontId="14" fillId="0" borderId="0" xfId="0" applyFont="1" applyBorder="1" applyAlignment="1">
      <alignment/>
    </xf>
    <xf numFmtId="186" fontId="14" fillId="0" borderId="2" xfId="31" applyNumberFormat="1" applyFont="1" applyFill="1" applyBorder="1" applyAlignment="1">
      <alignment horizontal="center"/>
    </xf>
    <xf numFmtId="177" fontId="15" fillId="0" borderId="0" xfId="0" applyFont="1" applyFill="1" applyBorder="1" applyAlignment="1">
      <alignment/>
    </xf>
    <xf numFmtId="177" fontId="15" fillId="0" borderId="0" xfId="0" applyFont="1" applyBorder="1" applyAlignment="1">
      <alignment/>
    </xf>
    <xf numFmtId="177" fontId="15" fillId="0" borderId="0" xfId="0" applyFont="1" applyAlignment="1">
      <alignment/>
    </xf>
    <xf numFmtId="180" fontId="15" fillId="0" borderId="0" xfId="0" applyNumberFormat="1" applyFont="1" applyFill="1" applyBorder="1" applyAlignment="1">
      <alignment/>
    </xf>
    <xf numFmtId="172" fontId="15" fillId="0" borderId="0" xfId="17" applyNumberFormat="1" applyFont="1" applyAlignment="1">
      <alignment/>
    </xf>
    <xf numFmtId="189" fontId="14" fillId="0" borderId="0" xfId="19" applyNumberFormat="1" applyFont="1" applyAlignment="1">
      <alignment/>
    </xf>
    <xf numFmtId="194" fontId="14" fillId="0" borderId="0" xfId="20" applyNumberFormat="1" applyFont="1" applyAlignment="1">
      <alignment/>
    </xf>
  </cellXfs>
  <cellStyles count="18">
    <cellStyle name="Normal" xfId="0"/>
    <cellStyle name="assumption" xfId="15"/>
    <cellStyle name="assumptions" xfId="16"/>
    <cellStyle name="Comma" xfId="17"/>
    <cellStyle name="Comma [0]" xfId="18"/>
    <cellStyle name="Currency" xfId="19"/>
    <cellStyle name="Currency [0]" xfId="20"/>
    <cellStyle name="Followed Hyperlink" xfId="21"/>
    <cellStyle name="Given" xfId="22"/>
    <cellStyle name="header" xfId="23"/>
    <cellStyle name="Hyperlink" xfId="24"/>
    <cellStyle name="Normal_FCM_cost estimates_7" xfId="25"/>
    <cellStyle name="Normal_FCM_revenue_4" xfId="26"/>
    <cellStyle name="Normal_Final Standard BD2001" xfId="27"/>
    <cellStyle name="Normal_Std_Costs_jb_2" xfId="28"/>
    <cellStyle name="Percent" xfId="29"/>
    <cellStyle name="topline" xfId="30"/>
    <cellStyle name="underscor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67.8515625" style="0" customWidth="1"/>
    <col min="4" max="4" width="12.28125" style="0" bestFit="1" customWidth="1"/>
    <col min="5" max="5" width="14.28125" style="0" customWidth="1"/>
    <col min="6" max="6" width="15.00390625" style="0" customWidth="1"/>
    <col min="8" max="9" width="12.28125" style="0" bestFit="1" customWidth="1"/>
    <col min="10" max="10" width="11.28125" style="0" bestFit="1" customWidth="1"/>
  </cols>
  <sheetData>
    <row r="1" spans="1:6" ht="18">
      <c r="A1" s="3" t="s">
        <v>305</v>
      </c>
      <c r="B1" s="1"/>
      <c r="C1" s="1"/>
      <c r="D1" s="1"/>
      <c r="E1" s="1"/>
      <c r="F1" s="1"/>
    </row>
    <row r="2" spans="1:6" ht="12.75">
      <c r="A2" s="2" t="s">
        <v>191</v>
      </c>
      <c r="B2" s="1"/>
      <c r="C2" s="1"/>
      <c r="D2" s="1"/>
      <c r="E2" s="1"/>
      <c r="F2" s="1"/>
    </row>
    <row r="3" spans="1:6" ht="12.75">
      <c r="A3" s="2" t="s">
        <v>287</v>
      </c>
      <c r="B3" s="1"/>
      <c r="C3" s="1"/>
      <c r="D3" s="5" t="s">
        <v>0</v>
      </c>
      <c r="E3" s="5" t="s">
        <v>1</v>
      </c>
      <c r="F3" s="5" t="s">
        <v>2</v>
      </c>
    </row>
    <row r="4" ht="12.75">
      <c r="A4" s="6" t="s">
        <v>5</v>
      </c>
    </row>
    <row r="5" spans="1:6" ht="12.75">
      <c r="A5" s="95" t="s">
        <v>118</v>
      </c>
      <c r="B5" s="9" t="s">
        <v>266</v>
      </c>
      <c r="C5" s="10"/>
      <c r="D5" s="96">
        <v>0.003</v>
      </c>
      <c r="E5" s="96">
        <v>0.003</v>
      </c>
      <c r="F5" s="96">
        <v>0.003</v>
      </c>
    </row>
    <row r="6" spans="1:6" ht="12.75">
      <c r="A6" s="95" t="s">
        <v>119</v>
      </c>
      <c r="B6" s="9" t="s">
        <v>239</v>
      </c>
      <c r="C6" s="10"/>
      <c r="D6" s="162">
        <v>0.0475</v>
      </c>
      <c r="E6" s="162">
        <v>0.0475</v>
      </c>
      <c r="F6" s="162">
        <v>0.0475</v>
      </c>
    </row>
    <row r="7" spans="1:6" ht="12.75">
      <c r="A7" s="10"/>
      <c r="B7" s="10"/>
      <c r="D7" s="41"/>
      <c r="E7" s="41"/>
      <c r="F7" s="41"/>
    </row>
    <row r="8" spans="1:6" ht="12.75">
      <c r="A8" s="98" t="s">
        <v>120</v>
      </c>
      <c r="B8" s="12" t="s">
        <v>7</v>
      </c>
      <c r="D8" s="13">
        <v>0.0123</v>
      </c>
      <c r="E8" s="13">
        <v>0.0123</v>
      </c>
      <c r="F8" s="13">
        <v>0.0123</v>
      </c>
    </row>
    <row r="9" spans="1:6" ht="12.75">
      <c r="A9" s="10"/>
      <c r="B9" s="10"/>
      <c r="D9" s="41"/>
      <c r="E9" s="41"/>
      <c r="F9" s="41"/>
    </row>
    <row r="10" spans="1:6" ht="12.75">
      <c r="A10" s="6" t="s">
        <v>6</v>
      </c>
      <c r="D10" s="41"/>
      <c r="E10" s="41"/>
      <c r="F10" s="41"/>
    </row>
    <row r="11" spans="1:6" ht="12.75">
      <c r="A11" s="99" t="s">
        <v>121</v>
      </c>
      <c r="B11" t="s">
        <v>11</v>
      </c>
      <c r="D11" s="123">
        <v>0.04</v>
      </c>
      <c r="E11" s="96">
        <v>0.04</v>
      </c>
      <c r="F11" s="96">
        <v>0.04</v>
      </c>
    </row>
    <row r="12" spans="1:6" ht="12.75">
      <c r="A12" s="6"/>
      <c r="D12" s="41"/>
      <c r="E12" s="41"/>
      <c r="F12" s="41"/>
    </row>
    <row r="13" spans="1:6" ht="12.75">
      <c r="A13" s="95" t="s">
        <v>122</v>
      </c>
      <c r="B13" s="14" t="s">
        <v>8</v>
      </c>
      <c r="D13" s="254">
        <f>0.53*(1+D11)*(1+D11)</f>
        <v>0.5732480000000001</v>
      </c>
      <c r="E13" s="254">
        <f>D13*(1+E11)</f>
        <v>0.5961779200000001</v>
      </c>
      <c r="F13" s="254">
        <f>E13*(1+F11)</f>
        <v>0.6200250368000002</v>
      </c>
    </row>
    <row r="14" spans="1:6" ht="12.75">
      <c r="A14" s="95" t="s">
        <v>123</v>
      </c>
      <c r="B14" s="14" t="s">
        <v>9</v>
      </c>
      <c r="D14" s="254">
        <f>0.33*(1+D11)*(1+D11)</f>
        <v>0.356928</v>
      </c>
      <c r="E14" s="254">
        <f>D14*(1+E11)</f>
        <v>0.37120512000000006</v>
      </c>
      <c r="F14" s="254">
        <f>E14*(1+F11)</f>
        <v>0.3860533248000001</v>
      </c>
    </row>
    <row r="15" spans="1:6" ht="12.75">
      <c r="A15" s="95" t="s">
        <v>124</v>
      </c>
      <c r="B15" s="14" t="s">
        <v>10</v>
      </c>
      <c r="D15" s="96">
        <v>0.85</v>
      </c>
      <c r="E15" s="96">
        <v>0.85</v>
      </c>
      <c r="F15" s="96">
        <v>0.85</v>
      </c>
    </row>
    <row r="16" spans="4:6" ht="12.75">
      <c r="D16" s="41"/>
      <c r="E16" s="41"/>
      <c r="F16" s="41"/>
    </row>
    <row r="17" spans="1:6" ht="12.75">
      <c r="A17" s="95" t="s">
        <v>125</v>
      </c>
      <c r="B17" t="s">
        <v>290</v>
      </c>
      <c r="D17" s="96">
        <v>1</v>
      </c>
      <c r="E17" s="96">
        <v>1</v>
      </c>
      <c r="F17" s="96">
        <v>1</v>
      </c>
    </row>
    <row r="18" spans="4:6" ht="12.75">
      <c r="D18" s="29"/>
      <c r="E18" s="29"/>
      <c r="F18" s="29"/>
    </row>
    <row r="19" spans="1:6" ht="12.75">
      <c r="A19" s="95" t="s">
        <v>126</v>
      </c>
      <c r="B19" t="s">
        <v>116</v>
      </c>
      <c r="D19" s="48">
        <v>1.03</v>
      </c>
      <c r="E19" s="97"/>
      <c r="F19" s="97"/>
    </row>
    <row r="21" spans="1:2" ht="12.75">
      <c r="A21" s="95" t="s">
        <v>118</v>
      </c>
      <c r="B21" s="10" t="s">
        <v>300</v>
      </c>
    </row>
    <row r="22" spans="1:2" ht="12.75">
      <c r="A22" s="95" t="s">
        <v>119</v>
      </c>
      <c r="B22" s="10" t="s">
        <v>300</v>
      </c>
    </row>
    <row r="23" spans="1:2" ht="12.75">
      <c r="A23" s="98" t="s">
        <v>120</v>
      </c>
      <c r="B23" t="s">
        <v>184</v>
      </c>
    </row>
    <row r="24" spans="1:5" ht="12.75">
      <c r="A24" s="98" t="s">
        <v>121</v>
      </c>
      <c r="B24" t="s">
        <v>295</v>
      </c>
      <c r="D24" s="47"/>
      <c r="E24" s="28"/>
    </row>
    <row r="25" spans="1:5" ht="12.75">
      <c r="A25" s="255" t="s">
        <v>122</v>
      </c>
      <c r="B25" s="256" t="s">
        <v>306</v>
      </c>
      <c r="D25" s="47"/>
      <c r="E25" s="28"/>
    </row>
    <row r="26" spans="1:2" ht="12.75">
      <c r="A26" s="255" t="s">
        <v>123</v>
      </c>
      <c r="B26" s="256" t="s">
        <v>306</v>
      </c>
    </row>
    <row r="27" spans="1:2" ht="12.75">
      <c r="A27" s="98" t="s">
        <v>124</v>
      </c>
      <c r="B27" t="s">
        <v>185</v>
      </c>
    </row>
    <row r="28" spans="1:2" ht="12.75">
      <c r="A28" s="98" t="s">
        <v>125</v>
      </c>
      <c r="B28" s="10" t="s">
        <v>300</v>
      </c>
    </row>
    <row r="29" spans="1:5" ht="12.75">
      <c r="A29" s="98" t="s">
        <v>126</v>
      </c>
      <c r="B29" t="s">
        <v>184</v>
      </c>
      <c r="E29" s="28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&amp;L&amp;A&amp;CMC2005-2
HSBC NSA Model&amp;R REVISED  3/11/05</oddFooter>
  </headerFooter>
  <ignoredErrors>
    <ignoredError sqref="A11 A13 A5:A10 A12 A14:A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1" max="1" width="4.7109375" style="116" customWidth="1"/>
    <col min="2" max="2" width="2.7109375" style="0" customWidth="1"/>
    <col min="3" max="3" width="37.140625" style="0" customWidth="1"/>
    <col min="4" max="4" width="13.8515625" style="0" customWidth="1"/>
    <col min="5" max="8" width="14.28125" style="0" bestFit="1" customWidth="1"/>
    <col min="9" max="9" width="12.28125" style="0" bestFit="1" customWidth="1"/>
    <col min="10" max="10" width="17.7109375" style="0" bestFit="1" customWidth="1"/>
    <col min="11" max="11" width="17.28125" style="0" bestFit="1" customWidth="1"/>
    <col min="12" max="12" width="12.28125" style="0" bestFit="1" customWidth="1"/>
    <col min="14" max="14" width="14.00390625" style="0" bestFit="1" customWidth="1"/>
    <col min="15" max="15" width="14.28125" style="0" bestFit="1" customWidth="1"/>
    <col min="16" max="16" width="9.28125" style="0" bestFit="1" customWidth="1"/>
  </cols>
  <sheetData>
    <row r="1" spans="1:16" ht="18">
      <c r="A1" s="199" t="s">
        <v>305</v>
      </c>
      <c r="B1" s="1"/>
      <c r="C1" s="1"/>
      <c r="D1" s="1"/>
      <c r="E1" s="50"/>
      <c r="F1" s="50"/>
      <c r="G1" s="50"/>
      <c r="H1" s="50"/>
      <c r="I1" s="50"/>
      <c r="J1" s="50"/>
      <c r="K1" s="50"/>
      <c r="L1" s="85"/>
      <c r="M1" s="85"/>
      <c r="N1" s="85"/>
      <c r="O1" s="85"/>
      <c r="P1" s="85"/>
    </row>
    <row r="2" spans="1:16" ht="12.75">
      <c r="A2" s="200" t="s">
        <v>191</v>
      </c>
      <c r="B2" s="1"/>
      <c r="C2" s="1"/>
      <c r="D2" s="1"/>
      <c r="E2" s="50"/>
      <c r="F2" s="50"/>
      <c r="G2" s="50"/>
      <c r="H2" s="50"/>
      <c r="I2" s="50"/>
      <c r="J2" s="50"/>
      <c r="K2" s="50"/>
      <c r="L2" s="85"/>
      <c r="M2" s="85"/>
      <c r="N2" s="85"/>
      <c r="O2" s="85"/>
      <c r="P2" s="85"/>
    </row>
    <row r="3" spans="1:16" ht="12.75">
      <c r="A3" s="200" t="s">
        <v>255</v>
      </c>
      <c r="B3" s="1"/>
      <c r="C3" s="1"/>
      <c r="D3" s="4"/>
      <c r="E3" s="52"/>
      <c r="F3" s="52"/>
      <c r="G3" s="53"/>
      <c r="H3" s="53"/>
      <c r="I3" s="53"/>
      <c r="J3" s="53"/>
      <c r="K3" s="50"/>
      <c r="L3" s="85"/>
      <c r="M3" s="85"/>
      <c r="N3" s="85"/>
      <c r="O3" s="85"/>
      <c r="P3" s="85"/>
    </row>
    <row r="4" spans="5:11" ht="12.75">
      <c r="E4" s="51"/>
      <c r="F4" s="51"/>
      <c r="G4" s="51"/>
      <c r="H4" s="51"/>
      <c r="I4" s="51"/>
      <c r="J4" s="51"/>
      <c r="K4" s="51"/>
    </row>
    <row r="5" spans="1:11" ht="13.5" thickBot="1">
      <c r="A5" s="201" t="s">
        <v>104</v>
      </c>
      <c r="E5" s="51"/>
      <c r="F5" s="51"/>
      <c r="G5" s="51"/>
      <c r="H5" s="51"/>
      <c r="I5" s="51"/>
      <c r="J5" s="51"/>
      <c r="K5" s="51"/>
    </row>
    <row r="6" spans="4:16" ht="13.5" thickBot="1">
      <c r="D6" s="90" t="s">
        <v>86</v>
      </c>
      <c r="E6" s="93"/>
      <c r="F6" s="93"/>
      <c r="G6" s="93"/>
      <c r="H6" s="93"/>
      <c r="I6" s="93"/>
      <c r="J6" s="93"/>
      <c r="K6" s="93"/>
      <c r="L6" s="143"/>
      <c r="N6" s="90" t="s">
        <v>243</v>
      </c>
      <c r="O6" s="91"/>
      <c r="P6" s="92"/>
    </row>
    <row r="7" spans="1:16" s="139" customFormat="1" ht="12.75">
      <c r="A7" s="202"/>
      <c r="D7" s="132" t="s">
        <v>226</v>
      </c>
      <c r="E7" s="132" t="s">
        <v>226</v>
      </c>
      <c r="F7" s="132" t="s">
        <v>226</v>
      </c>
      <c r="G7" s="132" t="s">
        <v>226</v>
      </c>
      <c r="H7" s="132" t="s">
        <v>226</v>
      </c>
      <c r="I7" s="132" t="s">
        <v>240</v>
      </c>
      <c r="J7" s="132" t="s">
        <v>209</v>
      </c>
      <c r="K7" s="152" t="s">
        <v>32</v>
      </c>
      <c r="L7" s="152" t="s">
        <v>32</v>
      </c>
      <c r="M7" s="152"/>
      <c r="N7" s="139" t="s">
        <v>241</v>
      </c>
      <c r="O7" s="139" t="s">
        <v>301</v>
      </c>
      <c r="P7" s="139" t="s">
        <v>301</v>
      </c>
    </row>
    <row r="8" spans="1:16" s="139" customFormat="1" ht="12.75">
      <c r="A8" s="202"/>
      <c r="D8" s="132" t="s">
        <v>45</v>
      </c>
      <c r="E8" s="152" t="s">
        <v>46</v>
      </c>
      <c r="F8" s="152" t="s">
        <v>47</v>
      </c>
      <c r="G8" s="152" t="s">
        <v>48</v>
      </c>
      <c r="H8" s="152" t="s">
        <v>45</v>
      </c>
      <c r="I8" s="152" t="s">
        <v>45</v>
      </c>
      <c r="J8" s="152" t="s">
        <v>210</v>
      </c>
      <c r="K8" s="152" t="s">
        <v>49</v>
      </c>
      <c r="L8" s="152" t="s">
        <v>49</v>
      </c>
      <c r="M8" s="152"/>
      <c r="N8" s="139" t="s">
        <v>45</v>
      </c>
      <c r="O8" s="139" t="s">
        <v>49</v>
      </c>
      <c r="P8" s="139" t="s">
        <v>49</v>
      </c>
    </row>
    <row r="9" spans="1:16" s="139" customFormat="1" ht="12.75">
      <c r="A9" s="202"/>
      <c r="D9" s="153" t="s">
        <v>51</v>
      </c>
      <c r="E9" s="153" t="s">
        <v>51</v>
      </c>
      <c r="F9" s="153" t="s">
        <v>51</v>
      </c>
      <c r="G9" s="153" t="s">
        <v>51</v>
      </c>
      <c r="H9" s="153" t="s">
        <v>51</v>
      </c>
      <c r="I9" s="153" t="s">
        <v>51</v>
      </c>
      <c r="J9" s="153" t="s">
        <v>211</v>
      </c>
      <c r="K9" s="153" t="s">
        <v>33</v>
      </c>
      <c r="L9" s="153" t="s">
        <v>33</v>
      </c>
      <c r="M9" s="153"/>
      <c r="N9" s="153" t="s">
        <v>51</v>
      </c>
      <c r="O9" s="153" t="s">
        <v>33</v>
      </c>
      <c r="P9" s="153" t="s">
        <v>33</v>
      </c>
    </row>
    <row r="10" spans="1:16" s="139" customFormat="1" ht="12.75">
      <c r="A10" s="202"/>
      <c r="D10" s="153" t="s">
        <v>52</v>
      </c>
      <c r="E10" s="153" t="s">
        <v>52</v>
      </c>
      <c r="F10" s="153" t="s">
        <v>52</v>
      </c>
      <c r="G10" s="153" t="s">
        <v>52</v>
      </c>
      <c r="H10" s="153" t="s">
        <v>52</v>
      </c>
      <c r="I10" s="153" t="s">
        <v>52</v>
      </c>
      <c r="J10" s="153" t="s">
        <v>53</v>
      </c>
      <c r="K10" s="153" t="s">
        <v>53</v>
      </c>
      <c r="L10" s="153" t="s">
        <v>54</v>
      </c>
      <c r="M10" s="153"/>
      <c r="N10" s="153" t="s">
        <v>52</v>
      </c>
      <c r="O10" s="153" t="s">
        <v>53</v>
      </c>
      <c r="P10" s="153" t="s">
        <v>54</v>
      </c>
    </row>
    <row r="11" spans="1:16" s="139" customFormat="1" ht="12.75">
      <c r="A11" s="202"/>
      <c r="D11" s="145" t="s">
        <v>118</v>
      </c>
      <c r="E11" s="145" t="s">
        <v>119</v>
      </c>
      <c r="F11" s="145" t="s">
        <v>120</v>
      </c>
      <c r="G11" s="146" t="s">
        <v>121</v>
      </c>
      <c r="H11" s="146" t="s">
        <v>122</v>
      </c>
      <c r="I11" s="146" t="s">
        <v>123</v>
      </c>
      <c r="J11" s="146" t="s">
        <v>124</v>
      </c>
      <c r="K11" s="147" t="s">
        <v>125</v>
      </c>
      <c r="L11" s="148" t="s">
        <v>126</v>
      </c>
      <c r="M11" s="146"/>
      <c r="N11" s="149" t="s">
        <v>132</v>
      </c>
      <c r="O11" s="150" t="s">
        <v>142</v>
      </c>
      <c r="P11" s="151" t="s">
        <v>143</v>
      </c>
    </row>
    <row r="12" ht="12.75">
      <c r="B12" s="6" t="s">
        <v>87</v>
      </c>
    </row>
    <row r="13" spans="3:16" ht="12.75">
      <c r="C13" t="s">
        <v>88</v>
      </c>
      <c r="D13" s="47"/>
      <c r="E13" s="127">
        <f>0.13037</f>
        <v>0.13037</v>
      </c>
      <c r="F13" s="127">
        <f>0.04206</f>
        <v>0.04206</v>
      </c>
      <c r="G13" s="48">
        <f aca="true" t="shared" si="0" ref="G13:G18">$D$20-$E$20-$F$20</f>
        <v>0.006160700846509527</v>
      </c>
      <c r="H13" s="47">
        <f aca="true" t="shared" si="1" ref="H13:H18">G13+F13+E13</f>
        <v>0.17859070084650955</v>
      </c>
      <c r="I13" s="47">
        <f>H13*(1+Assumptions!$D$11)*(1+Assumptions!$D$11)</f>
        <v>0.19316370203558475</v>
      </c>
      <c r="J13" s="155">
        <v>1322401662.4416828</v>
      </c>
      <c r="K13" s="136">
        <v>1411242831</v>
      </c>
      <c r="L13" s="7">
        <f aca="true" t="shared" si="2" ref="L13:L18">K13/$K$20</f>
        <v>0.032183290345159536</v>
      </c>
      <c r="M13" s="7"/>
      <c r="N13" s="47">
        <f aca="true" t="shared" si="3" ref="N13:N18">I13</f>
        <v>0.19316370203558475</v>
      </c>
      <c r="O13" s="243">
        <v>1197363</v>
      </c>
      <c r="P13" s="7">
        <f aca="true" t="shared" si="4" ref="P13:P18">O13/$O$20</f>
        <v>0.0038263874548058728</v>
      </c>
    </row>
    <row r="14" spans="3:16" ht="12.75">
      <c r="C14" t="s">
        <v>89</v>
      </c>
      <c r="D14" s="47"/>
      <c r="E14" s="127">
        <f>0.12148</f>
        <v>0.12148</v>
      </c>
      <c r="F14" s="127">
        <f>0.04417</f>
        <v>0.04417</v>
      </c>
      <c r="G14" s="48">
        <f t="shared" si="0"/>
        <v>0.006160700846509527</v>
      </c>
      <c r="H14" s="47">
        <f t="shared" si="1"/>
        <v>0.17181070084650954</v>
      </c>
      <c r="I14" s="47">
        <f>H14*(1+Assumptions!$D$11)*(1+Assumptions!$D$11)</f>
        <v>0.18583045403558474</v>
      </c>
      <c r="J14" s="155">
        <v>4476247837.558317</v>
      </c>
      <c r="K14" s="136">
        <v>2481782907</v>
      </c>
      <c r="L14" s="7">
        <f t="shared" si="2"/>
        <v>0.05659687908780248</v>
      </c>
      <c r="M14" s="7"/>
      <c r="N14" s="47">
        <f t="shared" si="3"/>
        <v>0.18583045403558474</v>
      </c>
      <c r="O14" s="248">
        <v>469903</v>
      </c>
      <c r="P14" s="7">
        <f t="shared" si="4"/>
        <v>0.0015016590158336645</v>
      </c>
    </row>
    <row r="15" spans="3:16" ht="12.75">
      <c r="C15" t="s">
        <v>90</v>
      </c>
      <c r="D15" s="47"/>
      <c r="E15" s="127">
        <f>0.05044</f>
        <v>0.05044</v>
      </c>
      <c r="F15" s="127">
        <f>0.03887</f>
        <v>0.03887</v>
      </c>
      <c r="G15" s="48">
        <f t="shared" si="0"/>
        <v>0.006160700846509527</v>
      </c>
      <c r="H15" s="47">
        <f t="shared" si="1"/>
        <v>0.09547070084650952</v>
      </c>
      <c r="I15" s="47">
        <f>H15*(1+Assumptions!$D$11)*(1+Assumptions!$D$11)</f>
        <v>0.1032611100355847</v>
      </c>
      <c r="J15" s="155">
        <v>2354963527.2182307</v>
      </c>
      <c r="K15" s="136">
        <v>2687599740</v>
      </c>
      <c r="L15" s="7">
        <f t="shared" si="2"/>
        <v>0.06129051702796234</v>
      </c>
      <c r="M15" s="7"/>
      <c r="N15" s="47">
        <f t="shared" si="3"/>
        <v>0.1032611100355847</v>
      </c>
      <c r="O15" s="243">
        <v>7219345</v>
      </c>
      <c r="P15" s="7">
        <f t="shared" si="4"/>
        <v>0.023070707162251968</v>
      </c>
    </row>
    <row r="16" spans="3:16" ht="12.75">
      <c r="C16" t="s">
        <v>91</v>
      </c>
      <c r="D16" s="47"/>
      <c r="E16" s="127">
        <f>0.04326</f>
        <v>0.04326</v>
      </c>
      <c r="F16" s="127">
        <f>0.03827</f>
        <v>0.03827</v>
      </c>
      <c r="G16" s="48">
        <f t="shared" si="0"/>
        <v>0.006160700846509527</v>
      </c>
      <c r="H16" s="47">
        <f t="shared" si="1"/>
        <v>0.08769070084650953</v>
      </c>
      <c r="I16" s="47">
        <f>H16*(1+Assumptions!$D$11)*(1+Assumptions!$D$11)</f>
        <v>0.09484626203558472</v>
      </c>
      <c r="J16" s="155">
        <v>2875476519.7817693</v>
      </c>
      <c r="K16" s="136">
        <v>2848635910</v>
      </c>
      <c r="L16" s="7">
        <f t="shared" si="2"/>
        <v>0.06496293519820032</v>
      </c>
      <c r="M16" s="7"/>
      <c r="N16" s="47">
        <f t="shared" si="3"/>
        <v>0.09484626203558472</v>
      </c>
      <c r="O16" s="243">
        <v>20311073</v>
      </c>
      <c r="P16" s="7">
        <f t="shared" si="4"/>
        <v>0.06490766369166767</v>
      </c>
    </row>
    <row r="17" spans="3:16" ht="12.75">
      <c r="C17" t="s">
        <v>92</v>
      </c>
      <c r="D17" s="47"/>
      <c r="E17" s="127">
        <f>0.04048</f>
        <v>0.04048</v>
      </c>
      <c r="F17" s="127">
        <f>0.03812</f>
        <v>0.03812</v>
      </c>
      <c r="G17" s="48">
        <f t="shared" si="0"/>
        <v>0.006160700846509527</v>
      </c>
      <c r="H17" s="47">
        <f t="shared" si="1"/>
        <v>0.08476070084650952</v>
      </c>
      <c r="I17" s="47">
        <f>H17*(1+Assumptions!$D$11)*(1+Assumptions!$D$11)</f>
        <v>0.09167717403558472</v>
      </c>
      <c r="J17" s="155">
        <v>15600801986</v>
      </c>
      <c r="K17" s="136">
        <v>17815958778</v>
      </c>
      <c r="L17" s="7">
        <f t="shared" si="2"/>
        <v>0.4062916470041347</v>
      </c>
      <c r="M17" s="7"/>
      <c r="N17" s="47">
        <f t="shared" si="3"/>
        <v>0.09167717403558472</v>
      </c>
      <c r="O17" s="243">
        <v>182672355</v>
      </c>
      <c r="P17" s="7">
        <f t="shared" si="4"/>
        <v>0.5837621569330644</v>
      </c>
    </row>
    <row r="18" spans="3:16" ht="12.75">
      <c r="C18" t="s">
        <v>93</v>
      </c>
      <c r="D18" s="47"/>
      <c r="E18" s="127">
        <f>0.03106</f>
        <v>0.03106</v>
      </c>
      <c r="F18" s="127">
        <f>0.03738</f>
        <v>0.03738</v>
      </c>
      <c r="G18" s="48">
        <f t="shared" si="0"/>
        <v>0.006160700846509527</v>
      </c>
      <c r="H18" s="47">
        <f t="shared" si="1"/>
        <v>0.07460070084650952</v>
      </c>
      <c r="I18" s="47">
        <f>H18*(1+Assumptions!$D$11)*(1+Assumptions!$D$11)</f>
        <v>0.0806881180355847</v>
      </c>
      <c r="J18" s="155">
        <v>11222413732</v>
      </c>
      <c r="K18" s="136">
        <v>16604952264</v>
      </c>
      <c r="L18" s="7">
        <f t="shared" si="2"/>
        <v>0.3786747313367406</v>
      </c>
      <c r="M18" s="7"/>
      <c r="N18" s="47">
        <f t="shared" si="3"/>
        <v>0.0806881180355847</v>
      </c>
      <c r="O18" s="243">
        <v>101052532</v>
      </c>
      <c r="P18" s="7">
        <f t="shared" si="4"/>
        <v>0.3229314257423764</v>
      </c>
    </row>
    <row r="19" spans="4:16" ht="12.75">
      <c r="D19" s="47"/>
      <c r="E19" s="47"/>
      <c r="F19" s="47"/>
      <c r="G19" s="47"/>
      <c r="H19" s="47"/>
      <c r="I19" s="47"/>
      <c r="J19" s="94"/>
      <c r="K19" s="8"/>
      <c r="L19" s="7"/>
      <c r="M19" s="7"/>
      <c r="N19" s="47"/>
      <c r="O19" s="29"/>
      <c r="P19" s="7"/>
    </row>
    <row r="20" spans="3:16" ht="12.75">
      <c r="C20" s="6" t="s">
        <v>94</v>
      </c>
      <c r="D20" s="130">
        <f>0.0962095518814665</f>
        <v>0.0962095518814665</v>
      </c>
      <c r="E20" s="49">
        <f>SUMPRODUCT(E13:E18,J13:J18)/J20</f>
        <v>0.051237096074575196</v>
      </c>
      <c r="F20" s="49">
        <f>SUMPRODUCT(F13:F18,J13:J18)/J20</f>
        <v>0.03881175496038178</v>
      </c>
      <c r="G20" s="49">
        <f>SUMPRODUCT(G13:G18,J13:J18)/J20</f>
        <v>0.006160700846509527</v>
      </c>
      <c r="H20" s="49">
        <f>SUMPRODUCT(H13:H18,K13:K18)/K20</f>
        <v>0.08970664487130797</v>
      </c>
      <c r="I20" s="49">
        <f>SUMPRODUCT(I13:I18,L13:L18)</f>
        <v>0.09702670709280671</v>
      </c>
      <c r="J20" s="154">
        <f>SUM(J13:J19)</f>
        <v>37852305265</v>
      </c>
      <c r="K20" s="154">
        <f>SUM(K13:K19)</f>
        <v>43850172430</v>
      </c>
      <c r="L20" s="8">
        <f>SUM(L13:L18)</f>
        <v>1</v>
      </c>
      <c r="M20" s="8"/>
      <c r="N20" s="49">
        <f>SUMPRODUCT(N13:N18,P13:P18)</f>
        <v>0.08913112310665078</v>
      </c>
      <c r="O20" s="94">
        <f>SUM(O13:O19)</f>
        <v>312922571</v>
      </c>
      <c r="P20" s="8">
        <f>SUM(P13:P18)</f>
        <v>1</v>
      </c>
    </row>
    <row r="21" spans="3:16" ht="12.75">
      <c r="C21" s="6"/>
      <c r="D21" s="49"/>
      <c r="F21" s="49"/>
      <c r="H21" s="49"/>
      <c r="I21" s="49"/>
      <c r="L21" s="6"/>
      <c r="M21" s="6"/>
      <c r="N21" s="49"/>
      <c r="O21" s="94"/>
      <c r="P21" s="8"/>
    </row>
    <row r="22" spans="3:6" ht="12.75">
      <c r="C22" s="198" t="s">
        <v>270</v>
      </c>
      <c r="D22" s="112"/>
      <c r="E22" s="195">
        <f>N20</f>
        <v>0.08913112310665078</v>
      </c>
      <c r="F22" s="144" t="s">
        <v>144</v>
      </c>
    </row>
    <row r="23" spans="3:6" ht="12.75">
      <c r="C23" s="197" t="s">
        <v>269</v>
      </c>
      <c r="D23" s="112"/>
      <c r="E23" s="196">
        <f>E22*Assumptions!D19</f>
        <v>0.09180505679985031</v>
      </c>
      <c r="F23" s="194" t="s">
        <v>145</v>
      </c>
    </row>
    <row r="24" ht="12.75">
      <c r="A24" s="203"/>
    </row>
    <row r="25" ht="12.75">
      <c r="A25" s="202" t="s">
        <v>105</v>
      </c>
    </row>
    <row r="26" spans="3:6" ht="12.75">
      <c r="C26" s="55"/>
      <c r="D26" s="156" t="s">
        <v>227</v>
      </c>
      <c r="E26" s="55"/>
      <c r="F26" s="55"/>
    </row>
    <row r="27" spans="3:6" ht="12.75">
      <c r="C27" s="55"/>
      <c r="D27" s="156" t="s">
        <v>95</v>
      </c>
      <c r="E27" s="55"/>
      <c r="F27" s="55"/>
    </row>
    <row r="28" spans="3:6" ht="12.75">
      <c r="C28" s="54" t="s">
        <v>96</v>
      </c>
      <c r="D28" s="157">
        <f>0.0668463980133124*(1+Assumptions!D11)*(1+Assumptions!D11)</f>
        <v>0.07230106409119869</v>
      </c>
      <c r="E28" s="111" t="s">
        <v>146</v>
      </c>
      <c r="F28" s="55"/>
    </row>
    <row r="29" spans="3:6" ht="12.75">
      <c r="C29" s="54" t="s">
        <v>97</v>
      </c>
      <c r="D29" s="157">
        <f>0.0497428524151064*(1+Assumptions!D11)*(1+Assumptions!D11)</f>
        <v>0.05380186917217908</v>
      </c>
      <c r="E29" s="117" t="s">
        <v>147</v>
      </c>
      <c r="F29" s="55"/>
    </row>
    <row r="30" spans="3:6" ht="12.75">
      <c r="C30" s="55"/>
      <c r="D30" s="55"/>
      <c r="E30" s="55"/>
      <c r="F30" s="55"/>
    </row>
    <row r="31" spans="3:6" ht="12.75">
      <c r="C31" s="55"/>
      <c r="D31" s="56" t="s">
        <v>241</v>
      </c>
      <c r="E31" s="56" t="s">
        <v>301</v>
      </c>
      <c r="F31" s="56" t="s">
        <v>301</v>
      </c>
    </row>
    <row r="32" spans="3:6" ht="12.75">
      <c r="C32" s="55"/>
      <c r="D32" s="56" t="s">
        <v>47</v>
      </c>
      <c r="E32" s="56" t="s">
        <v>49</v>
      </c>
      <c r="F32" s="57" t="s">
        <v>49</v>
      </c>
    </row>
    <row r="33" spans="3:6" ht="12.75">
      <c r="C33" s="55"/>
      <c r="D33" s="58" t="s">
        <v>95</v>
      </c>
      <c r="E33" s="58" t="s">
        <v>33</v>
      </c>
      <c r="F33" s="59" t="s">
        <v>33</v>
      </c>
    </row>
    <row r="34" spans="3:6" ht="12.75">
      <c r="C34" s="55"/>
      <c r="D34" s="158" t="s">
        <v>161</v>
      </c>
      <c r="E34" s="158" t="s">
        <v>162</v>
      </c>
      <c r="F34" s="158" t="s">
        <v>163</v>
      </c>
    </row>
    <row r="35" spans="3:6" ht="12.75">
      <c r="C35" s="60" t="s">
        <v>98</v>
      </c>
      <c r="D35" s="63">
        <f>0.04596*(1+Assumptions!D11)*(1+Assumptions!D11)</f>
        <v>0.04971033600000001</v>
      </c>
      <c r="E35" s="29">
        <v>12494212</v>
      </c>
      <c r="F35" s="61">
        <f>E35/$E$39</f>
        <v>0.9983262697661293</v>
      </c>
    </row>
    <row r="36" spans="3:6" ht="12.75">
      <c r="C36" s="60" t="s">
        <v>99</v>
      </c>
      <c r="D36" s="63">
        <f>0.06384*(1+Assumptions!D11)*(1+Assumptions!D11)</f>
        <v>0.069049344</v>
      </c>
      <c r="E36" s="29">
        <v>20947</v>
      </c>
      <c r="F36" s="61">
        <f>E36/$E$39</f>
        <v>0.0016737302338707802</v>
      </c>
    </row>
    <row r="37" spans="3:6" ht="12.75">
      <c r="C37" s="60"/>
      <c r="D37" s="63">
        <f>0.04684*(1+Assumptions!D11)*(1+Assumptions!D11)</f>
        <v>0.050662144000000006</v>
      </c>
      <c r="E37" s="64">
        <v>0</v>
      </c>
      <c r="F37" s="61">
        <f>E37/$E$39</f>
        <v>0</v>
      </c>
    </row>
    <row r="38" spans="3:6" ht="12.75">
      <c r="C38" s="60" t="s">
        <v>100</v>
      </c>
      <c r="D38" s="63">
        <f>0.03374*(1+Assumptions!D11)*(1+Assumptions!D11)</f>
        <v>0.036493184</v>
      </c>
      <c r="E38" s="64">
        <v>0</v>
      </c>
      <c r="F38" s="61">
        <f>E38/$E$39</f>
        <v>0</v>
      </c>
    </row>
    <row r="39" spans="3:6" ht="12.75">
      <c r="C39" s="60" t="s">
        <v>45</v>
      </c>
      <c r="D39" s="55"/>
      <c r="E39" s="65">
        <f>SUM(E35:E38)</f>
        <v>12515159</v>
      </c>
      <c r="F39" s="55"/>
    </row>
    <row r="40" spans="3:6" ht="12.75">
      <c r="C40" s="55"/>
      <c r="D40" s="55"/>
      <c r="E40" s="55"/>
      <c r="F40" s="55"/>
    </row>
    <row r="41" spans="3:7" ht="12.75">
      <c r="C41" s="60" t="s">
        <v>101</v>
      </c>
      <c r="D41" s="55"/>
      <c r="E41" s="55"/>
      <c r="F41" s="62">
        <f>SUMPRODUCT(D35:D38,F35:F38)</f>
        <v>0.04974270428238268</v>
      </c>
      <c r="G41" s="95" t="s">
        <v>182</v>
      </c>
    </row>
    <row r="42" spans="3:8" ht="12.75">
      <c r="C42" s="60" t="s">
        <v>102</v>
      </c>
      <c r="D42" s="55"/>
      <c r="E42" s="55"/>
      <c r="F42" s="62">
        <f>+F41-D29</f>
        <v>-0.0040591648897964</v>
      </c>
      <c r="G42" s="95" t="s">
        <v>228</v>
      </c>
      <c r="H42" s="28"/>
    </row>
    <row r="43" spans="3:8" ht="12.75">
      <c r="C43" s="66" t="s">
        <v>103</v>
      </c>
      <c r="D43" s="67"/>
      <c r="E43" s="67"/>
      <c r="F43" s="68">
        <f>+F42+D28</f>
        <v>0.06824189920140228</v>
      </c>
      <c r="G43" s="95" t="s">
        <v>229</v>
      </c>
      <c r="H43" s="217"/>
    </row>
    <row r="44" spans="3:7" ht="12.75">
      <c r="C44" s="212" t="s">
        <v>281</v>
      </c>
      <c r="D44" s="213"/>
      <c r="E44" s="213"/>
      <c r="F44" s="214">
        <f>F43*Assumptions!D19</f>
        <v>0.07028915617744434</v>
      </c>
      <c r="G44" s="95" t="s">
        <v>267</v>
      </c>
    </row>
    <row r="45" ht="13.5" thickBot="1"/>
    <row r="46" spans="2:7" ht="13.5" thickBot="1">
      <c r="B46" s="54" t="s">
        <v>170</v>
      </c>
      <c r="F46" s="216">
        <f>((E23*O20)+(F44*E39))/(E39+O20)</f>
        <v>0.090977633017987</v>
      </c>
      <c r="G46" s="95" t="s">
        <v>268</v>
      </c>
    </row>
    <row r="47" ht="12.75">
      <c r="B47" s="54"/>
    </row>
    <row r="48" ht="12.75">
      <c r="A48" s="204"/>
    </row>
    <row r="49" spans="1:2" ht="12.75">
      <c r="A49" s="205" t="s">
        <v>118</v>
      </c>
      <c r="B49" s="116" t="s">
        <v>230</v>
      </c>
    </row>
    <row r="50" spans="1:2" ht="12.75">
      <c r="A50" s="205" t="s">
        <v>119</v>
      </c>
      <c r="B50" s="114" t="s">
        <v>231</v>
      </c>
    </row>
    <row r="51" spans="1:2" ht="12.75">
      <c r="A51" s="205" t="s">
        <v>120</v>
      </c>
      <c r="B51" s="114" t="s">
        <v>231</v>
      </c>
    </row>
    <row r="52" spans="1:2" ht="12.75">
      <c r="A52" s="206" t="s">
        <v>121</v>
      </c>
      <c r="B52" s="114" t="s">
        <v>160</v>
      </c>
    </row>
    <row r="53" spans="1:2" ht="12.75">
      <c r="A53" s="206" t="s">
        <v>122</v>
      </c>
      <c r="B53" s="114" t="s">
        <v>148</v>
      </c>
    </row>
    <row r="54" spans="1:2" ht="12.75">
      <c r="A54" s="206" t="s">
        <v>123</v>
      </c>
      <c r="B54" s="106" t="s">
        <v>244</v>
      </c>
    </row>
    <row r="55" spans="1:2" ht="12.75">
      <c r="A55" s="206" t="s">
        <v>124</v>
      </c>
      <c r="B55" s="106" t="s">
        <v>234</v>
      </c>
    </row>
    <row r="56" spans="1:2" ht="12.75">
      <c r="A56" s="206" t="s">
        <v>125</v>
      </c>
      <c r="B56" s="106" t="s">
        <v>215</v>
      </c>
    </row>
    <row r="57" spans="1:2" ht="12.75">
      <c r="A57" s="206" t="s">
        <v>126</v>
      </c>
      <c r="B57" s="114" t="s">
        <v>232</v>
      </c>
    </row>
    <row r="58" spans="1:2" ht="12.75">
      <c r="A58" s="206" t="s">
        <v>132</v>
      </c>
      <c r="B58" s="115" t="s">
        <v>123</v>
      </c>
    </row>
    <row r="59" spans="1:2" ht="12.75">
      <c r="A59" s="206" t="s">
        <v>142</v>
      </c>
      <c r="B59" s="102" t="s">
        <v>304</v>
      </c>
    </row>
    <row r="60" spans="1:2" ht="12.75">
      <c r="A60" s="207" t="s">
        <v>143</v>
      </c>
      <c r="B60" s="114" t="s">
        <v>296</v>
      </c>
    </row>
    <row r="61" spans="1:2" ht="12.75">
      <c r="A61" s="207" t="s">
        <v>144</v>
      </c>
      <c r="B61" s="114" t="s">
        <v>233</v>
      </c>
    </row>
    <row r="62" spans="1:2" ht="12.75">
      <c r="A62" s="207" t="s">
        <v>145</v>
      </c>
      <c r="B62" s="114" t="s">
        <v>272</v>
      </c>
    </row>
    <row r="63" spans="1:2" ht="12.75">
      <c r="A63" s="208" t="s">
        <v>146</v>
      </c>
      <c r="B63" s="118" t="s">
        <v>279</v>
      </c>
    </row>
    <row r="64" spans="1:2" ht="12.75">
      <c r="A64" s="209" t="s">
        <v>147</v>
      </c>
      <c r="B64" s="118" t="s">
        <v>201</v>
      </c>
    </row>
    <row r="65" ht="12.75">
      <c r="B65" s="118" t="s">
        <v>280</v>
      </c>
    </row>
    <row r="66" spans="1:2" ht="12.75">
      <c r="A66" s="210" t="s">
        <v>161</v>
      </c>
      <c r="B66" s="118" t="s">
        <v>245</v>
      </c>
    </row>
    <row r="67" spans="1:2" ht="12.75">
      <c r="A67" s="210" t="s">
        <v>162</v>
      </c>
      <c r="B67" s="102" t="s">
        <v>304</v>
      </c>
    </row>
    <row r="68" spans="1:2" ht="12.75">
      <c r="A68" s="210" t="s">
        <v>163</v>
      </c>
      <c r="B68" s="118" t="s">
        <v>273</v>
      </c>
    </row>
    <row r="69" spans="1:2" ht="12.75">
      <c r="A69" s="211" t="s">
        <v>182</v>
      </c>
      <c r="B69" s="118" t="s">
        <v>274</v>
      </c>
    </row>
    <row r="70" spans="1:2" ht="12.75">
      <c r="A70" s="206" t="s">
        <v>228</v>
      </c>
      <c r="B70" s="118" t="s">
        <v>276</v>
      </c>
    </row>
    <row r="71" spans="1:2" ht="12.75">
      <c r="A71" s="206" t="s">
        <v>229</v>
      </c>
      <c r="B71" s="118" t="s">
        <v>275</v>
      </c>
    </row>
    <row r="72" spans="1:2" ht="12.75">
      <c r="A72" s="206" t="s">
        <v>267</v>
      </c>
      <c r="B72" s="113" t="s">
        <v>271</v>
      </c>
    </row>
    <row r="73" spans="1:2" ht="12.75">
      <c r="A73" s="206" t="s">
        <v>268</v>
      </c>
      <c r="B73" s="113" t="s">
        <v>277</v>
      </c>
    </row>
  </sheetData>
  <printOptions/>
  <pageMargins left="0.75" right="0.75" top="1" bottom="1" header="0.5" footer="0.5"/>
  <pageSetup fitToHeight="1" fitToWidth="1" horizontalDpi="600" verticalDpi="600" orientation="landscape" scale="50" r:id="rId1"/>
  <headerFooter alignWithMargins="0">
    <oddFooter>&amp;L&amp;A&amp;CMC2005-2
HSBC NSA Model&amp;R REVISED  3/11/05</oddFooter>
  </headerFooter>
  <ignoredErrors>
    <ignoredError sqref="A72:A73 B58 D11:P11 E28:E29 G46 D34:F34 F22:F23 A47:A48 G45 G47 G41:G44 A66:A71 A63:A64 A49:A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3" width="48.28125" style="0" customWidth="1"/>
  </cols>
  <sheetData>
    <row r="1" spans="1:10" ht="18">
      <c r="A1" s="3" t="s">
        <v>305</v>
      </c>
      <c r="B1" s="1"/>
      <c r="C1" s="1"/>
      <c r="D1" s="1"/>
      <c r="E1" s="1"/>
      <c r="F1" s="1"/>
      <c r="G1" s="88"/>
      <c r="H1" s="88"/>
      <c r="I1" s="88"/>
      <c r="J1" s="88"/>
    </row>
    <row r="2" spans="1:10" ht="12.75">
      <c r="A2" s="2" t="s">
        <v>191</v>
      </c>
      <c r="B2" s="1"/>
      <c r="C2" s="1"/>
      <c r="D2" s="1"/>
      <c r="E2" s="119" t="s">
        <v>145</v>
      </c>
      <c r="F2" s="119" t="s">
        <v>146</v>
      </c>
      <c r="G2" s="88"/>
      <c r="H2" s="88"/>
      <c r="I2" s="88"/>
      <c r="J2" s="88"/>
    </row>
    <row r="3" spans="1:10" ht="12.75">
      <c r="A3" s="2" t="s">
        <v>246</v>
      </c>
      <c r="B3" s="1"/>
      <c r="C3" s="1"/>
      <c r="D3" s="5" t="s">
        <v>0</v>
      </c>
      <c r="E3" s="5" t="s">
        <v>1</v>
      </c>
      <c r="F3" s="5" t="s">
        <v>2</v>
      </c>
      <c r="G3" s="88"/>
      <c r="H3" s="88"/>
      <c r="I3" s="88"/>
      <c r="J3" s="88"/>
    </row>
    <row r="6" ht="12.75">
      <c r="A6" s="6" t="s">
        <v>110</v>
      </c>
    </row>
    <row r="7" spans="1:6" ht="12.75">
      <c r="A7" s="95" t="s">
        <v>118</v>
      </c>
      <c r="B7" t="s">
        <v>259</v>
      </c>
      <c r="D7" s="28">
        <f>'Ops unit rev'!F46</f>
        <v>0.2923605278370842</v>
      </c>
      <c r="E7" s="28">
        <f>D7</f>
        <v>0.2923605278370842</v>
      </c>
      <c r="F7" s="28">
        <f>E7</f>
        <v>0.2923605278370842</v>
      </c>
    </row>
    <row r="8" spans="1:6" ht="12.75">
      <c r="A8" s="95" t="s">
        <v>119</v>
      </c>
      <c r="B8" t="s">
        <v>258</v>
      </c>
      <c r="D8" s="28">
        <f>'Mktg unit rev'!F46</f>
        <v>0.2950919627512576</v>
      </c>
      <c r="E8" s="28">
        <f>D8</f>
        <v>0.2950919627512576</v>
      </c>
      <c r="F8" s="28">
        <f>E8</f>
        <v>0.2950919627512576</v>
      </c>
    </row>
    <row r="9" spans="1:6" ht="12.75">
      <c r="A9" s="95" t="s">
        <v>120</v>
      </c>
      <c r="B9" t="s">
        <v>260</v>
      </c>
      <c r="D9" s="28">
        <f>'Ops unit cost'!R26</f>
        <v>0.11522967049133355</v>
      </c>
      <c r="E9" s="28">
        <f>D9*(1+Assumptions!$E$11)</f>
        <v>0.1198388573109869</v>
      </c>
      <c r="F9" s="28">
        <f>E9*(1+Assumptions!$F$11)</f>
        <v>0.12463241160342638</v>
      </c>
    </row>
    <row r="10" spans="1:6" ht="12.75">
      <c r="A10" s="95" t="s">
        <v>121</v>
      </c>
      <c r="B10" t="s">
        <v>261</v>
      </c>
      <c r="D10" s="28">
        <f>'Ops unit cost'!T26</f>
        <v>0.11522967049133355</v>
      </c>
      <c r="E10" s="28">
        <f>D10*(1+Assumptions!$E$11)</f>
        <v>0.1198388573109869</v>
      </c>
      <c r="F10" s="28">
        <f>E10*(1+Assumptions!$F$11)</f>
        <v>0.12463241160342638</v>
      </c>
    </row>
    <row r="11" spans="1:6" ht="12.75">
      <c r="A11" s="95" t="s">
        <v>122</v>
      </c>
      <c r="B11" t="s">
        <v>262</v>
      </c>
      <c r="D11" s="28">
        <f>D7-D9</f>
        <v>0.17713085734575068</v>
      </c>
      <c r="E11" s="28">
        <f>E7-E9</f>
        <v>0.17252167052609732</v>
      </c>
      <c r="F11" s="28">
        <f>F7-F9</f>
        <v>0.16772811623365785</v>
      </c>
    </row>
    <row r="12" spans="1:6" ht="12.75">
      <c r="A12" s="95" t="s">
        <v>123</v>
      </c>
      <c r="B12" t="s">
        <v>263</v>
      </c>
      <c r="D12" s="78">
        <f>D7-D10</f>
        <v>0.17713085734575068</v>
      </c>
      <c r="E12" s="78">
        <f>E7-E10</f>
        <v>0.17252167052609732</v>
      </c>
      <c r="F12" s="78">
        <f>F7-F10</f>
        <v>0.16772811623365785</v>
      </c>
    </row>
    <row r="13" spans="1:6" ht="12.75">
      <c r="A13" s="260" t="s">
        <v>124</v>
      </c>
      <c r="B13" s="256" t="s">
        <v>106</v>
      </c>
      <c r="C13" s="256"/>
      <c r="D13" s="261">
        <f>'Mktg unit cost'!R26</f>
        <v>0.14110791430264216</v>
      </c>
      <c r="E13" s="261">
        <f>D13*(1+Assumptions!$E$11)</f>
        <v>0.14675223087474784</v>
      </c>
      <c r="F13" s="261">
        <f>E13*(1+Assumptions!$F$11)</f>
        <v>0.15262232010973775</v>
      </c>
    </row>
    <row r="14" spans="1:6" ht="12.75">
      <c r="A14" s="260" t="s">
        <v>125</v>
      </c>
      <c r="B14" s="256" t="s">
        <v>109</v>
      </c>
      <c r="C14" s="256"/>
      <c r="D14" s="261">
        <f>'Mktg unit cost'!T26</f>
        <v>0.13211197670264216</v>
      </c>
      <c r="E14" s="261">
        <f>D14*(1+Assumptions!$E$11)</f>
        <v>0.13739645577074786</v>
      </c>
      <c r="F14" s="261">
        <f>E14*(1+Assumptions!$F$11)</f>
        <v>0.14289231400157779</v>
      </c>
    </row>
    <row r="15" spans="1:6" ht="12.75">
      <c r="A15" s="260" t="s">
        <v>126</v>
      </c>
      <c r="B15" s="256" t="s">
        <v>107</v>
      </c>
      <c r="C15" s="256"/>
      <c r="D15" s="261">
        <f>D8-D13</f>
        <v>0.15398404844861543</v>
      </c>
      <c r="E15" s="261">
        <f>E8-E13</f>
        <v>0.14833973187650976</v>
      </c>
      <c r="F15" s="261">
        <f>F8-F13</f>
        <v>0.14246964264151984</v>
      </c>
    </row>
    <row r="16" spans="1:6" ht="12.75">
      <c r="A16" s="260" t="s">
        <v>132</v>
      </c>
      <c r="B16" s="256" t="s">
        <v>108</v>
      </c>
      <c r="C16" s="256"/>
      <c r="D16" s="261">
        <f>D8-D14</f>
        <v>0.16297998604861544</v>
      </c>
      <c r="E16" s="261">
        <f>E8-E14</f>
        <v>0.15769550698050974</v>
      </c>
      <c r="F16" s="261">
        <f>F8-F14</f>
        <v>0.1521996487496798</v>
      </c>
    </row>
    <row r="17" spans="4:6" ht="12.75">
      <c r="D17" s="28"/>
      <c r="E17" s="28"/>
      <c r="F17" s="28"/>
    </row>
    <row r="18" ht="12.75">
      <c r="A18" s="6" t="s">
        <v>111</v>
      </c>
    </row>
    <row r="19" spans="1:6" ht="12.75">
      <c r="A19" s="95" t="s">
        <v>142</v>
      </c>
      <c r="B19" t="s">
        <v>171</v>
      </c>
      <c r="D19" s="28">
        <f>'SM rev calcs'!F27</f>
        <v>0.1823880403753431</v>
      </c>
      <c r="E19" s="28">
        <f>D19</f>
        <v>0.1823880403753431</v>
      </c>
      <c r="F19" s="28">
        <f>D19</f>
        <v>0.1823880403753431</v>
      </c>
    </row>
    <row r="20" spans="1:6" ht="12.75">
      <c r="A20" s="95" t="s">
        <v>143</v>
      </c>
      <c r="B20" t="s">
        <v>172</v>
      </c>
      <c r="D20" s="28">
        <f>'SM cost calcs'!F46</f>
        <v>0.090977633017987</v>
      </c>
      <c r="E20" s="28">
        <f>D20*(1+Assumptions!E11)</f>
        <v>0.09461673833870649</v>
      </c>
      <c r="F20" s="28">
        <f>E20*(1+Assumptions!F11)</f>
        <v>0.09840140787225475</v>
      </c>
    </row>
    <row r="21" spans="1:9" ht="12.75">
      <c r="A21" s="95" t="s">
        <v>144</v>
      </c>
      <c r="B21" t="s">
        <v>291</v>
      </c>
      <c r="D21" s="36">
        <f>D19-D20</f>
        <v>0.09141040735735609</v>
      </c>
      <c r="E21" s="36">
        <f>E19-E20</f>
        <v>0.0877713020366366</v>
      </c>
      <c r="F21" s="36">
        <f>F19-F20</f>
        <v>0.08398663250308834</v>
      </c>
      <c r="G21" s="28"/>
      <c r="H21" s="28"/>
      <c r="I21" s="28"/>
    </row>
    <row r="23" ht="12.75">
      <c r="D23" s="28"/>
    </row>
    <row r="24" spans="1:2" ht="12.75">
      <c r="A24" s="95" t="s">
        <v>118</v>
      </c>
      <c r="B24" t="s">
        <v>265</v>
      </c>
    </row>
    <row r="25" spans="1:2" ht="12.75">
      <c r="A25" s="95" t="s">
        <v>119</v>
      </c>
      <c r="B25" t="s">
        <v>264</v>
      </c>
    </row>
    <row r="26" spans="1:2" ht="12.75">
      <c r="A26" s="95" t="s">
        <v>120</v>
      </c>
      <c r="B26" t="s">
        <v>282</v>
      </c>
    </row>
    <row r="27" spans="1:2" ht="12.75">
      <c r="A27" s="95" t="s">
        <v>121</v>
      </c>
      <c r="B27" t="s">
        <v>166</v>
      </c>
    </row>
    <row r="28" spans="1:2" ht="12.75">
      <c r="A28" s="95" t="s">
        <v>122</v>
      </c>
      <c r="B28" t="s">
        <v>167</v>
      </c>
    </row>
    <row r="29" spans="1:2" ht="12.75">
      <c r="A29" s="95" t="s">
        <v>123</v>
      </c>
      <c r="B29" t="s">
        <v>283</v>
      </c>
    </row>
    <row r="30" spans="1:2" ht="12.75">
      <c r="A30" s="95" t="s">
        <v>124</v>
      </c>
      <c r="B30" t="s">
        <v>168</v>
      </c>
    </row>
    <row r="31" spans="1:2" ht="12.75">
      <c r="A31" s="95" t="s">
        <v>125</v>
      </c>
      <c r="B31" t="s">
        <v>169</v>
      </c>
    </row>
    <row r="32" spans="1:2" ht="12.75">
      <c r="A32" s="95" t="s">
        <v>126</v>
      </c>
      <c r="B32" t="s">
        <v>284</v>
      </c>
    </row>
    <row r="33" spans="1:2" ht="12.75">
      <c r="A33" s="95" t="s">
        <v>132</v>
      </c>
      <c r="B33" t="s">
        <v>285</v>
      </c>
    </row>
    <row r="34" spans="1:2" ht="12.75">
      <c r="A34" s="95" t="s">
        <v>142</v>
      </c>
      <c r="B34" t="s">
        <v>173</v>
      </c>
    </row>
    <row r="35" spans="1:2" ht="12.75">
      <c r="A35" s="95" t="s">
        <v>143</v>
      </c>
      <c r="B35" t="s">
        <v>174</v>
      </c>
    </row>
    <row r="36" spans="1:2" ht="12.75">
      <c r="A36" s="95" t="s">
        <v>144</v>
      </c>
      <c r="B36" t="s">
        <v>286</v>
      </c>
    </row>
    <row r="37" spans="1:2" ht="12.75">
      <c r="A37" s="95" t="s">
        <v>145</v>
      </c>
      <c r="B37" t="s">
        <v>189</v>
      </c>
    </row>
    <row r="38" spans="1:2" ht="12.75">
      <c r="A38" s="95" t="s">
        <v>146</v>
      </c>
      <c r="B38" t="s">
        <v>190</v>
      </c>
    </row>
  </sheetData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Footer>&amp;L&amp;A&amp;CMC2005-2
HSBC NSA Model&amp;R REVISED  3/11/05</oddFooter>
  </headerFooter>
  <ignoredErrors>
    <ignoredError sqref="A7 A39:A41 E2:F2 A22:A24 A17:A18 A25:A38 A8:A16 A19:A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8.421875" style="0" bestFit="1" customWidth="1"/>
    <col min="3" max="3" width="46.8515625" style="0" bestFit="1" customWidth="1"/>
    <col min="4" max="4" width="14.140625" style="0" bestFit="1" customWidth="1"/>
    <col min="5" max="6" width="14.00390625" style="0" bestFit="1" customWidth="1"/>
    <col min="7" max="7" width="11.421875" style="0" customWidth="1"/>
    <col min="8" max="8" width="11.28125" style="0" bestFit="1" customWidth="1"/>
    <col min="9" max="9" width="10.28125" style="0" bestFit="1" customWidth="1"/>
  </cols>
  <sheetData>
    <row r="1" spans="1:9" ht="18">
      <c r="A1" s="3" t="s">
        <v>305</v>
      </c>
      <c r="B1" s="1"/>
      <c r="C1" s="1"/>
      <c r="D1" s="1"/>
      <c r="E1" s="1"/>
      <c r="F1" s="1"/>
      <c r="G1" s="121"/>
      <c r="H1" s="86"/>
      <c r="I1" s="88"/>
    </row>
    <row r="2" spans="1:9" ht="12.75">
      <c r="A2" s="2" t="s">
        <v>191</v>
      </c>
      <c r="B2" s="1"/>
      <c r="C2" s="1"/>
      <c r="D2" s="1"/>
      <c r="E2" s="1"/>
      <c r="F2" s="1"/>
      <c r="G2" s="121"/>
      <c r="H2" s="86"/>
      <c r="I2" s="88"/>
    </row>
    <row r="3" spans="1:9" ht="12.75">
      <c r="A3" s="2" t="s">
        <v>288</v>
      </c>
      <c r="B3" s="1"/>
      <c r="C3" s="1"/>
      <c r="D3" s="5" t="s">
        <v>0</v>
      </c>
      <c r="E3" s="5" t="s">
        <v>1</v>
      </c>
      <c r="F3" s="5" t="s">
        <v>2</v>
      </c>
      <c r="G3" s="122" t="s">
        <v>45</v>
      </c>
      <c r="H3" s="88"/>
      <c r="I3" s="88"/>
    </row>
    <row r="5" spans="1:6" ht="12.75">
      <c r="A5" s="38" t="s">
        <v>112</v>
      </c>
      <c r="C5" s="9"/>
      <c r="D5" s="69"/>
      <c r="E5" s="69"/>
      <c r="F5" s="69"/>
    </row>
    <row r="6" spans="1:7" ht="12.75">
      <c r="A6" s="95" t="s">
        <v>118</v>
      </c>
      <c r="C6" s="9" t="s">
        <v>113</v>
      </c>
      <c r="D6" s="74">
        <f>'UAA calcs'!G19-'UAA calcs'!G24</f>
        <v>0</v>
      </c>
      <c r="E6" s="74">
        <f>'UAA calcs'!H19-'UAA calcs'!H24</f>
        <v>0</v>
      </c>
      <c r="F6" s="74">
        <f>'UAA calcs'!I19-'UAA calcs'!I24</f>
        <v>0</v>
      </c>
      <c r="G6">
        <f>SUM(D6:F6)</f>
        <v>0</v>
      </c>
    </row>
    <row r="7" spans="1:7" ht="12.75">
      <c r="A7" s="95" t="s">
        <v>119</v>
      </c>
      <c r="C7" s="72" t="s">
        <v>114</v>
      </c>
      <c r="D7" s="74">
        <f>'UAA calcs'!G20-'UAA calcs'!G25</f>
        <v>1423448.3289094856</v>
      </c>
      <c r="E7" s="74">
        <f>'UAA calcs'!H20-'UAA calcs'!H25</f>
        <v>2293953.6124105845</v>
      </c>
      <c r="F7" s="74">
        <f>'UAA calcs'!I20-'UAA calcs'!I25</f>
        <v>2911882.0756184664</v>
      </c>
      <c r="G7" s="6">
        <f aca="true" t="shared" si="0" ref="G7:G16">SUM(D7:F7)</f>
        <v>6629284.016938536</v>
      </c>
    </row>
    <row r="8" spans="3:7" ht="12.75">
      <c r="C8" s="72"/>
      <c r="D8" s="75"/>
      <c r="E8" s="75"/>
      <c r="F8" s="75"/>
      <c r="G8" s="6"/>
    </row>
    <row r="9" spans="1:7" ht="12.75">
      <c r="A9" s="6" t="s">
        <v>115</v>
      </c>
      <c r="C9" s="72"/>
      <c r="D9" s="75"/>
      <c r="E9" s="75"/>
      <c r="F9" s="75"/>
      <c r="G9" s="6"/>
    </row>
    <row r="10" spans="1:7" ht="12.75">
      <c r="A10" s="95" t="s">
        <v>120</v>
      </c>
      <c r="C10" s="72" t="s">
        <v>113</v>
      </c>
      <c r="D10" s="75">
        <f>('Volume calcs'!G12-'Volume calcs'!G7)*'Contrib inputs'!D12</f>
        <v>0</v>
      </c>
      <c r="E10" s="75">
        <f>('Volume calcs'!H12-'Volume calcs'!H7)*'Contrib inputs'!E12</f>
        <v>0</v>
      </c>
      <c r="F10" s="75">
        <f>('Volume calcs'!I12-'Volume calcs'!I7)*'Contrib inputs'!F12</f>
        <v>0</v>
      </c>
      <c r="G10" s="6">
        <f t="shared" si="0"/>
        <v>0</v>
      </c>
    </row>
    <row r="11" spans="1:7" ht="12.75">
      <c r="A11" s="95" t="s">
        <v>121</v>
      </c>
      <c r="C11" s="9" t="s">
        <v>114</v>
      </c>
      <c r="D11" s="264">
        <f>Assumptions!D17*('Volume calcs'!G13-'Volume calcs'!G8)*('Contrib inputs'!D16-'Contrib inputs'!D21)+(1-Assumptions!D17)*('Volume calcs'!G13-'Volume calcs'!G8)*'Contrib inputs'!D16</f>
        <v>1145113.2590601495</v>
      </c>
      <c r="E11" s="264">
        <f>Assumptions!E17*('Volume calcs'!H13-'Volume calcs'!H8)*('Contrib inputs'!E16-'Contrib inputs'!E21)+(1-Assumptions!E17)*('Volume calcs'!H13-'Volume calcs'!H8)*'Contrib inputs'!E16</f>
        <v>1398484.0988774628</v>
      </c>
      <c r="F11" s="264">
        <f>Assumptions!F17*('Volume calcs'!I13-'Volume calcs'!I8)*('Contrib inputs'!F16-'Contrib inputs'!F21)+(1-Assumptions!F17)*('Volume calcs'!I13-'Volume calcs'!I8)*'Contrib inputs'!F16</f>
        <v>1364260.3249318295</v>
      </c>
      <c r="G11" s="265">
        <f t="shared" si="0"/>
        <v>3907857.682869442</v>
      </c>
    </row>
    <row r="12" spans="3:7" ht="12.75">
      <c r="C12" s="9"/>
      <c r="D12" s="74"/>
      <c r="E12" s="74"/>
      <c r="F12" s="74"/>
      <c r="G12" s="6"/>
    </row>
    <row r="13" spans="1:7" ht="12.75">
      <c r="A13" s="6" t="s">
        <v>200</v>
      </c>
      <c r="C13" s="9"/>
      <c r="D13" s="75">
        <f>'Disc&amp;Exposure'!D43</f>
        <v>656340.4750000001</v>
      </c>
      <c r="E13" s="75">
        <f>'Disc&amp;Exposure'!E43</f>
        <v>964967.7250000001</v>
      </c>
      <c r="F13" s="75">
        <f>'Disc&amp;Exposure'!F43</f>
        <v>1172146.18</v>
      </c>
      <c r="G13" s="6">
        <f t="shared" si="0"/>
        <v>2793454.38</v>
      </c>
    </row>
    <row r="14" spans="1:7" ht="12.75">
      <c r="A14" s="6" t="s">
        <v>235</v>
      </c>
      <c r="C14" s="70"/>
      <c r="D14" s="75">
        <f>'Disc&amp;Exposure'!D28-'Disc&amp;Exposure'!D43</f>
        <v>411268.095</v>
      </c>
      <c r="E14" s="75">
        <f>'Disc&amp;Exposure'!E28-'Disc&amp;Exposure'!E43</f>
        <v>592993.5449999999</v>
      </c>
      <c r="F14" s="75">
        <f>'Disc&amp;Exposure'!F28-'Disc&amp;Exposure'!F43</f>
        <v>628691.03</v>
      </c>
      <c r="G14" s="6">
        <f t="shared" si="0"/>
        <v>1632952.67</v>
      </c>
    </row>
    <row r="15" spans="3:7" ht="12.75">
      <c r="C15" s="70"/>
      <c r="D15" s="74"/>
      <c r="E15" s="74"/>
      <c r="F15" s="74"/>
      <c r="G15" s="6"/>
    </row>
    <row r="16" spans="1:7" ht="13.5" thickBot="1">
      <c r="A16" s="70" t="s">
        <v>175</v>
      </c>
      <c r="C16" s="9"/>
      <c r="D16" s="262">
        <f>SUM(D6:D7)+SUM(D10:D11)-D13-D14</f>
        <v>1500953.017969635</v>
      </c>
      <c r="E16" s="262">
        <f>SUM(E6:E7)+SUM(E10:E11)-E13-E14</f>
        <v>2134476.441288047</v>
      </c>
      <c r="F16" s="262">
        <f>SUM(F6:F7)+SUM(F10:F11)-F13-F14</f>
        <v>2475305.1905502956</v>
      </c>
      <c r="G16" s="263">
        <f t="shared" si="0"/>
        <v>6110734.6498079775</v>
      </c>
    </row>
    <row r="17" spans="1:7" ht="13.5" thickTop="1">
      <c r="A17" s="70"/>
      <c r="C17" s="9"/>
      <c r="D17" s="267"/>
      <c r="E17" s="267"/>
      <c r="F17" s="267"/>
      <c r="G17" s="266"/>
    </row>
    <row r="18" spans="3:7" ht="12.75">
      <c r="C18" s="268"/>
      <c r="D18" s="269"/>
      <c r="E18" s="269"/>
      <c r="F18" s="269"/>
      <c r="G18" s="270"/>
    </row>
    <row r="19" spans="3:7" ht="12.75">
      <c r="C19" s="271"/>
      <c r="D19" s="272"/>
      <c r="E19" s="272"/>
      <c r="F19" s="272"/>
      <c r="G19" s="272"/>
    </row>
    <row r="20" spans="3:7" ht="12.75">
      <c r="C20" s="221"/>
      <c r="D20" s="253"/>
      <c r="E20" s="253"/>
      <c r="F20" s="253"/>
      <c r="G20" s="253"/>
    </row>
    <row r="21" spans="1:6" ht="12.75">
      <c r="A21" s="95" t="s">
        <v>118</v>
      </c>
      <c r="B21" t="s">
        <v>177</v>
      </c>
      <c r="C21" s="70"/>
      <c r="D21" s="73"/>
      <c r="E21" s="73"/>
      <c r="F21" s="73"/>
    </row>
    <row r="22" spans="1:6" ht="12.75">
      <c r="A22" s="95" t="s">
        <v>119</v>
      </c>
      <c r="B22" t="s">
        <v>289</v>
      </c>
      <c r="C22" s="9"/>
      <c r="D22" s="71"/>
      <c r="E22" s="71"/>
      <c r="F22" s="71"/>
    </row>
    <row r="23" spans="1:2" ht="12.75">
      <c r="A23" s="95" t="s">
        <v>120</v>
      </c>
      <c r="B23" t="s">
        <v>178</v>
      </c>
    </row>
    <row r="24" spans="1:2" ht="12.75">
      <c r="A24" s="95" t="s">
        <v>121</v>
      </c>
      <c r="B24" t="s">
        <v>293</v>
      </c>
    </row>
    <row r="25" spans="1:2" ht="12.75">
      <c r="A25" s="95"/>
      <c r="B25" t="s">
        <v>294</v>
      </c>
    </row>
    <row r="26" spans="1:2" ht="12.75">
      <c r="A26" s="95"/>
      <c r="B26" s="218" t="s">
        <v>292</v>
      </c>
    </row>
    <row r="27" spans="1:2" ht="12.75">
      <c r="A27" s="95" t="s">
        <v>122</v>
      </c>
      <c r="B27" t="s">
        <v>179</v>
      </c>
    </row>
    <row r="28" spans="1:2" ht="12.75">
      <c r="A28" s="95" t="s">
        <v>123</v>
      </c>
      <c r="B28" t="s">
        <v>180</v>
      </c>
    </row>
    <row r="29" spans="1:2" ht="12.75">
      <c r="A29" s="95" t="s">
        <v>124</v>
      </c>
      <c r="B29" t="s">
        <v>181</v>
      </c>
    </row>
    <row r="30" ht="12.75">
      <c r="A30" s="95"/>
    </row>
    <row r="31" spans="3:7" ht="12.75">
      <c r="C31" s="84"/>
      <c r="D31" s="228"/>
      <c r="E31" s="228"/>
      <c r="F31" s="228"/>
      <c r="G31" s="229"/>
    </row>
    <row r="32" spans="3:7" ht="12.75">
      <c r="C32" s="84"/>
      <c r="D32" s="183"/>
      <c r="E32" s="183"/>
      <c r="F32" s="183"/>
      <c r="G32" s="183"/>
    </row>
    <row r="33" spans="3:7" ht="12.75">
      <c r="C33" s="84"/>
      <c r="D33" s="183"/>
      <c r="E33" s="183"/>
      <c r="F33" s="183"/>
      <c r="G33" s="183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&amp;L&amp;A&amp;CMC2005-2
HSBC NSA Model&amp;R REVISED  3/11/05</oddFooter>
  </headerFooter>
  <ignoredErrors>
    <ignoredError sqref="A6:A12 A27:A29 A21:A24 A18:A19 A15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4.421875" style="0" customWidth="1"/>
    <col min="2" max="2" width="3.00390625" style="0" customWidth="1"/>
    <col min="3" max="3" width="31.140625" style="0" customWidth="1"/>
    <col min="4" max="4" width="16.00390625" style="0" bestFit="1" customWidth="1"/>
    <col min="5" max="5" width="17.7109375" style="0" bestFit="1" customWidth="1"/>
    <col min="6" max="6" width="14.28125" style="0" bestFit="1" customWidth="1"/>
    <col min="7" max="7" width="16.00390625" style="0" bestFit="1" customWidth="1"/>
    <col min="8" max="8" width="14.57421875" style="0" customWidth="1"/>
    <col min="9" max="9" width="14.57421875" style="0" bestFit="1" customWidth="1"/>
    <col min="10" max="10" width="20.7109375" style="0" bestFit="1" customWidth="1"/>
    <col min="11" max="11" width="16.28125" style="0" bestFit="1" customWidth="1"/>
  </cols>
  <sheetData>
    <row r="1" spans="1:9" ht="18">
      <c r="A1" s="3" t="s">
        <v>305</v>
      </c>
      <c r="B1" s="1"/>
      <c r="C1" s="1"/>
      <c r="D1" s="1"/>
      <c r="E1" s="1"/>
      <c r="F1" s="1"/>
      <c r="G1" s="1"/>
      <c r="H1" s="1"/>
      <c r="I1" s="85"/>
    </row>
    <row r="2" spans="1:9" ht="12.75">
      <c r="A2" s="2" t="s">
        <v>191</v>
      </c>
      <c r="B2" s="1"/>
      <c r="C2" s="1"/>
      <c r="D2" s="1"/>
      <c r="E2" s="1"/>
      <c r="F2" s="1"/>
      <c r="G2" s="1"/>
      <c r="H2" s="1"/>
      <c r="I2" s="85"/>
    </row>
    <row r="3" spans="1:9" ht="12.75">
      <c r="A3" s="2" t="s">
        <v>247</v>
      </c>
      <c r="B3" s="1"/>
      <c r="C3" s="1"/>
      <c r="D3" s="4">
        <v>2002</v>
      </c>
      <c r="E3" s="4">
        <v>2003</v>
      </c>
      <c r="F3" s="178">
        <v>2004</v>
      </c>
      <c r="G3" s="5" t="s">
        <v>0</v>
      </c>
      <c r="H3" s="5" t="s">
        <v>238</v>
      </c>
      <c r="I3" s="164" t="s">
        <v>2</v>
      </c>
    </row>
    <row r="4" spans="1:12" ht="12.75">
      <c r="A4" s="10"/>
      <c r="I4" s="10"/>
      <c r="J4" s="10"/>
      <c r="K4" s="10"/>
      <c r="L4" s="10"/>
    </row>
    <row r="5" spans="1:12" ht="12.75">
      <c r="A5" s="230" t="s">
        <v>118</v>
      </c>
      <c r="B5" s="6" t="s">
        <v>297</v>
      </c>
      <c r="I5" s="10"/>
      <c r="J5" s="10"/>
      <c r="K5" s="10"/>
      <c r="L5" s="10"/>
    </row>
    <row r="6" spans="1:12" ht="12.75">
      <c r="A6" s="10"/>
      <c r="B6" s="6" t="s">
        <v>154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0"/>
      <c r="C7" s="39" t="s">
        <v>257</v>
      </c>
      <c r="D7" s="29">
        <v>407693861</v>
      </c>
      <c r="E7" s="29">
        <v>409784484</v>
      </c>
      <c r="F7" s="159">
        <v>439597836</v>
      </c>
      <c r="G7" s="41">
        <v>483021271</v>
      </c>
      <c r="H7" s="155">
        <v>518407521</v>
      </c>
      <c r="I7" s="159">
        <v>556469938</v>
      </c>
      <c r="J7" s="43"/>
      <c r="K7" s="10"/>
      <c r="L7" s="10"/>
    </row>
    <row r="8" spans="1:12" ht="12.75">
      <c r="A8" s="10"/>
      <c r="B8" s="10"/>
      <c r="C8" s="39" t="s">
        <v>4</v>
      </c>
      <c r="D8" s="41">
        <v>107741060</v>
      </c>
      <c r="E8" s="41">
        <v>89141274</v>
      </c>
      <c r="F8" s="159">
        <v>95685915</v>
      </c>
      <c r="G8" s="237">
        <v>158232348</v>
      </c>
      <c r="H8" s="155">
        <v>245191188</v>
      </c>
      <c r="I8" s="233">
        <v>299268268</v>
      </c>
      <c r="J8" s="43"/>
      <c r="K8" s="10"/>
      <c r="L8" s="10"/>
    </row>
    <row r="9" spans="2:9" ht="12.75">
      <c r="B9" s="40" t="s">
        <v>45</v>
      </c>
      <c r="C9" s="26"/>
      <c r="D9" s="40">
        <f aca="true" t="shared" si="0" ref="D9:I9">SUM(D7:D8)</f>
        <v>515434921</v>
      </c>
      <c r="E9" s="40">
        <f>SUM(E7:E8)</f>
        <v>498925758</v>
      </c>
      <c r="F9" s="40">
        <f t="shared" si="0"/>
        <v>535283751</v>
      </c>
      <c r="G9" s="238">
        <f t="shared" si="0"/>
        <v>641253619</v>
      </c>
      <c r="H9" s="238">
        <f t="shared" si="0"/>
        <v>763598709</v>
      </c>
      <c r="I9" s="239">
        <f t="shared" si="0"/>
        <v>855738206</v>
      </c>
    </row>
    <row r="10" spans="4:9" ht="12.75">
      <c r="D10" s="6"/>
      <c r="E10" s="6"/>
      <c r="F10" s="6"/>
      <c r="G10" s="134"/>
      <c r="H10" s="134"/>
      <c r="I10" s="10"/>
    </row>
    <row r="11" spans="2:9" ht="12.75">
      <c r="B11" s="6" t="s">
        <v>42</v>
      </c>
      <c r="G11" s="10"/>
      <c r="H11" s="10"/>
      <c r="I11" s="10"/>
    </row>
    <row r="12" spans="3:10" ht="12.75">
      <c r="C12" s="39" t="s">
        <v>257</v>
      </c>
      <c r="D12" s="29">
        <f aca="true" t="shared" si="1" ref="D12:F13">D7</f>
        <v>407693861</v>
      </c>
      <c r="E12" s="29">
        <f t="shared" si="1"/>
        <v>409784484</v>
      </c>
      <c r="F12" s="29">
        <f t="shared" si="1"/>
        <v>439597836</v>
      </c>
      <c r="G12" s="41">
        <v>483021271</v>
      </c>
      <c r="H12" s="41">
        <f>H7</f>
        <v>518407521</v>
      </c>
      <c r="I12" s="41">
        <f>I7</f>
        <v>556469938</v>
      </c>
      <c r="J12" s="167"/>
    </row>
    <row r="13" spans="2:10" ht="12.75">
      <c r="B13" s="231"/>
      <c r="C13" s="232" t="s">
        <v>4</v>
      </c>
      <c r="D13" s="165">
        <f t="shared" si="1"/>
        <v>107741060</v>
      </c>
      <c r="E13" s="165">
        <f t="shared" si="1"/>
        <v>89141274</v>
      </c>
      <c r="F13" s="233">
        <f t="shared" si="1"/>
        <v>95685915</v>
      </c>
      <c r="G13" s="240">
        <v>174232348</v>
      </c>
      <c r="H13" s="240">
        <v>265191188</v>
      </c>
      <c r="I13" s="240">
        <v>319268268</v>
      </c>
      <c r="J13" s="168"/>
    </row>
    <row r="14" spans="2:9" ht="12.75">
      <c r="B14" s="42" t="s">
        <v>45</v>
      </c>
      <c r="C14" s="112"/>
      <c r="D14" s="42">
        <f aca="true" t="shared" si="2" ref="D14:I14">D13+D12</f>
        <v>515434921</v>
      </c>
      <c r="E14" s="42">
        <f t="shared" si="2"/>
        <v>498925758</v>
      </c>
      <c r="F14" s="42">
        <f t="shared" si="2"/>
        <v>535283751</v>
      </c>
      <c r="G14" s="241">
        <f>G13+G12</f>
        <v>657253619</v>
      </c>
      <c r="H14" s="241">
        <f t="shared" si="2"/>
        <v>783598709</v>
      </c>
      <c r="I14" s="241">
        <f t="shared" si="2"/>
        <v>875738206</v>
      </c>
    </row>
    <row r="15" spans="2:9" ht="12.75">
      <c r="B15" s="42"/>
      <c r="C15" s="112"/>
      <c r="D15" s="42"/>
      <c r="E15" s="42"/>
      <c r="F15" s="42"/>
      <c r="G15" s="241"/>
      <c r="H15" s="241"/>
      <c r="I15" s="241"/>
    </row>
    <row r="17" spans="1:11" ht="12.75">
      <c r="A17" s="95" t="s">
        <v>118</v>
      </c>
      <c r="B17" s="10" t="s">
        <v>300</v>
      </c>
      <c r="D17" s="7"/>
      <c r="E17" s="7"/>
      <c r="F17" s="7"/>
      <c r="J17" s="84"/>
      <c r="K17" s="84"/>
    </row>
    <row r="18" spans="3:11" ht="12.75">
      <c r="C18" s="9"/>
      <c r="D18" s="169"/>
      <c r="E18" s="182"/>
      <c r="F18" s="222"/>
      <c r="G18" s="181"/>
      <c r="H18" s="176"/>
      <c r="I18" s="176"/>
      <c r="J18" s="173"/>
      <c r="K18" s="177"/>
    </row>
    <row r="19" spans="3:11" ht="12.75">
      <c r="C19" s="70"/>
      <c r="D19" s="169"/>
      <c r="E19" s="84"/>
      <c r="F19" s="181"/>
      <c r="G19" s="166"/>
      <c r="H19" s="84"/>
      <c r="I19" s="181"/>
      <c r="J19" s="183"/>
      <c r="K19" s="174"/>
    </row>
    <row r="20" spans="3:11" ht="12.75">
      <c r="C20" s="9"/>
      <c r="D20" s="169"/>
      <c r="E20" s="169"/>
      <c r="F20" s="166"/>
      <c r="H20" s="84"/>
      <c r="I20" s="181"/>
      <c r="J20" s="183"/>
      <c r="K20" s="174"/>
    </row>
    <row r="21" spans="3:11" ht="12.75">
      <c r="C21" s="9"/>
      <c r="D21" s="173"/>
      <c r="E21" s="169"/>
      <c r="F21" s="166"/>
      <c r="H21" s="84"/>
      <c r="I21" s="181"/>
      <c r="J21" s="84"/>
      <c r="K21" s="174"/>
    </row>
    <row r="22" spans="3:11" ht="12.75">
      <c r="C22" s="70"/>
      <c r="D22" s="234"/>
      <c r="E22" s="234"/>
      <c r="F22" s="236"/>
      <c r="H22" s="84"/>
      <c r="I22" s="181"/>
      <c r="J22" s="84"/>
      <c r="K22" s="174"/>
    </row>
    <row r="23" spans="3:11" ht="12.75">
      <c r="C23" s="9"/>
      <c r="D23" s="234"/>
      <c r="E23" s="235"/>
      <c r="F23" s="175"/>
      <c r="G23" s="166"/>
      <c r="H23" s="84"/>
      <c r="I23" s="181"/>
      <c r="J23" s="84"/>
      <c r="K23" s="174"/>
    </row>
    <row r="24" spans="3:11" ht="12.75">
      <c r="C24" s="9"/>
      <c r="D24" s="173"/>
      <c r="E24" s="172"/>
      <c r="F24" s="175"/>
      <c r="G24" s="166"/>
      <c r="H24" s="84"/>
      <c r="I24" s="181"/>
      <c r="J24" s="84"/>
      <c r="K24" s="84"/>
    </row>
    <row r="25" spans="3:11" ht="12.75">
      <c r="C25" s="9"/>
      <c r="D25" s="242"/>
      <c r="E25" s="9"/>
      <c r="F25" s="175"/>
      <c r="G25" s="166"/>
      <c r="H25" s="84"/>
      <c r="I25" s="181"/>
      <c r="J25" s="84"/>
      <c r="K25" s="84"/>
    </row>
    <row r="26" spans="3:11" ht="12.75">
      <c r="C26" s="9"/>
      <c r="D26" s="169"/>
      <c r="E26" s="173"/>
      <c r="F26" s="84"/>
      <c r="G26" s="166"/>
      <c r="H26" s="84"/>
      <c r="I26" s="181"/>
      <c r="J26" s="84"/>
      <c r="K26" s="84"/>
    </row>
    <row r="27" spans="3:11" ht="12.75">
      <c r="C27" s="72"/>
      <c r="D27" s="170"/>
      <c r="E27" s="172"/>
      <c r="F27" s="169"/>
      <c r="G27" s="166"/>
      <c r="H27" s="84"/>
      <c r="I27" s="181"/>
      <c r="J27" s="84"/>
      <c r="K27" s="84"/>
    </row>
    <row r="28" spans="3:11" ht="12.75">
      <c r="C28" s="9"/>
      <c r="D28" s="169"/>
      <c r="E28" s="9"/>
      <c r="F28" s="169"/>
      <c r="G28" s="166"/>
      <c r="H28" s="84"/>
      <c r="I28" s="181"/>
      <c r="J28" s="84"/>
      <c r="K28" s="84"/>
    </row>
    <row r="29" spans="3:11" ht="12.75">
      <c r="C29" s="70"/>
      <c r="D29" s="171"/>
      <c r="E29" s="9"/>
      <c r="F29" s="169"/>
      <c r="G29" s="166"/>
      <c r="H29" s="84"/>
      <c r="I29" s="181"/>
      <c r="J29" s="84"/>
      <c r="K29" s="84"/>
    </row>
    <row r="30" spans="3:11" ht="12.75">
      <c r="C30" s="9"/>
      <c r="D30" s="169"/>
      <c r="E30" s="9"/>
      <c r="F30" s="169"/>
      <c r="G30" s="166"/>
      <c r="H30" s="84"/>
      <c r="I30" s="181"/>
      <c r="J30" s="84"/>
      <c r="K30" s="84"/>
    </row>
    <row r="31" spans="3:11" ht="12.75">
      <c r="C31" s="9"/>
      <c r="D31" s="169"/>
      <c r="E31" s="9"/>
      <c r="F31" s="169"/>
      <c r="G31" s="166"/>
      <c r="H31" s="84"/>
      <c r="I31" s="181"/>
      <c r="J31" s="84"/>
      <c r="K31" s="84"/>
    </row>
    <row r="32" spans="6:11" ht="12.75">
      <c r="F32" s="84"/>
      <c r="G32" s="84"/>
      <c r="H32" s="84"/>
      <c r="I32" s="84"/>
      <c r="J32" s="84"/>
      <c r="K32" s="84"/>
    </row>
    <row r="33" spans="6:11" ht="12.75">
      <c r="F33" s="84"/>
      <c r="G33" s="84"/>
      <c r="H33" s="84"/>
      <c r="I33" s="84"/>
      <c r="J33" s="84"/>
      <c r="K33" s="84"/>
    </row>
    <row r="35" spans="4:6" ht="12.75">
      <c r="D35" s="161"/>
      <c r="E35" s="161"/>
      <c r="F35" s="161"/>
    </row>
    <row r="36" spans="4:6" ht="12.75">
      <c r="D36" s="161"/>
      <c r="E36" s="161"/>
      <c r="F36" s="161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&amp;L&amp;A&amp;CMC2005-2
HSBC NSA Model&amp;R REVISED  3/11/05</oddFooter>
  </headerFooter>
  <ignoredErrors>
    <ignoredError sqref="A17 A5:A15 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4.28125" style="0" customWidth="1"/>
    <col min="2" max="2" width="2.7109375" style="0" customWidth="1"/>
    <col min="3" max="3" width="47.00390625" style="0" customWidth="1"/>
    <col min="4" max="4" width="13.57421875" style="0" bestFit="1" customWidth="1"/>
    <col min="5" max="5" width="11.7109375" style="0" customWidth="1"/>
    <col min="6" max="6" width="13.421875" style="0" bestFit="1" customWidth="1"/>
    <col min="7" max="8" width="12.28125" style="0" bestFit="1" customWidth="1"/>
    <col min="9" max="9" width="10.28125" style="0" bestFit="1" customWidth="1"/>
    <col min="10" max="10" width="12.28125" style="0" bestFit="1" customWidth="1"/>
  </cols>
  <sheetData>
    <row r="1" spans="1:7" ht="18">
      <c r="A1" s="3" t="s">
        <v>305</v>
      </c>
      <c r="B1" s="1"/>
      <c r="C1" s="1"/>
      <c r="D1" s="1"/>
      <c r="E1" s="1"/>
      <c r="F1" s="1"/>
      <c r="G1" s="86"/>
    </row>
    <row r="2" spans="1:7" ht="12.75">
      <c r="A2" s="2" t="s">
        <v>191</v>
      </c>
      <c r="B2" s="1"/>
      <c r="C2" s="1"/>
      <c r="D2" s="100" t="s">
        <v>118</v>
      </c>
      <c r="E2" s="100" t="s">
        <v>119</v>
      </c>
      <c r="F2" s="100" t="s">
        <v>120</v>
      </c>
      <c r="G2" s="86"/>
    </row>
    <row r="3" spans="1:7" ht="12.75">
      <c r="A3" s="2" t="s">
        <v>248</v>
      </c>
      <c r="B3" s="1"/>
      <c r="C3" s="1"/>
      <c r="D3" s="11" t="s">
        <v>33</v>
      </c>
      <c r="E3" s="11" t="s">
        <v>34</v>
      </c>
      <c r="F3" s="11" t="s">
        <v>35</v>
      </c>
      <c r="G3" s="87"/>
    </row>
    <row r="5" ht="12.75">
      <c r="A5" s="6" t="s">
        <v>15</v>
      </c>
    </row>
    <row r="7" ht="12.75">
      <c r="A7" t="s">
        <v>16</v>
      </c>
    </row>
    <row r="8" spans="2:6" ht="12.75">
      <c r="B8" t="s">
        <v>17</v>
      </c>
      <c r="D8" s="191">
        <v>0</v>
      </c>
      <c r="E8" s="30">
        <v>0.37</v>
      </c>
      <c r="F8" s="32">
        <f>D8*E8</f>
        <v>0</v>
      </c>
    </row>
    <row r="9" spans="2:6" ht="12.75">
      <c r="B9" t="s">
        <v>18</v>
      </c>
      <c r="D9" s="191">
        <v>0</v>
      </c>
      <c r="E9" s="30">
        <v>0.34</v>
      </c>
      <c r="F9">
        <f>D9*E9</f>
        <v>0</v>
      </c>
    </row>
    <row r="10" spans="2:6" ht="12.75">
      <c r="B10" t="s">
        <v>19</v>
      </c>
      <c r="D10" s="191">
        <v>0</v>
      </c>
      <c r="E10" s="30">
        <v>0.23</v>
      </c>
      <c r="F10">
        <f>D10*E10</f>
        <v>0</v>
      </c>
    </row>
    <row r="11" spans="2:6" ht="12.75">
      <c r="B11" t="s">
        <v>20</v>
      </c>
      <c r="D11" s="191">
        <v>0</v>
      </c>
      <c r="E11" s="30">
        <v>0.12</v>
      </c>
      <c r="F11">
        <f>D11*E11</f>
        <v>0</v>
      </c>
    </row>
    <row r="12" spans="1:6" ht="12.75">
      <c r="A12" s="101" t="s">
        <v>37</v>
      </c>
      <c r="B12" s="26"/>
      <c r="C12" s="26"/>
      <c r="D12" s="160"/>
      <c r="E12" s="27"/>
      <c r="F12" s="26">
        <f>SUM(F8:F11)</f>
        <v>0</v>
      </c>
    </row>
    <row r="13" spans="1:6" ht="12.75">
      <c r="A13" t="s">
        <v>21</v>
      </c>
      <c r="D13" s="10"/>
      <c r="E13" s="25"/>
      <c r="F13" s="31">
        <v>1</v>
      </c>
    </row>
    <row r="14" spans="1:6" ht="12.75">
      <c r="A14" s="101" t="s">
        <v>127</v>
      </c>
      <c r="B14" s="26"/>
      <c r="C14" s="26"/>
      <c r="D14" s="160"/>
      <c r="E14" s="27"/>
      <c r="F14" s="26">
        <f>F12*F13</f>
        <v>0</v>
      </c>
    </row>
    <row r="15" spans="4:5" ht="12.75">
      <c r="D15" s="10"/>
      <c r="E15" s="25"/>
    </row>
    <row r="16" spans="1:5" ht="12.75">
      <c r="A16" t="s">
        <v>22</v>
      </c>
      <c r="D16" s="10"/>
      <c r="E16" s="25"/>
    </row>
    <row r="17" spans="2:8" ht="12.75">
      <c r="B17" t="s">
        <v>23</v>
      </c>
      <c r="D17" s="243">
        <v>9805861</v>
      </c>
      <c r="E17" s="30">
        <v>0.352</v>
      </c>
      <c r="F17">
        <f>D17*E17</f>
        <v>3451663.0719999997</v>
      </c>
      <c r="H17" s="7"/>
    </row>
    <row r="18" spans="2:8" ht="12.75">
      <c r="B18" t="s">
        <v>19</v>
      </c>
      <c r="D18" s="244">
        <v>0</v>
      </c>
      <c r="E18" s="30">
        <v>0.225</v>
      </c>
      <c r="F18">
        <f>D18*E18</f>
        <v>0</v>
      </c>
      <c r="H18" s="7"/>
    </row>
    <row r="19" spans="2:8" ht="12.75">
      <c r="B19" t="s">
        <v>20</v>
      </c>
      <c r="D19" s="244">
        <v>0</v>
      </c>
      <c r="E19" s="30">
        <v>0.055</v>
      </c>
      <c r="F19">
        <f>D19*E19</f>
        <v>0</v>
      </c>
      <c r="H19" s="7"/>
    </row>
    <row r="20" spans="2:8" ht="12.75">
      <c r="B20" t="s">
        <v>24</v>
      </c>
      <c r="D20" s="244">
        <v>0</v>
      </c>
      <c r="E20" s="31">
        <v>-0.041</v>
      </c>
      <c r="F20">
        <f>D20*E20</f>
        <v>0</v>
      </c>
      <c r="H20" s="7"/>
    </row>
    <row r="21" spans="1:8" ht="12.75">
      <c r="A21" s="101" t="s">
        <v>135</v>
      </c>
      <c r="B21" s="26"/>
      <c r="C21" s="26"/>
      <c r="D21" s="245"/>
      <c r="E21" s="27"/>
      <c r="F21" s="26">
        <f>SUM(F17:F20)</f>
        <v>3451663.0719999997</v>
      </c>
      <c r="H21" s="7"/>
    </row>
    <row r="22" spans="1:8" ht="12.75">
      <c r="A22" t="s">
        <v>21</v>
      </c>
      <c r="D22" s="159"/>
      <c r="E22" s="25"/>
      <c r="F22" s="31">
        <v>1</v>
      </c>
      <c r="H22" s="7"/>
    </row>
    <row r="23" spans="1:8" ht="12.75">
      <c r="A23" s="101" t="s">
        <v>128</v>
      </c>
      <c r="B23" s="26"/>
      <c r="C23" s="26"/>
      <c r="D23" s="245"/>
      <c r="E23" s="27"/>
      <c r="F23" s="26">
        <f>F21*F22</f>
        <v>3451663.0719999997</v>
      </c>
      <c r="H23" s="7"/>
    </row>
    <row r="24" spans="4:8" ht="12.75">
      <c r="D24" s="159"/>
      <c r="E24" s="25"/>
      <c r="H24" s="7"/>
    </row>
    <row r="25" spans="1:8" ht="12.75">
      <c r="A25" t="s">
        <v>25</v>
      </c>
      <c r="D25" s="159"/>
      <c r="E25" s="25"/>
      <c r="H25" s="7"/>
    </row>
    <row r="26" spans="2:8" ht="12.75">
      <c r="B26" t="s">
        <v>26</v>
      </c>
      <c r="D26" s="243">
        <v>31387770</v>
      </c>
      <c r="E26" s="30">
        <v>0.309</v>
      </c>
      <c r="F26">
        <f aca="true" t="shared" si="0" ref="F26:F31">D26*E26</f>
        <v>9698820.93</v>
      </c>
      <c r="H26" s="7"/>
    </row>
    <row r="27" spans="2:8" ht="12.75">
      <c r="B27" t="s">
        <v>27</v>
      </c>
      <c r="D27" s="243">
        <v>41768164</v>
      </c>
      <c r="E27" s="30">
        <v>0.301</v>
      </c>
      <c r="F27">
        <f t="shared" si="0"/>
        <v>12572217.364</v>
      </c>
      <c r="H27" s="7"/>
    </row>
    <row r="28" spans="2:8" ht="12.75">
      <c r="B28" t="s">
        <v>28</v>
      </c>
      <c r="D28" s="243">
        <v>264042110</v>
      </c>
      <c r="E28" s="30">
        <v>0.292</v>
      </c>
      <c r="F28">
        <f t="shared" si="0"/>
        <v>77100296.11999999</v>
      </c>
      <c r="H28" s="7"/>
    </row>
    <row r="29" spans="2:8" ht="12.75">
      <c r="B29" t="s">
        <v>29</v>
      </c>
      <c r="D29" s="243">
        <v>78242286</v>
      </c>
      <c r="E29" s="30">
        <v>0.278</v>
      </c>
      <c r="F29">
        <f t="shared" si="0"/>
        <v>21751355.508</v>
      </c>
      <c r="H29" s="7"/>
    </row>
    <row r="30" spans="2:8" ht="12.75">
      <c r="B30" t="s">
        <v>19</v>
      </c>
      <c r="D30" s="244">
        <v>0</v>
      </c>
      <c r="E30" s="30">
        <v>0.225</v>
      </c>
      <c r="F30">
        <f t="shared" si="0"/>
        <v>0</v>
      </c>
      <c r="H30" s="7"/>
    </row>
    <row r="31" spans="2:8" ht="12.75">
      <c r="B31" t="s">
        <v>24</v>
      </c>
      <c r="D31" s="244">
        <v>0</v>
      </c>
      <c r="E31" s="31">
        <v>-0.041</v>
      </c>
      <c r="F31">
        <f t="shared" si="0"/>
        <v>0</v>
      </c>
      <c r="H31" s="7"/>
    </row>
    <row r="32" spans="1:8" ht="12.75">
      <c r="A32" s="101" t="s">
        <v>134</v>
      </c>
      <c r="B32" s="26"/>
      <c r="C32" s="26"/>
      <c r="D32" s="245"/>
      <c r="E32" s="27"/>
      <c r="F32" s="26">
        <f>SUM(F26:F31)</f>
        <v>121122689.92199999</v>
      </c>
      <c r="H32" s="7"/>
    </row>
    <row r="33" spans="1:8" ht="12.75">
      <c r="A33" t="s">
        <v>21</v>
      </c>
      <c r="D33" s="159"/>
      <c r="E33" s="25"/>
      <c r="F33" s="31">
        <v>1</v>
      </c>
      <c r="H33" s="7"/>
    </row>
    <row r="34" spans="1:8" ht="12.75">
      <c r="A34" s="101" t="s">
        <v>129</v>
      </c>
      <c r="B34" s="26"/>
      <c r="C34" s="26"/>
      <c r="D34" s="245"/>
      <c r="E34" s="27"/>
      <c r="F34" s="26">
        <f>F32*F33</f>
        <v>121122689.92199999</v>
      </c>
      <c r="H34" s="7"/>
    </row>
    <row r="35" spans="4:8" ht="12.75">
      <c r="D35" s="159"/>
      <c r="E35" s="25"/>
      <c r="H35" s="7"/>
    </row>
    <row r="36" spans="1:8" ht="12.75">
      <c r="A36" t="s">
        <v>30</v>
      </c>
      <c r="D36" s="159"/>
      <c r="E36" s="25"/>
      <c r="H36" s="7"/>
    </row>
    <row r="37" spans="2:8" ht="12.75">
      <c r="B37" t="s">
        <v>23</v>
      </c>
      <c r="D37" s="243">
        <v>14351645</v>
      </c>
      <c r="E37" s="25">
        <v>0.275</v>
      </c>
      <c r="F37">
        <f>D37*E37</f>
        <v>3946702.3750000005</v>
      </c>
      <c r="H37" s="7"/>
    </row>
    <row r="38" spans="2:6" ht="12.75">
      <c r="B38" t="s">
        <v>31</v>
      </c>
      <c r="D38" s="246">
        <v>0</v>
      </c>
      <c r="E38" s="25">
        <v>0.225</v>
      </c>
      <c r="F38">
        <f>D38*E38</f>
        <v>0</v>
      </c>
    </row>
    <row r="39" spans="2:6" ht="12.75">
      <c r="B39" t="s">
        <v>24</v>
      </c>
      <c r="D39" s="80">
        <v>0</v>
      </c>
      <c r="E39" s="28">
        <v>-0.041</v>
      </c>
      <c r="F39">
        <f>D39*E39</f>
        <v>0</v>
      </c>
    </row>
    <row r="40" spans="1:6" ht="12.75">
      <c r="A40" s="26" t="s">
        <v>38</v>
      </c>
      <c r="B40" s="26"/>
      <c r="C40" s="26"/>
      <c r="D40" s="26"/>
      <c r="E40" s="27"/>
      <c r="F40" s="26">
        <f>SUM(F37:F39)</f>
        <v>3946702.3750000005</v>
      </c>
    </row>
    <row r="41" spans="1:6" ht="12.75">
      <c r="A41" t="s">
        <v>21</v>
      </c>
      <c r="E41" s="25"/>
      <c r="F41" s="31">
        <v>1</v>
      </c>
    </row>
    <row r="42" spans="1:6" ht="12.75">
      <c r="A42" s="101" t="s">
        <v>130</v>
      </c>
      <c r="B42" s="26"/>
      <c r="C42" s="26"/>
      <c r="D42" s="26"/>
      <c r="E42" s="27"/>
      <c r="F42" s="26">
        <f>F40*F41</f>
        <v>3946702.3750000005</v>
      </c>
    </row>
    <row r="43" ht="12.75">
      <c r="E43" s="25"/>
    </row>
    <row r="44" spans="1:6" ht="12.75">
      <c r="A44" t="s">
        <v>131</v>
      </c>
      <c r="E44" s="25"/>
      <c r="F44" s="32">
        <f>F23+F34+F42+F14</f>
        <v>128521055.36899999</v>
      </c>
    </row>
    <row r="45" spans="1:9" ht="12.75">
      <c r="A45" t="s">
        <v>39</v>
      </c>
      <c r="F45">
        <f>D8+D17+D26+D27+D28+D29+D37</f>
        <v>439597836</v>
      </c>
      <c r="H45" s="47"/>
      <c r="I45" s="47"/>
    </row>
    <row r="46" spans="1:6" ht="12.75">
      <c r="A46" s="99" t="s">
        <v>126</v>
      </c>
      <c r="B46" s="35" t="s">
        <v>40</v>
      </c>
      <c r="C46" s="33"/>
      <c r="D46" s="33"/>
      <c r="E46" s="33"/>
      <c r="F46" s="34">
        <f>F44/F45</f>
        <v>0.2923605278370842</v>
      </c>
    </row>
    <row r="47" spans="1:6" ht="12.75">
      <c r="A47" s="39"/>
      <c r="B47" s="35"/>
      <c r="C47" s="33"/>
      <c r="D47" s="33"/>
      <c r="E47" s="33"/>
      <c r="F47" s="34"/>
    </row>
    <row r="48" spans="1:3" ht="12.75">
      <c r="A48" s="142" t="s">
        <v>133</v>
      </c>
      <c r="B48" s="102" t="s">
        <v>278</v>
      </c>
      <c r="C48" s="10"/>
    </row>
    <row r="49" spans="1:3" ht="12.75">
      <c r="A49" s="141" t="s">
        <v>118</v>
      </c>
      <c r="B49" s="102" t="s">
        <v>304</v>
      </c>
      <c r="C49" s="10"/>
    </row>
    <row r="50" spans="1:3" ht="12.75">
      <c r="A50" s="141" t="s">
        <v>119</v>
      </c>
      <c r="B50" s="102" t="s">
        <v>224</v>
      </c>
      <c r="C50" s="10"/>
    </row>
    <row r="51" spans="1:3" ht="12.75">
      <c r="A51" s="141" t="s">
        <v>120</v>
      </c>
      <c r="B51" s="102" t="s">
        <v>225</v>
      </c>
      <c r="C51" s="10"/>
    </row>
    <row r="52" spans="1:2" ht="12.75">
      <c r="A52" s="95" t="s">
        <v>121</v>
      </c>
      <c r="B52" t="s">
        <v>136</v>
      </c>
    </row>
    <row r="53" spans="1:2" ht="12.75">
      <c r="A53" s="95" t="s">
        <v>122</v>
      </c>
      <c r="B53" t="s">
        <v>139</v>
      </c>
    </row>
    <row r="54" spans="1:2" ht="12.75">
      <c r="A54" s="95" t="s">
        <v>123</v>
      </c>
      <c r="B54" t="s">
        <v>137</v>
      </c>
    </row>
    <row r="55" spans="1:2" ht="12.75">
      <c r="A55" s="95" t="s">
        <v>124</v>
      </c>
      <c r="B55" t="s">
        <v>138</v>
      </c>
    </row>
    <row r="56" spans="1:2" ht="12.75">
      <c r="A56" s="95" t="s">
        <v>125</v>
      </c>
      <c r="B56" t="s">
        <v>140</v>
      </c>
    </row>
    <row r="57" spans="1:2" ht="12.75">
      <c r="A57" s="95" t="s">
        <v>126</v>
      </c>
      <c r="B57" t="s">
        <v>141</v>
      </c>
    </row>
  </sheetData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&amp;L&amp;A&amp;CMC2005-2
HSBC NSA Model&amp;R REVISED  3/11/05</oddFooter>
  </headerFooter>
  <ignoredErrors>
    <ignoredError sqref="A51:A57 D2:F2 A46:A48 A49:A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4.28125" style="0" customWidth="1"/>
    <col min="2" max="2" width="2.7109375" style="0" customWidth="1"/>
    <col min="3" max="3" width="47.00390625" style="0" customWidth="1"/>
    <col min="4" max="4" width="13.57421875" style="0" bestFit="1" customWidth="1"/>
    <col min="5" max="5" width="11.7109375" style="0" customWidth="1"/>
    <col min="6" max="6" width="13.421875" style="0" bestFit="1" customWidth="1"/>
    <col min="7" max="7" width="12.28125" style="0" bestFit="1" customWidth="1"/>
    <col min="8" max="8" width="15.140625" style="0" bestFit="1" customWidth="1"/>
    <col min="9" max="9" width="12.28125" style="0" bestFit="1" customWidth="1"/>
    <col min="10" max="10" width="11.28125" style="0" bestFit="1" customWidth="1"/>
    <col min="11" max="11" width="10.28125" style="0" bestFit="1" customWidth="1"/>
  </cols>
  <sheetData>
    <row r="1" spans="1:9" ht="18">
      <c r="A1" s="3" t="s">
        <v>305</v>
      </c>
      <c r="B1" s="1"/>
      <c r="C1" s="1"/>
      <c r="D1" s="1"/>
      <c r="E1" s="1"/>
      <c r="F1" s="1"/>
      <c r="G1" s="86"/>
      <c r="H1" s="86"/>
      <c r="I1" s="86"/>
    </row>
    <row r="2" spans="1:9" ht="12.75">
      <c r="A2" s="2" t="s">
        <v>191</v>
      </c>
      <c r="B2" s="1"/>
      <c r="C2" s="1"/>
      <c r="D2" s="100" t="s">
        <v>118</v>
      </c>
      <c r="E2" s="100" t="s">
        <v>119</v>
      </c>
      <c r="F2" s="100" t="s">
        <v>120</v>
      </c>
      <c r="G2" s="86"/>
      <c r="H2" s="86"/>
      <c r="I2" s="86"/>
    </row>
    <row r="3" spans="1:9" ht="12.75">
      <c r="A3" s="2" t="s">
        <v>249</v>
      </c>
      <c r="B3" s="1"/>
      <c r="C3" s="1"/>
      <c r="D3" s="11" t="s">
        <v>33</v>
      </c>
      <c r="E3" s="11" t="s">
        <v>34</v>
      </c>
      <c r="F3" s="11" t="s">
        <v>35</v>
      </c>
      <c r="G3" s="87"/>
      <c r="H3" s="87"/>
      <c r="I3" s="87"/>
    </row>
    <row r="5" ht="12.75">
      <c r="A5" s="6" t="s">
        <v>15</v>
      </c>
    </row>
    <row r="7" ht="12.75">
      <c r="A7" t="s">
        <v>16</v>
      </c>
    </row>
    <row r="8" spans="2:9" ht="12.75">
      <c r="B8" t="s">
        <v>17</v>
      </c>
      <c r="D8" s="191">
        <v>0</v>
      </c>
      <c r="E8" s="30">
        <v>0.37</v>
      </c>
      <c r="F8" s="184">
        <f>D8*E8</f>
        <v>0</v>
      </c>
      <c r="I8" s="185"/>
    </row>
    <row r="9" spans="2:9" ht="12.75">
      <c r="B9" t="s">
        <v>18</v>
      </c>
      <c r="D9" s="191">
        <v>0</v>
      </c>
      <c r="E9" s="30">
        <v>0.34</v>
      </c>
      <c r="F9">
        <f>D9*E9</f>
        <v>0</v>
      </c>
      <c r="I9" s="185"/>
    </row>
    <row r="10" spans="2:9" ht="12.75">
      <c r="B10" t="s">
        <v>19</v>
      </c>
      <c r="D10" s="191">
        <v>0</v>
      </c>
      <c r="E10" s="30">
        <v>0.23</v>
      </c>
      <c r="F10">
        <f>D10*E10</f>
        <v>0</v>
      </c>
      <c r="I10" s="185"/>
    </row>
    <row r="11" spans="2:9" ht="12.75">
      <c r="B11" t="s">
        <v>20</v>
      </c>
      <c r="D11" s="191">
        <v>0</v>
      </c>
      <c r="E11" s="30">
        <v>0.12</v>
      </c>
      <c r="F11">
        <f>D11*E11</f>
        <v>0</v>
      </c>
      <c r="I11" s="185"/>
    </row>
    <row r="12" spans="1:6" ht="12.75">
      <c r="A12" s="186" t="s">
        <v>37</v>
      </c>
      <c r="B12" s="187"/>
      <c r="C12" s="187"/>
      <c r="D12" s="188"/>
      <c r="E12" s="189"/>
      <c r="F12" s="187">
        <f>SUM(F8:F11)</f>
        <v>0</v>
      </c>
    </row>
    <row r="13" spans="1:6" ht="12.75">
      <c r="A13" t="s">
        <v>21</v>
      </c>
      <c r="D13" s="10"/>
      <c r="E13" s="25"/>
      <c r="F13" s="31">
        <v>1</v>
      </c>
    </row>
    <row r="14" spans="1:6" ht="12.75">
      <c r="A14" s="186" t="s">
        <v>127</v>
      </c>
      <c r="B14" s="187"/>
      <c r="C14" s="187"/>
      <c r="D14" s="188"/>
      <c r="E14" s="189"/>
      <c r="F14" s="187">
        <f>F12*F13</f>
        <v>0</v>
      </c>
    </row>
    <row r="15" spans="4:5" ht="12.75">
      <c r="D15" s="10"/>
      <c r="E15" s="25"/>
    </row>
    <row r="16" spans="1:8" ht="12.75">
      <c r="A16" t="s">
        <v>22</v>
      </c>
      <c r="D16" s="10"/>
      <c r="E16" s="25"/>
      <c r="H16" s="185"/>
    </row>
    <row r="17" spans="2:8" ht="12.75">
      <c r="B17" t="s">
        <v>23</v>
      </c>
      <c r="D17" s="243">
        <v>61007</v>
      </c>
      <c r="E17" s="30">
        <v>0.352</v>
      </c>
      <c r="F17">
        <f>D17*E17</f>
        <v>21474.464</v>
      </c>
      <c r="G17" s="7"/>
      <c r="H17" s="185"/>
    </row>
    <row r="18" spans="2:8" ht="12.75">
      <c r="B18" t="s">
        <v>19</v>
      </c>
      <c r="D18" s="244">
        <v>0</v>
      </c>
      <c r="E18" s="30">
        <v>0.225</v>
      </c>
      <c r="F18">
        <f>D18*E18</f>
        <v>0</v>
      </c>
      <c r="G18" s="7"/>
      <c r="H18" s="185"/>
    </row>
    <row r="19" spans="2:8" ht="12.75">
      <c r="B19" t="s">
        <v>20</v>
      </c>
      <c r="D19" s="244">
        <v>0</v>
      </c>
      <c r="E19" s="30">
        <v>0.055</v>
      </c>
      <c r="F19">
        <f>D19*E19</f>
        <v>0</v>
      </c>
      <c r="G19" s="7"/>
      <c r="H19" s="185"/>
    </row>
    <row r="20" spans="2:8" ht="12.75">
      <c r="B20" t="s">
        <v>24</v>
      </c>
      <c r="D20" s="244">
        <v>0</v>
      </c>
      <c r="E20" s="31">
        <v>-0.041</v>
      </c>
      <c r="F20">
        <f>D20*E20</f>
        <v>0</v>
      </c>
      <c r="G20" s="7"/>
      <c r="H20" s="185"/>
    </row>
    <row r="21" spans="1:8" ht="12.75">
      <c r="A21" s="186" t="s">
        <v>135</v>
      </c>
      <c r="B21" s="187"/>
      <c r="C21" s="187"/>
      <c r="D21" s="245"/>
      <c r="E21" s="189"/>
      <c r="F21" s="187">
        <f>SUM(F17:F20)</f>
        <v>21474.464</v>
      </c>
      <c r="G21" s="7"/>
      <c r="H21" s="185"/>
    </row>
    <row r="22" spans="1:8" ht="12.75">
      <c r="A22" t="s">
        <v>21</v>
      </c>
      <c r="D22" s="159"/>
      <c r="E22" s="25"/>
      <c r="F22" s="31">
        <v>1</v>
      </c>
      <c r="G22" s="7"/>
      <c r="H22" s="185"/>
    </row>
    <row r="23" spans="1:8" ht="12.75">
      <c r="A23" s="186" t="s">
        <v>128</v>
      </c>
      <c r="B23" s="187"/>
      <c r="C23" s="187"/>
      <c r="D23" s="245"/>
      <c r="E23" s="189"/>
      <c r="F23" s="187">
        <f>F21*F22</f>
        <v>21474.464</v>
      </c>
      <c r="G23" s="7"/>
      <c r="H23" s="185"/>
    </row>
    <row r="24" spans="4:8" ht="12.75">
      <c r="D24" s="159"/>
      <c r="E24" s="25"/>
      <c r="G24" s="7"/>
      <c r="H24" s="185"/>
    </row>
    <row r="25" spans="1:8" ht="12.75">
      <c r="A25" t="s">
        <v>25</v>
      </c>
      <c r="D25" s="159"/>
      <c r="E25" s="25"/>
      <c r="G25" s="7"/>
      <c r="H25" s="185"/>
    </row>
    <row r="26" spans="2:8" ht="12.75">
      <c r="B26" t="s">
        <v>26</v>
      </c>
      <c r="D26" s="243">
        <v>11944126</v>
      </c>
      <c r="E26" s="30">
        <v>0.309</v>
      </c>
      <c r="F26">
        <f aca="true" t="shared" si="0" ref="F26:F31">D26*E26</f>
        <v>3690734.934</v>
      </c>
      <c r="G26" s="7"/>
      <c r="H26" s="185"/>
    </row>
    <row r="27" spans="2:8" ht="12.75">
      <c r="B27" t="s">
        <v>27</v>
      </c>
      <c r="D27" s="243">
        <v>18498424</v>
      </c>
      <c r="E27" s="30">
        <v>0.301</v>
      </c>
      <c r="F27">
        <f t="shared" si="0"/>
        <v>5568025.624</v>
      </c>
      <c r="G27" s="7"/>
      <c r="H27" s="185"/>
    </row>
    <row r="28" spans="2:8" ht="12.75">
      <c r="B28" t="s">
        <v>28</v>
      </c>
      <c r="D28" s="243">
        <v>59695294</v>
      </c>
      <c r="E28" s="30">
        <v>0.292</v>
      </c>
      <c r="F28">
        <f t="shared" si="0"/>
        <v>17431025.847999997</v>
      </c>
      <c r="G28" s="7"/>
      <c r="H28" s="185"/>
    </row>
    <row r="29" spans="2:8" ht="12.75">
      <c r="B29" t="s">
        <v>29</v>
      </c>
      <c r="D29" s="243">
        <v>5313665</v>
      </c>
      <c r="E29" s="30">
        <v>0.278</v>
      </c>
      <c r="F29">
        <f t="shared" si="0"/>
        <v>1477198.87</v>
      </c>
      <c r="G29" s="7"/>
      <c r="H29" s="185"/>
    </row>
    <row r="30" spans="2:8" ht="12.75">
      <c r="B30" t="s">
        <v>19</v>
      </c>
      <c r="D30" s="244">
        <v>0</v>
      </c>
      <c r="E30" s="30">
        <v>0.225</v>
      </c>
      <c r="F30">
        <f t="shared" si="0"/>
        <v>0</v>
      </c>
      <c r="G30" s="7"/>
      <c r="H30" s="185"/>
    </row>
    <row r="31" spans="2:8" ht="12.75">
      <c r="B31" t="s">
        <v>24</v>
      </c>
      <c r="D31" s="244">
        <v>0</v>
      </c>
      <c r="E31" s="31">
        <v>-0.041</v>
      </c>
      <c r="F31">
        <f t="shared" si="0"/>
        <v>0</v>
      </c>
      <c r="G31" s="7"/>
      <c r="H31" s="185"/>
    </row>
    <row r="32" spans="1:8" ht="12.75">
      <c r="A32" s="186" t="s">
        <v>134</v>
      </c>
      <c r="B32" s="187"/>
      <c r="C32" s="187"/>
      <c r="D32" s="245"/>
      <c r="E32" s="189"/>
      <c r="F32" s="187">
        <f>SUM(F26:F31)</f>
        <v>28166985.275999997</v>
      </c>
      <c r="G32" s="7"/>
      <c r="H32" s="185"/>
    </row>
    <row r="33" spans="1:8" ht="12.75">
      <c r="A33" t="s">
        <v>21</v>
      </c>
      <c r="D33" s="159"/>
      <c r="E33" s="25"/>
      <c r="F33" s="31">
        <v>1</v>
      </c>
      <c r="G33" s="7"/>
      <c r="H33" s="185"/>
    </row>
    <row r="34" spans="1:8" ht="12.75">
      <c r="A34" s="186" t="s">
        <v>129</v>
      </c>
      <c r="B34" s="187"/>
      <c r="C34" s="187"/>
      <c r="D34" s="245"/>
      <c r="E34" s="189"/>
      <c r="F34" s="187">
        <f>F32*F33</f>
        <v>28166985.275999997</v>
      </c>
      <c r="G34" s="7"/>
      <c r="H34" s="185"/>
    </row>
    <row r="35" spans="4:8" ht="12.75">
      <c r="D35" s="159"/>
      <c r="E35" s="25"/>
      <c r="G35" s="7"/>
      <c r="H35" s="185"/>
    </row>
    <row r="36" spans="1:8" ht="12.75">
      <c r="A36" t="s">
        <v>30</v>
      </c>
      <c r="D36" s="159"/>
      <c r="E36" s="25"/>
      <c r="G36" s="7"/>
      <c r="H36" s="185"/>
    </row>
    <row r="37" spans="2:8" ht="12.75">
      <c r="B37" t="s">
        <v>23</v>
      </c>
      <c r="D37" s="243">
        <v>173399</v>
      </c>
      <c r="E37" s="25">
        <v>0.275</v>
      </c>
      <c r="F37">
        <f>D37*E37</f>
        <v>47684.725000000006</v>
      </c>
      <c r="G37" s="7"/>
      <c r="H37" s="185"/>
    </row>
    <row r="38" spans="2:6" ht="12.75">
      <c r="B38" t="s">
        <v>31</v>
      </c>
      <c r="D38" s="80">
        <v>0</v>
      </c>
      <c r="E38" s="25">
        <v>0.225</v>
      </c>
      <c r="F38">
        <f>D38*E38</f>
        <v>0</v>
      </c>
    </row>
    <row r="39" spans="2:6" ht="12.75">
      <c r="B39" t="s">
        <v>24</v>
      </c>
      <c r="D39" s="80">
        <v>0</v>
      </c>
      <c r="E39" s="28">
        <v>-0.041</v>
      </c>
      <c r="F39">
        <f>D39*E39</f>
        <v>0</v>
      </c>
    </row>
    <row r="40" spans="1:6" ht="12.75">
      <c r="A40" s="187" t="s">
        <v>38</v>
      </c>
      <c r="B40" s="187"/>
      <c r="C40" s="187"/>
      <c r="D40" s="187"/>
      <c r="E40" s="189"/>
      <c r="F40" s="187">
        <f>SUM(F37:F39)</f>
        <v>47684.725000000006</v>
      </c>
    </row>
    <row r="41" spans="1:6" ht="12.75">
      <c r="A41" t="s">
        <v>21</v>
      </c>
      <c r="E41" s="25"/>
      <c r="F41" s="31">
        <v>1</v>
      </c>
    </row>
    <row r="42" spans="1:6" ht="12.75">
      <c r="A42" s="186" t="s">
        <v>130</v>
      </c>
      <c r="B42" s="187"/>
      <c r="C42" s="187"/>
      <c r="D42" s="187"/>
      <c r="E42" s="189"/>
      <c r="F42" s="187">
        <f>F40*F41</f>
        <v>47684.725000000006</v>
      </c>
    </row>
    <row r="43" ht="12.75">
      <c r="E43" s="25"/>
    </row>
    <row r="44" spans="1:6" ht="12.75">
      <c r="A44" t="s">
        <v>131</v>
      </c>
      <c r="E44" s="25"/>
      <c r="F44" s="184">
        <f>F23+F34+F42+F14</f>
        <v>28236144.465</v>
      </c>
    </row>
    <row r="45" spans="1:11" ht="12.75">
      <c r="A45" t="s">
        <v>39</v>
      </c>
      <c r="F45">
        <f>D8+D17+D26+D27+D28+D29+D37</f>
        <v>95685915</v>
      </c>
      <c r="I45" s="47"/>
      <c r="J45" s="47"/>
      <c r="K45" s="47"/>
    </row>
    <row r="46" spans="1:6" ht="12.75">
      <c r="A46" s="99" t="s">
        <v>126</v>
      </c>
      <c r="B46" s="35" t="s">
        <v>40</v>
      </c>
      <c r="C46" s="190"/>
      <c r="D46" s="190"/>
      <c r="E46" s="190"/>
      <c r="F46" s="34">
        <f>F44/F45</f>
        <v>0.2950919627512576</v>
      </c>
    </row>
    <row r="47" spans="1:6" ht="12.75">
      <c r="A47" s="39"/>
      <c r="B47" s="35"/>
      <c r="C47" s="190"/>
      <c r="D47" s="190"/>
      <c r="E47" s="190"/>
      <c r="F47" s="34"/>
    </row>
    <row r="48" spans="1:3" ht="12.75">
      <c r="A48" s="142" t="s">
        <v>133</v>
      </c>
      <c r="B48" s="102" t="s">
        <v>278</v>
      </c>
      <c r="C48" s="10"/>
    </row>
    <row r="49" spans="1:3" ht="12.75">
      <c r="A49" s="141" t="s">
        <v>118</v>
      </c>
      <c r="B49" s="102" t="s">
        <v>304</v>
      </c>
      <c r="C49" s="10"/>
    </row>
    <row r="50" spans="1:3" ht="12.75">
      <c r="A50" s="141" t="s">
        <v>119</v>
      </c>
      <c r="B50" s="102" t="s">
        <v>224</v>
      </c>
      <c r="C50" s="10"/>
    </row>
    <row r="51" spans="1:3" ht="12.75">
      <c r="A51" s="141" t="s">
        <v>120</v>
      </c>
      <c r="B51" s="102" t="s">
        <v>225</v>
      </c>
      <c r="C51" s="10"/>
    </row>
    <row r="52" spans="1:2" ht="12.75">
      <c r="A52" s="95" t="s">
        <v>121</v>
      </c>
      <c r="B52" t="s">
        <v>136</v>
      </c>
    </row>
    <row r="53" spans="1:2" ht="12.75">
      <c r="A53" s="95" t="s">
        <v>122</v>
      </c>
      <c r="B53" t="s">
        <v>139</v>
      </c>
    </row>
    <row r="54" spans="1:2" ht="12.75">
      <c r="A54" s="95" t="s">
        <v>123</v>
      </c>
      <c r="B54" t="s">
        <v>137</v>
      </c>
    </row>
    <row r="55" spans="1:2" ht="12.75">
      <c r="A55" s="95" t="s">
        <v>124</v>
      </c>
      <c r="B55" t="s">
        <v>138</v>
      </c>
    </row>
    <row r="56" spans="1:2" ht="12.75">
      <c r="A56" s="95" t="s">
        <v>125</v>
      </c>
      <c r="B56" t="s">
        <v>140</v>
      </c>
    </row>
    <row r="57" spans="1:2" ht="12.75">
      <c r="A57" s="95" t="s">
        <v>126</v>
      </c>
      <c r="B57" t="s">
        <v>141</v>
      </c>
    </row>
  </sheetData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&amp;L&amp;A&amp;CMC2005-2
HSBC NSA Model&amp;R REVISED  3/11/05</oddFooter>
  </headerFooter>
  <ignoredErrors>
    <ignoredError sqref="A46:A58 D2:F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4.421875" style="0" customWidth="1"/>
    <col min="2" max="2" width="2.7109375" style="0" customWidth="1"/>
    <col min="3" max="3" width="30.8515625" style="0" customWidth="1"/>
    <col min="4" max="4" width="15.28125" style="0" customWidth="1"/>
    <col min="5" max="8" width="14.8515625" style="0" bestFit="1" customWidth="1"/>
    <col min="9" max="9" width="12.28125" style="0" customWidth="1"/>
    <col min="10" max="10" width="16.140625" style="0" bestFit="1" customWidth="1"/>
    <col min="11" max="11" width="17.28125" style="0" bestFit="1" customWidth="1"/>
    <col min="12" max="12" width="12.28125" style="0" customWidth="1"/>
    <col min="13" max="13" width="3.00390625" style="0" customWidth="1"/>
    <col min="14" max="14" width="12.28125" style="0" customWidth="1"/>
    <col min="15" max="15" width="14.28125" style="0" bestFit="1" customWidth="1"/>
    <col min="16" max="16" width="10.57421875" style="0" customWidth="1"/>
    <col min="17" max="17" width="12.8515625" style="0" customWidth="1"/>
    <col min="18" max="18" width="12.7109375" style="0" customWidth="1"/>
    <col min="19" max="19" width="13.140625" style="0" customWidth="1"/>
    <col min="20" max="20" width="14.140625" style="0" customWidth="1"/>
  </cols>
  <sheetData>
    <row r="1" spans="1:20" ht="18">
      <c r="A1" s="3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 t="s">
        <v>191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" t="s">
        <v>250</v>
      </c>
      <c r="B3" s="1"/>
      <c r="C3" s="1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3.5" thickBot="1">
      <c r="D4" s="95"/>
    </row>
    <row r="5" spans="4:20" ht="13.5" thickBot="1">
      <c r="D5" s="90" t="s">
        <v>41</v>
      </c>
      <c r="E5" s="91"/>
      <c r="F5" s="91"/>
      <c r="G5" s="91"/>
      <c r="H5" s="91"/>
      <c r="I5" s="91"/>
      <c r="J5" s="91"/>
      <c r="K5" s="91"/>
      <c r="L5" s="92"/>
      <c r="M5" s="6"/>
      <c r="N5" s="90" t="s">
        <v>242</v>
      </c>
      <c r="O5" s="91"/>
      <c r="P5" s="91"/>
      <c r="Q5" s="91"/>
      <c r="R5" s="91"/>
      <c r="S5" s="91"/>
      <c r="T5" s="92"/>
    </row>
    <row r="6" spans="4:20" ht="12.75">
      <c r="D6" s="103" t="s">
        <v>118</v>
      </c>
      <c r="E6" s="103" t="s">
        <v>119</v>
      </c>
      <c r="F6" s="103" t="s">
        <v>120</v>
      </c>
      <c r="G6" s="104" t="s">
        <v>121</v>
      </c>
      <c r="H6" s="104" t="s">
        <v>122</v>
      </c>
      <c r="I6" s="104" t="s">
        <v>123</v>
      </c>
      <c r="J6" s="104" t="s">
        <v>124</v>
      </c>
      <c r="K6" s="104" t="s">
        <v>125</v>
      </c>
      <c r="L6" s="104" t="s">
        <v>126</v>
      </c>
      <c r="M6" s="105"/>
      <c r="N6" s="103" t="s">
        <v>132</v>
      </c>
      <c r="O6" s="103" t="s">
        <v>142</v>
      </c>
      <c r="P6" s="103" t="s">
        <v>143</v>
      </c>
      <c r="Q6" s="103" t="s">
        <v>144</v>
      </c>
      <c r="R6" s="103" t="s">
        <v>145</v>
      </c>
      <c r="S6" s="104" t="s">
        <v>146</v>
      </c>
      <c r="T6" s="104" t="s">
        <v>147</v>
      </c>
    </row>
    <row r="7" spans="4:20" ht="12.75">
      <c r="D7" s="6"/>
      <c r="E7" s="6"/>
      <c r="F7" s="6"/>
      <c r="G7" s="6"/>
      <c r="H7" s="6"/>
      <c r="I7" s="6"/>
      <c r="J7" s="6"/>
      <c r="K7" s="6"/>
      <c r="L7" s="6"/>
      <c r="M7" s="6"/>
      <c r="N7" s="139"/>
      <c r="O7" s="139"/>
      <c r="P7" s="139"/>
      <c r="Q7" s="139" t="s">
        <v>36</v>
      </c>
      <c r="R7" s="139" t="s">
        <v>36</v>
      </c>
      <c r="S7" s="139" t="s">
        <v>42</v>
      </c>
      <c r="T7" s="139" t="s">
        <v>42</v>
      </c>
    </row>
    <row r="8" spans="4:20" ht="12.75">
      <c r="D8" s="134" t="s">
        <v>226</v>
      </c>
      <c r="E8" s="132" t="s">
        <v>208</v>
      </c>
      <c r="F8" s="132" t="s">
        <v>208</v>
      </c>
      <c r="G8" s="132" t="s">
        <v>208</v>
      </c>
      <c r="H8" s="132" t="s">
        <v>208</v>
      </c>
      <c r="I8" s="132" t="s">
        <v>240</v>
      </c>
      <c r="J8" s="132" t="s">
        <v>209</v>
      </c>
      <c r="K8" s="139" t="s">
        <v>32</v>
      </c>
      <c r="L8" s="139" t="s">
        <v>32</v>
      </c>
      <c r="M8" s="6"/>
      <c r="N8" s="139" t="s">
        <v>241</v>
      </c>
      <c r="O8" s="139" t="s">
        <v>301</v>
      </c>
      <c r="P8" s="139" t="s">
        <v>301</v>
      </c>
      <c r="Q8" s="139" t="s">
        <v>43</v>
      </c>
      <c r="R8" s="139" t="s">
        <v>44</v>
      </c>
      <c r="S8" s="139" t="s">
        <v>43</v>
      </c>
      <c r="T8" s="139" t="s">
        <v>44</v>
      </c>
    </row>
    <row r="9" spans="4:20" ht="12.75">
      <c r="D9" s="139" t="s">
        <v>45</v>
      </c>
      <c r="E9" s="139" t="s">
        <v>46</v>
      </c>
      <c r="F9" s="139" t="s">
        <v>47</v>
      </c>
      <c r="G9" s="139" t="s">
        <v>48</v>
      </c>
      <c r="H9" s="139" t="s">
        <v>45</v>
      </c>
      <c r="I9" s="132" t="s">
        <v>45</v>
      </c>
      <c r="J9" s="132" t="s">
        <v>210</v>
      </c>
      <c r="K9" s="139" t="s">
        <v>49</v>
      </c>
      <c r="L9" s="139" t="s">
        <v>49</v>
      </c>
      <c r="M9" s="6"/>
      <c r="N9" s="139" t="s">
        <v>45</v>
      </c>
      <c r="O9" s="139" t="s">
        <v>49</v>
      </c>
      <c r="P9" s="139" t="s">
        <v>49</v>
      </c>
      <c r="Q9" s="139" t="s">
        <v>50</v>
      </c>
      <c r="R9" s="139" t="s">
        <v>45</v>
      </c>
      <c r="S9" s="139" t="s">
        <v>50</v>
      </c>
      <c r="T9" s="139" t="s">
        <v>45</v>
      </c>
    </row>
    <row r="10" spans="4:20" ht="12.75">
      <c r="D10" s="139" t="s">
        <v>51</v>
      </c>
      <c r="E10" s="139" t="s">
        <v>51</v>
      </c>
      <c r="F10" s="139" t="s">
        <v>51</v>
      </c>
      <c r="G10" s="139" t="s">
        <v>51</v>
      </c>
      <c r="H10" s="139" t="s">
        <v>51</v>
      </c>
      <c r="I10" s="132" t="s">
        <v>51</v>
      </c>
      <c r="J10" s="132" t="s">
        <v>211</v>
      </c>
      <c r="K10" s="139" t="s">
        <v>33</v>
      </c>
      <c r="L10" s="139" t="s">
        <v>33</v>
      </c>
      <c r="M10" s="6"/>
      <c r="N10" s="139" t="s">
        <v>51</v>
      </c>
      <c r="O10" s="139" t="s">
        <v>33</v>
      </c>
      <c r="P10" s="139" t="s">
        <v>33</v>
      </c>
      <c r="Q10" s="139" t="s">
        <v>51</v>
      </c>
      <c r="R10" s="139" t="s">
        <v>51</v>
      </c>
      <c r="S10" s="139" t="s">
        <v>51</v>
      </c>
      <c r="T10" s="139" t="s">
        <v>51</v>
      </c>
    </row>
    <row r="11" spans="1:20" ht="12.75">
      <c r="A11" t="s">
        <v>15</v>
      </c>
      <c r="D11" s="139" t="s">
        <v>52</v>
      </c>
      <c r="E11" s="139" t="s">
        <v>52</v>
      </c>
      <c r="F11" s="139" t="s">
        <v>52</v>
      </c>
      <c r="G11" s="139" t="s">
        <v>52</v>
      </c>
      <c r="H11" s="139" t="s">
        <v>52</v>
      </c>
      <c r="I11" s="132" t="s">
        <v>212</v>
      </c>
      <c r="J11" s="132" t="s">
        <v>53</v>
      </c>
      <c r="K11" s="139" t="s">
        <v>53</v>
      </c>
      <c r="L11" s="139" t="s">
        <v>54</v>
      </c>
      <c r="M11" s="6"/>
      <c r="N11" s="139" t="s">
        <v>52</v>
      </c>
      <c r="O11" s="139" t="s">
        <v>53</v>
      </c>
      <c r="P11" s="139" t="s">
        <v>54</v>
      </c>
      <c r="Q11" s="139" t="s">
        <v>52</v>
      </c>
      <c r="R11" s="139" t="s">
        <v>52</v>
      </c>
      <c r="S11" s="139" t="s">
        <v>52</v>
      </c>
      <c r="T11" s="139" t="s">
        <v>52</v>
      </c>
    </row>
    <row r="12" spans="9:10" ht="12.75">
      <c r="I12" s="39"/>
      <c r="J12" s="125"/>
    </row>
    <row r="13" spans="1:10" ht="12.75">
      <c r="A13" t="s">
        <v>55</v>
      </c>
      <c r="I13" s="39"/>
      <c r="J13" s="125"/>
    </row>
    <row r="14" spans="9:15" ht="12.75">
      <c r="I14" s="39"/>
      <c r="J14" s="125"/>
      <c r="O14" s="29"/>
    </row>
    <row r="15" spans="2:16" ht="12.75">
      <c r="B15" t="s">
        <v>56</v>
      </c>
      <c r="D15" s="126"/>
      <c r="E15" s="127">
        <f>0.163348934986065</f>
        <v>0.163348934986065</v>
      </c>
      <c r="F15" s="127">
        <f>0.0629318063181399</f>
        <v>0.0629318063181399</v>
      </c>
      <c r="G15" s="31">
        <f>$D$24-$E$24-$F$24</f>
        <v>0.02056565059107328</v>
      </c>
      <c r="H15" s="36">
        <f>SUM(E15:G15)</f>
        <v>0.24684639189527818</v>
      </c>
      <c r="I15" s="133">
        <f>H15*(1+Assumptions!$D$11)*(1+Assumptions!D11)</f>
        <v>0.26698905747393287</v>
      </c>
      <c r="J15" s="135">
        <v>3748977000</v>
      </c>
      <c r="K15" s="136">
        <v>2673332468.0053353</v>
      </c>
      <c r="L15" s="7">
        <f>K15/$K$24</f>
        <v>0.05759600173587394</v>
      </c>
      <c r="N15" s="28">
        <f>I15</f>
        <v>0.26698905747393287</v>
      </c>
      <c r="O15" s="83">
        <v>9805861</v>
      </c>
      <c r="P15" s="193">
        <f>O15/$O$24</f>
        <v>0.022306436012574003</v>
      </c>
    </row>
    <row r="16" spans="4:16" ht="12.75">
      <c r="D16" s="126"/>
      <c r="E16" s="127"/>
      <c r="F16" s="127"/>
      <c r="G16" s="31"/>
      <c r="H16" s="36"/>
      <c r="I16" s="133"/>
      <c r="J16" s="135"/>
      <c r="K16" s="136"/>
      <c r="N16" s="28"/>
      <c r="O16" s="83"/>
      <c r="P16" s="193"/>
    </row>
    <row r="17" spans="2:16" ht="12.75">
      <c r="B17" t="s">
        <v>25</v>
      </c>
      <c r="D17" s="126"/>
      <c r="E17" s="127"/>
      <c r="F17" s="127"/>
      <c r="G17" s="31"/>
      <c r="H17" s="36"/>
      <c r="I17" s="133"/>
      <c r="J17" s="135"/>
      <c r="K17" s="136"/>
      <c r="N17" s="28"/>
      <c r="O17" s="83"/>
      <c r="P17" s="193"/>
    </row>
    <row r="18" spans="3:16" ht="12.75">
      <c r="C18" t="s">
        <v>57</v>
      </c>
      <c r="D18" s="126"/>
      <c r="E18" s="127">
        <f>0.054874762911161</f>
        <v>0.054874762911161</v>
      </c>
      <c r="F18" s="127">
        <f>0.0450711140666183</f>
        <v>0.0450711140666183</v>
      </c>
      <c r="G18" s="31">
        <f>$D$24-$E$24-$F$24</f>
        <v>0.02056565059107328</v>
      </c>
      <c r="H18" s="36">
        <f>SUM(E18:G18)</f>
        <v>0.12051152756885257</v>
      </c>
      <c r="I18" s="133">
        <f>H18*(1+Assumptions!$D$11)*(1+Assumptions!D11)</f>
        <v>0.13034526821847092</v>
      </c>
      <c r="J18" s="135">
        <v>2504846823.7503223</v>
      </c>
      <c r="K18" s="136">
        <v>2820696002</v>
      </c>
      <c r="L18" s="7">
        <f>K18/$K$24</f>
        <v>0.06077089691308849</v>
      </c>
      <c r="N18" s="28">
        <f>I18</f>
        <v>0.13034526821847092</v>
      </c>
      <c r="O18" s="79">
        <v>31387770</v>
      </c>
      <c r="P18" s="193">
        <f>O18/$O$24</f>
        <v>0.07140110216557118</v>
      </c>
    </row>
    <row r="19" spans="3:16" ht="12.75">
      <c r="C19" t="s">
        <v>58</v>
      </c>
      <c r="D19" s="126"/>
      <c r="E19" s="127">
        <f>0.0455951328691565</f>
        <v>0.0455951328691565</v>
      </c>
      <c r="F19" s="127">
        <f>0.0435775830040291</f>
        <v>0.0435775830040291</v>
      </c>
      <c r="G19" s="31">
        <f>$D$24-$E$24-$F$24</f>
        <v>0.02056565059107328</v>
      </c>
      <c r="H19" s="36">
        <f>SUM(E19:G19)</f>
        <v>0.10973836646425887</v>
      </c>
      <c r="I19" s="133">
        <f>H19*(1+Assumptions!$D$11)*(1+Assumptions!D11)</f>
        <v>0.11869301716774242</v>
      </c>
      <c r="J19" s="135">
        <v>2680656176.2496777</v>
      </c>
      <c r="K19" s="136">
        <v>2636650800</v>
      </c>
      <c r="L19" s="7">
        <f>K19/$K$24</f>
        <v>0.05680570818301614</v>
      </c>
      <c r="N19" s="28">
        <f>I19</f>
        <v>0.11869301716774242</v>
      </c>
      <c r="O19" s="227">
        <v>41768164</v>
      </c>
      <c r="P19" s="193">
        <f>O19/$O$24</f>
        <v>0.095014489561773</v>
      </c>
    </row>
    <row r="20" spans="3:16" ht="12.75">
      <c r="C20" t="s">
        <v>59</v>
      </c>
      <c r="D20" s="126"/>
      <c r="E20" s="127">
        <f>0.0423486521881893</f>
        <v>0.0423486521881893</v>
      </c>
      <c r="F20" s="127">
        <f>0.0432127375112004</f>
        <v>0.0432127375112004</v>
      </c>
      <c r="G20" s="31">
        <f>$D$24-$E$24-$F$24</f>
        <v>0.02056565059107328</v>
      </c>
      <c r="H20" s="36">
        <f>SUM(E20:G20)</f>
        <v>0.10612704029046298</v>
      </c>
      <c r="I20" s="133">
        <f>H20*(1+Assumptions!$D$11)*(1+Assumptions!D11)</f>
        <v>0.11478700677816477</v>
      </c>
      <c r="J20" s="135">
        <v>21832339000</v>
      </c>
      <c r="K20" s="136">
        <v>22571247888</v>
      </c>
      <c r="L20" s="7">
        <f>K20/$K$24</f>
        <v>0.48628954613642705</v>
      </c>
      <c r="N20" s="28">
        <f>I20</f>
        <v>0.11478700677816477</v>
      </c>
      <c r="O20" s="227">
        <v>264042110</v>
      </c>
      <c r="P20" s="193">
        <f>O20/$O$24</f>
        <v>0.6006446992609854</v>
      </c>
    </row>
    <row r="21" spans="3:16" ht="12.75">
      <c r="C21" t="s">
        <v>237</v>
      </c>
      <c r="D21" s="126"/>
      <c r="E21" s="127">
        <f>0.0315412156787138</f>
        <v>0.0315412156787138</v>
      </c>
      <c r="F21" s="127">
        <f>0.0413608347983136</f>
        <v>0.0413608347983136</v>
      </c>
      <c r="G21" s="31">
        <f>$D$24-$E$24-$F$24</f>
        <v>0.02056565059107328</v>
      </c>
      <c r="H21" s="36">
        <f>SUM(E21:G21)</f>
        <v>0.09346770106810068</v>
      </c>
      <c r="I21" s="133">
        <f>H21*(1+Assumptions!$D$11)*(1+Assumptions!D11)</f>
        <v>0.1010946654752577</v>
      </c>
      <c r="J21" s="135">
        <v>12720446999.999998</v>
      </c>
      <c r="K21" s="136">
        <v>14911024110</v>
      </c>
      <c r="L21" s="7">
        <f>K21/$K$24</f>
        <v>0.321252736351199</v>
      </c>
      <c r="N21" s="28">
        <f>I21</f>
        <v>0.1010946654752577</v>
      </c>
      <c r="O21" s="79">
        <v>78242286</v>
      </c>
      <c r="P21" s="193">
        <f>O21/$O$24</f>
        <v>0.17798605814792956</v>
      </c>
    </row>
    <row r="22" spans="3:16" ht="12.75">
      <c r="C22" t="s">
        <v>60</v>
      </c>
      <c r="D22" s="126"/>
      <c r="E22" s="127">
        <f>0.0208211020703222</f>
        <v>0.0208211020703222</v>
      </c>
      <c r="F22" s="127">
        <f>0.0641065535232318</f>
        <v>0.0641065535232318</v>
      </c>
      <c r="G22" s="31">
        <f>$D$24-$E$24-$F$24</f>
        <v>0.02056565059107328</v>
      </c>
      <c r="H22" s="36">
        <f>SUM(E22:G22)</f>
        <v>0.10549330618462728</v>
      </c>
      <c r="I22" s="133">
        <f>H22*(1+Assumptions!$D$11)*(1+Assumptions!D11)</f>
        <v>0.11410155996929287</v>
      </c>
      <c r="J22" s="135">
        <v>1075333000</v>
      </c>
      <c r="K22" s="136">
        <v>802292628</v>
      </c>
      <c r="L22" s="7">
        <f>K22/$K$24</f>
        <v>0.017285110680395416</v>
      </c>
      <c r="N22" s="28">
        <f>I22</f>
        <v>0.11410155996929287</v>
      </c>
      <c r="O22" s="83">
        <v>14351645</v>
      </c>
      <c r="P22" s="193">
        <f>O22/$O$24</f>
        <v>0.032647214851166825</v>
      </c>
    </row>
    <row r="23" spans="4:17" ht="12.75">
      <c r="D23" s="126"/>
      <c r="E23" s="128"/>
      <c r="F23" s="128"/>
      <c r="G23" s="28"/>
      <c r="H23" s="28"/>
      <c r="I23" s="78"/>
      <c r="J23" s="128"/>
      <c r="K23" s="126"/>
      <c r="O23" s="81"/>
      <c r="Q23" s="10"/>
    </row>
    <row r="24" spans="2:20" ht="12.75">
      <c r="B24" s="6" t="s">
        <v>61</v>
      </c>
      <c r="D24" s="129">
        <f>(5918000*1000)/(51299213*1000)</f>
        <v>0.11536239357122301</v>
      </c>
      <c r="E24" s="131">
        <f>SUMPRODUCT(E15:E22,J15:J22)/J24</f>
        <v>0.04982310977029931</v>
      </c>
      <c r="F24" s="131">
        <f>SUMPRODUCT(F15:F22,J15:J22)/J24</f>
        <v>0.044973633209850414</v>
      </c>
      <c r="G24" s="37">
        <f>SUMPRODUCT(G15:G22,J15:J22)/J24</f>
        <v>0.020565650591073282</v>
      </c>
      <c r="H24" s="37">
        <f>SUMPRODUCT(H15:H22,K15:K22)/K24</f>
        <v>0.11123341291434669</v>
      </c>
      <c r="I24" s="37">
        <f>SUMPRODUCT(I15:I22,L15:L22)</f>
        <v>0.1203100594081574</v>
      </c>
      <c r="J24" s="137">
        <f>SUM(J15:J22)</f>
        <v>44562599000</v>
      </c>
      <c r="K24" s="138">
        <f>SUM(K18:K23,K15)</f>
        <v>46415243896.00533</v>
      </c>
      <c r="L24" s="8">
        <f>SUM(L18:L23,L15)</f>
        <v>1</v>
      </c>
      <c r="M24" s="6"/>
      <c r="N24" s="37">
        <f>SUMPRODUCT(N15:N22,P15:P22)</f>
        <v>0.11720467289644033</v>
      </c>
      <c r="O24" s="82">
        <f>O22+O21+O20+O19+O18+O15</f>
        <v>439597836</v>
      </c>
      <c r="P24" s="8">
        <f>SUM(P18:P23,P15)</f>
        <v>0.9999999999999999</v>
      </c>
      <c r="Q24" s="273">
        <f>(Assumptions!D13*'Volume calcs'!F12)*(Assumptions!D5-Assumptions!D8)/'Volume calcs'!F12</f>
        <v>-0.005331206400000001</v>
      </c>
      <c r="R24" s="37">
        <f>N24+Q24</f>
        <v>0.11187346649644034</v>
      </c>
      <c r="S24" s="274">
        <f>(Assumptions!D13*'Volume calcs'!F12)*(Assumptions!D5-Assumptions!D8)/'Volume calcs'!F12</f>
        <v>-0.005331206400000001</v>
      </c>
      <c r="T24" s="37">
        <f>S24+N24</f>
        <v>0.11187346649644034</v>
      </c>
    </row>
    <row r="25" spans="7:20" ht="13.5" thickBot="1">
      <c r="G25" s="243"/>
      <c r="Q25" s="10"/>
      <c r="R25" s="104" t="s">
        <v>161</v>
      </c>
      <c r="S25" s="105"/>
      <c r="T25" s="104" t="s">
        <v>162</v>
      </c>
    </row>
    <row r="26" spans="7:20" ht="13.5" thickBot="1">
      <c r="G26" s="243"/>
      <c r="Q26" s="82" t="s">
        <v>117</v>
      </c>
      <c r="R26" s="89">
        <f>R24*Assumptions!D19</f>
        <v>0.11522967049133355</v>
      </c>
      <c r="T26" s="89">
        <f>T24*Assumptions!D19</f>
        <v>0.11522967049133355</v>
      </c>
    </row>
    <row r="27" spans="1:11" ht="12.75">
      <c r="A27" s="103" t="s">
        <v>118</v>
      </c>
      <c r="B27" s="106" t="s">
        <v>205</v>
      </c>
      <c r="C27" s="10"/>
      <c r="K27" t="s">
        <v>236</v>
      </c>
    </row>
    <row r="28" spans="1:3" ht="12.75">
      <c r="A28" s="103" t="s">
        <v>119</v>
      </c>
      <c r="B28" s="106" t="s">
        <v>206</v>
      </c>
      <c r="C28" s="10"/>
    </row>
    <row r="29" spans="1:15" ht="12.75">
      <c r="A29" s="103" t="s">
        <v>120</v>
      </c>
      <c r="B29" s="106" t="s">
        <v>207</v>
      </c>
      <c r="C29" s="10"/>
      <c r="O29" s="7"/>
    </row>
    <row r="30" spans="1:3" ht="12.75">
      <c r="A30" s="104" t="s">
        <v>121</v>
      </c>
      <c r="B30" s="106" t="s">
        <v>149</v>
      </c>
      <c r="C30" s="10"/>
    </row>
    <row r="31" spans="1:3" ht="12.75">
      <c r="A31" s="104" t="s">
        <v>122</v>
      </c>
      <c r="B31" s="106" t="s">
        <v>148</v>
      </c>
      <c r="C31" s="10"/>
    </row>
    <row r="32" spans="1:3" ht="12.75">
      <c r="A32" s="104" t="s">
        <v>123</v>
      </c>
      <c r="B32" s="106" t="s">
        <v>244</v>
      </c>
      <c r="C32" s="10"/>
    </row>
    <row r="33" spans="1:3" ht="12.75">
      <c r="A33" s="104" t="s">
        <v>124</v>
      </c>
      <c r="B33" s="106" t="s">
        <v>214</v>
      </c>
      <c r="C33" s="10"/>
    </row>
    <row r="34" spans="1:2" ht="12.75">
      <c r="A34" s="104" t="s">
        <v>125</v>
      </c>
      <c r="B34" s="106" t="s">
        <v>215</v>
      </c>
    </row>
    <row r="35" spans="1:2" ht="12.75">
      <c r="A35" s="104" t="s">
        <v>126</v>
      </c>
      <c r="B35" s="106" t="s">
        <v>216</v>
      </c>
    </row>
    <row r="36" spans="1:2" ht="12.75">
      <c r="A36" s="103" t="s">
        <v>132</v>
      </c>
      <c r="B36" s="106" t="s">
        <v>217</v>
      </c>
    </row>
    <row r="37" spans="1:2" ht="12.75">
      <c r="A37" s="103" t="s">
        <v>142</v>
      </c>
      <c r="B37" s="102" t="s">
        <v>304</v>
      </c>
    </row>
    <row r="38" spans="1:2" ht="12.75">
      <c r="A38" s="103" t="s">
        <v>143</v>
      </c>
      <c r="B38" s="108" t="s">
        <v>218</v>
      </c>
    </row>
    <row r="39" spans="1:2" ht="12.75">
      <c r="A39" s="103" t="s">
        <v>144</v>
      </c>
      <c r="B39" s="108" t="s">
        <v>151</v>
      </c>
    </row>
    <row r="40" spans="1:2" ht="12.75">
      <c r="A40" s="103" t="s">
        <v>145</v>
      </c>
      <c r="B40" s="108" t="s">
        <v>219</v>
      </c>
    </row>
    <row r="41" spans="1:2" ht="12.75">
      <c r="A41" s="107" t="s">
        <v>146</v>
      </c>
      <c r="B41" s="108" t="s">
        <v>151</v>
      </c>
    </row>
    <row r="42" spans="1:2" ht="12.75">
      <c r="A42" s="107" t="s">
        <v>147</v>
      </c>
      <c r="B42" s="108" t="s">
        <v>220</v>
      </c>
    </row>
    <row r="43" spans="1:2" ht="12.75">
      <c r="A43" s="107" t="s">
        <v>161</v>
      </c>
      <c r="B43" s="108" t="s">
        <v>150</v>
      </c>
    </row>
    <row r="44" spans="1:2" ht="12.75">
      <c r="A44" s="107" t="s">
        <v>162</v>
      </c>
      <c r="B44" s="106" t="s">
        <v>213</v>
      </c>
    </row>
  </sheetData>
  <printOptions/>
  <pageMargins left="0.75" right="0.75" top="1" bottom="1" header="0.5" footer="0.5"/>
  <pageSetup fitToHeight="1" fitToWidth="1" horizontalDpi="600" verticalDpi="600" orientation="landscape" scale="46" r:id="rId1"/>
  <headerFooter alignWithMargins="0">
    <oddFooter>&amp;L&amp;A&amp;CMC2005-2
HSBC NSA Model&amp;R REVISED  3/11/05</oddFooter>
  </headerFooter>
  <ignoredErrors>
    <ignoredError sqref="D6:H6 T25 A27:A31 S25 R25 M6 I6:L6 N6:T6 A32:A39 A42:A44 A40:A41" numberStoredAsText="1"/>
    <ignoredError sqref="R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30.8515625" style="0" customWidth="1"/>
    <col min="4" max="4" width="13.140625" style="0" customWidth="1"/>
    <col min="5" max="7" width="14.8515625" style="0" bestFit="1" customWidth="1"/>
    <col min="8" max="9" width="12.28125" style="0" customWidth="1"/>
    <col min="10" max="10" width="16.140625" style="0" bestFit="1" customWidth="1"/>
    <col min="11" max="11" width="17.28125" style="0" customWidth="1"/>
    <col min="12" max="12" width="11.00390625" style="0" customWidth="1"/>
    <col min="13" max="13" width="3.8515625" style="0" customWidth="1"/>
    <col min="14" max="14" width="11.28125" style="0" customWidth="1"/>
    <col min="15" max="15" width="14.28125" style="0" bestFit="1" customWidth="1"/>
    <col min="16" max="16" width="11.57421875" style="0" customWidth="1"/>
    <col min="17" max="17" width="11.00390625" style="0" customWidth="1"/>
    <col min="18" max="18" width="12.57421875" style="0" customWidth="1"/>
    <col min="19" max="20" width="14.57421875" style="0" bestFit="1" customWidth="1"/>
  </cols>
  <sheetData>
    <row r="1" spans="1:20" ht="18">
      <c r="A1" s="3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 t="s">
        <v>191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" t="s">
        <v>251</v>
      </c>
      <c r="B3" s="1"/>
      <c r="C3" s="1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3.5" thickBot="1"/>
    <row r="5" spans="4:20" ht="13.5" thickBot="1">
      <c r="D5" s="90" t="s">
        <v>41</v>
      </c>
      <c r="E5" s="91"/>
      <c r="F5" s="91"/>
      <c r="G5" s="91"/>
      <c r="H5" s="91"/>
      <c r="I5" s="91"/>
      <c r="J5" s="91"/>
      <c r="K5" s="91"/>
      <c r="L5" s="92"/>
      <c r="M5" s="6"/>
      <c r="N5" s="90" t="s">
        <v>242</v>
      </c>
      <c r="O5" s="91"/>
      <c r="P5" s="91"/>
      <c r="Q5" s="91"/>
      <c r="R5" s="91"/>
      <c r="S5" s="91"/>
      <c r="T5" s="92"/>
    </row>
    <row r="6" spans="4:20" ht="12.75">
      <c r="D6" s="103" t="s">
        <v>118</v>
      </c>
      <c r="E6" s="103" t="s">
        <v>119</v>
      </c>
      <c r="F6" s="103" t="s">
        <v>120</v>
      </c>
      <c r="G6" s="104" t="s">
        <v>121</v>
      </c>
      <c r="H6" s="104" t="s">
        <v>122</v>
      </c>
      <c r="I6" s="104" t="s">
        <v>123</v>
      </c>
      <c r="J6" s="104" t="s">
        <v>124</v>
      </c>
      <c r="K6" s="104" t="s">
        <v>125</v>
      </c>
      <c r="L6" s="104" t="s">
        <v>126</v>
      </c>
      <c r="M6" s="105"/>
      <c r="N6" s="103" t="s">
        <v>132</v>
      </c>
      <c r="O6" s="103" t="s">
        <v>142</v>
      </c>
      <c r="P6" s="103" t="s">
        <v>143</v>
      </c>
      <c r="Q6" s="103" t="s">
        <v>144</v>
      </c>
      <c r="R6" s="103" t="s">
        <v>145</v>
      </c>
      <c r="S6" s="104" t="s">
        <v>146</v>
      </c>
      <c r="T6" s="104" t="s">
        <v>147</v>
      </c>
    </row>
    <row r="7" spans="4:20" ht="12.75">
      <c r="D7" s="6"/>
      <c r="E7" s="6"/>
      <c r="F7" s="6"/>
      <c r="G7" s="6"/>
      <c r="H7" s="6"/>
      <c r="I7" s="6"/>
      <c r="J7" s="6"/>
      <c r="K7" s="6"/>
      <c r="L7" s="6"/>
      <c r="M7" s="6"/>
      <c r="N7" s="139"/>
      <c r="O7" s="139"/>
      <c r="P7" s="139"/>
      <c r="Q7" s="139" t="s">
        <v>36</v>
      </c>
      <c r="R7" s="139" t="s">
        <v>36</v>
      </c>
      <c r="S7" s="139" t="s">
        <v>42</v>
      </c>
      <c r="T7" s="139" t="s">
        <v>42</v>
      </c>
    </row>
    <row r="8" spans="4:20" ht="12.75">
      <c r="D8" s="134" t="s">
        <v>226</v>
      </c>
      <c r="E8" s="132" t="s">
        <v>208</v>
      </c>
      <c r="F8" s="132" t="s">
        <v>208</v>
      </c>
      <c r="G8" s="132" t="s">
        <v>208</v>
      </c>
      <c r="H8" s="132" t="s">
        <v>208</v>
      </c>
      <c r="I8" s="132" t="s">
        <v>240</v>
      </c>
      <c r="J8" s="132" t="s">
        <v>209</v>
      </c>
      <c r="K8" s="139" t="s">
        <v>32</v>
      </c>
      <c r="L8" s="139" t="s">
        <v>32</v>
      </c>
      <c r="M8" s="6"/>
      <c r="N8" s="139" t="s">
        <v>241</v>
      </c>
      <c r="O8" s="139" t="s">
        <v>301</v>
      </c>
      <c r="P8" s="139" t="s">
        <v>301</v>
      </c>
      <c r="Q8" s="139" t="s">
        <v>43</v>
      </c>
      <c r="R8" s="139" t="s">
        <v>44</v>
      </c>
      <c r="S8" s="139" t="s">
        <v>43</v>
      </c>
      <c r="T8" s="139" t="s">
        <v>44</v>
      </c>
    </row>
    <row r="9" spans="4:20" ht="12.75">
      <c r="D9" s="139" t="s">
        <v>45</v>
      </c>
      <c r="E9" s="139" t="s">
        <v>46</v>
      </c>
      <c r="F9" s="139" t="s">
        <v>47</v>
      </c>
      <c r="G9" s="139" t="s">
        <v>48</v>
      </c>
      <c r="H9" s="139" t="s">
        <v>45</v>
      </c>
      <c r="I9" s="132" t="s">
        <v>45</v>
      </c>
      <c r="J9" s="132" t="s">
        <v>210</v>
      </c>
      <c r="K9" s="139" t="s">
        <v>49</v>
      </c>
      <c r="L9" s="139" t="s">
        <v>49</v>
      </c>
      <c r="M9" s="6"/>
      <c r="N9" s="139" t="s">
        <v>45</v>
      </c>
      <c r="O9" s="139" t="s">
        <v>49</v>
      </c>
      <c r="P9" s="139" t="s">
        <v>49</v>
      </c>
      <c r="Q9" s="139" t="s">
        <v>50</v>
      </c>
      <c r="R9" s="139" t="s">
        <v>45</v>
      </c>
      <c r="S9" s="139" t="s">
        <v>50</v>
      </c>
      <c r="T9" s="139" t="s">
        <v>45</v>
      </c>
    </row>
    <row r="10" spans="4:20" ht="12.75">
      <c r="D10" s="139" t="s">
        <v>51</v>
      </c>
      <c r="E10" s="139" t="s">
        <v>51</v>
      </c>
      <c r="F10" s="139" t="s">
        <v>51</v>
      </c>
      <c r="G10" s="139" t="s">
        <v>51</v>
      </c>
      <c r="H10" s="139" t="s">
        <v>51</v>
      </c>
      <c r="I10" s="132" t="s">
        <v>51</v>
      </c>
      <c r="J10" s="132" t="s">
        <v>211</v>
      </c>
      <c r="K10" s="139" t="s">
        <v>33</v>
      </c>
      <c r="L10" s="139" t="s">
        <v>33</v>
      </c>
      <c r="M10" s="6"/>
      <c r="N10" s="139" t="s">
        <v>51</v>
      </c>
      <c r="O10" s="139" t="s">
        <v>33</v>
      </c>
      <c r="P10" s="139" t="s">
        <v>33</v>
      </c>
      <c r="Q10" s="139" t="s">
        <v>51</v>
      </c>
      <c r="R10" s="139" t="s">
        <v>51</v>
      </c>
      <c r="S10" s="139" t="s">
        <v>51</v>
      </c>
      <c r="T10" s="139" t="s">
        <v>51</v>
      </c>
    </row>
    <row r="11" spans="1:20" ht="12.75">
      <c r="A11" t="s">
        <v>15</v>
      </c>
      <c r="D11" s="139" t="s">
        <v>52</v>
      </c>
      <c r="E11" s="139" t="s">
        <v>52</v>
      </c>
      <c r="F11" s="139" t="s">
        <v>52</v>
      </c>
      <c r="G11" s="139" t="s">
        <v>52</v>
      </c>
      <c r="H11" s="139" t="s">
        <v>52</v>
      </c>
      <c r="I11" s="132" t="s">
        <v>212</v>
      </c>
      <c r="J11" s="132" t="s">
        <v>53</v>
      </c>
      <c r="K11" s="139" t="s">
        <v>53</v>
      </c>
      <c r="L11" s="139" t="s">
        <v>54</v>
      </c>
      <c r="M11" s="6"/>
      <c r="N11" s="139" t="s">
        <v>52</v>
      </c>
      <c r="O11" s="139" t="s">
        <v>53</v>
      </c>
      <c r="P11" s="139" t="s">
        <v>54</v>
      </c>
      <c r="Q11" s="139" t="s">
        <v>52</v>
      </c>
      <c r="R11" s="139" t="s">
        <v>52</v>
      </c>
      <c r="S11" s="139" t="s">
        <v>52</v>
      </c>
      <c r="T11" s="139" t="s">
        <v>52</v>
      </c>
    </row>
    <row r="13" ht="12.75">
      <c r="A13" t="s">
        <v>55</v>
      </c>
    </row>
    <row r="15" spans="2:16" ht="12.75">
      <c r="B15" t="s">
        <v>56</v>
      </c>
      <c r="E15" s="127">
        <f>0.163348934986065</f>
        <v>0.163348934986065</v>
      </c>
      <c r="F15" s="127">
        <f>0.0629318063181399</f>
        <v>0.0629318063181399</v>
      </c>
      <c r="G15" s="31">
        <f>$D$24-$E$24-$F$24</f>
        <v>0.02056565059107328</v>
      </c>
      <c r="H15" s="28">
        <f>SUM(E15:G15)</f>
        <v>0.24684639189527818</v>
      </c>
      <c r="I15" s="28">
        <f>H15*(1+Assumptions!$D$11)*(1+Assumptions!D11)</f>
        <v>0.26698905747393287</v>
      </c>
      <c r="J15" s="135">
        <v>3748977000</v>
      </c>
      <c r="K15" s="136">
        <v>2673332468.0053353</v>
      </c>
      <c r="L15" s="7">
        <f>K15/$K$24</f>
        <v>0.05759600173587394</v>
      </c>
      <c r="N15" s="28">
        <f>I15</f>
        <v>0.26698905747393287</v>
      </c>
      <c r="O15" s="192">
        <v>61007</v>
      </c>
      <c r="P15" s="7">
        <f>O15/$O$24</f>
        <v>0.0006375755512187974</v>
      </c>
    </row>
    <row r="16" spans="5:16" ht="12.75">
      <c r="E16" s="127"/>
      <c r="F16" s="127"/>
      <c r="G16" s="31"/>
      <c r="I16" s="28"/>
      <c r="J16" s="135"/>
      <c r="K16" s="136"/>
      <c r="N16" s="28"/>
      <c r="P16" s="7"/>
    </row>
    <row r="17" spans="2:16" ht="12.75">
      <c r="B17" t="s">
        <v>25</v>
      </c>
      <c r="E17" s="127"/>
      <c r="F17" s="127"/>
      <c r="G17" s="31"/>
      <c r="I17" s="28"/>
      <c r="J17" s="135"/>
      <c r="K17" s="136"/>
      <c r="N17" s="28"/>
      <c r="P17" s="7"/>
    </row>
    <row r="18" spans="3:16" ht="12.75">
      <c r="C18" t="s">
        <v>57</v>
      </c>
      <c r="E18" s="127">
        <f>0.054874762911161</f>
        <v>0.054874762911161</v>
      </c>
      <c r="F18" s="127">
        <f>0.0450711140666183</f>
        <v>0.0450711140666183</v>
      </c>
      <c r="G18" s="31">
        <f>$D$24-$E$24-$F$24</f>
        <v>0.02056565059107328</v>
      </c>
      <c r="H18" s="28">
        <f>SUM(E18:G18)</f>
        <v>0.12051152756885257</v>
      </c>
      <c r="I18" s="28">
        <f>H18*(1+Assumptions!$D$11)*(1+Assumptions!D11)</f>
        <v>0.13034526821847092</v>
      </c>
      <c r="J18" s="135">
        <v>2504846823.7503223</v>
      </c>
      <c r="K18" s="136">
        <v>2820696002</v>
      </c>
      <c r="L18" s="7">
        <f>K18/$K$24</f>
        <v>0.06077089691308849</v>
      </c>
      <c r="N18" s="28">
        <f>I18</f>
        <v>0.13034526821847092</v>
      </c>
      <c r="O18" s="192">
        <v>11944126</v>
      </c>
      <c r="P18" s="7">
        <f>O18/$O$24</f>
        <v>0.1248263759613941</v>
      </c>
    </row>
    <row r="19" spans="3:18" ht="12.75">
      <c r="C19" t="s">
        <v>58</v>
      </c>
      <c r="E19" s="127">
        <f>0.0455951328691565</f>
        <v>0.0455951328691565</v>
      </c>
      <c r="F19" s="127">
        <f>0.0435775830040291</f>
        <v>0.0435775830040291</v>
      </c>
      <c r="G19" s="31">
        <f>$D$24-$E$24-$F$24</f>
        <v>0.02056565059107328</v>
      </c>
      <c r="H19" s="28">
        <f>SUM(E19:G19)</f>
        <v>0.10973836646425887</v>
      </c>
      <c r="I19" s="28">
        <f>H19*(1+Assumptions!$D$11)*(1+Assumptions!D11)</f>
        <v>0.11869301716774242</v>
      </c>
      <c r="J19" s="135">
        <v>2680656176.2496777</v>
      </c>
      <c r="K19" s="136">
        <v>2636650800</v>
      </c>
      <c r="L19" s="7">
        <f>K19/$K$24</f>
        <v>0.05680570818301614</v>
      </c>
      <c r="N19" s="28">
        <f>I19</f>
        <v>0.11869301716774242</v>
      </c>
      <c r="O19" s="192">
        <v>18498424</v>
      </c>
      <c r="P19" s="7">
        <f>O19/$O$24</f>
        <v>0.19332441979574527</v>
      </c>
      <c r="R19" s="79"/>
    </row>
    <row r="20" spans="3:16" ht="12.75">
      <c r="C20" t="s">
        <v>59</v>
      </c>
      <c r="E20" s="127">
        <f>0.0423486521881893</f>
        <v>0.0423486521881893</v>
      </c>
      <c r="F20" s="127">
        <f>0.0432127375112004</f>
        <v>0.0432127375112004</v>
      </c>
      <c r="G20" s="31">
        <f>$D$24-$E$24-$F$24</f>
        <v>0.02056565059107328</v>
      </c>
      <c r="H20" s="28">
        <f>SUM(E20:G20)</f>
        <v>0.10612704029046298</v>
      </c>
      <c r="I20" s="28">
        <f>H20*(1+Assumptions!$D$11)*(1+Assumptions!D11)</f>
        <v>0.11478700677816477</v>
      </c>
      <c r="J20" s="135">
        <v>21832339000</v>
      </c>
      <c r="K20" s="136">
        <v>22571247888</v>
      </c>
      <c r="L20" s="7">
        <f>K20/$K$24</f>
        <v>0.48628954613642705</v>
      </c>
      <c r="N20" s="28">
        <f>I20</f>
        <v>0.11478700677816477</v>
      </c>
      <c r="O20" s="192">
        <v>59695294</v>
      </c>
      <c r="P20" s="7">
        <f>O20/$O$24</f>
        <v>0.6238670968449223</v>
      </c>
    </row>
    <row r="21" spans="3:16" ht="12.75">
      <c r="C21" t="s">
        <v>237</v>
      </c>
      <c r="E21" s="127">
        <f>0.0315412156787138</f>
        <v>0.0315412156787138</v>
      </c>
      <c r="F21" s="127">
        <f>0.0413608347983136</f>
        <v>0.0413608347983136</v>
      </c>
      <c r="G21" s="31">
        <f>$D$24-$E$24-$F$24</f>
        <v>0.02056565059107328</v>
      </c>
      <c r="H21" s="28">
        <f>SUM(E21:G21)</f>
        <v>0.09346770106810068</v>
      </c>
      <c r="I21" s="28">
        <f>H21*(1+Assumptions!$D$11)*(1+Assumptions!D11)</f>
        <v>0.1010946654752577</v>
      </c>
      <c r="J21" s="135">
        <v>12720446999.999998</v>
      </c>
      <c r="K21" s="136">
        <v>14911024110</v>
      </c>
      <c r="L21" s="7">
        <f>K21/$K$24</f>
        <v>0.321252736351199</v>
      </c>
      <c r="N21" s="28">
        <f>I21</f>
        <v>0.1010946654752577</v>
      </c>
      <c r="O21" s="192">
        <v>5313665</v>
      </c>
      <c r="P21" s="7">
        <f>O21/$O$24</f>
        <v>0.05553236335776274</v>
      </c>
    </row>
    <row r="22" spans="3:16" ht="12.75">
      <c r="C22" t="s">
        <v>60</v>
      </c>
      <c r="E22" s="127">
        <f>0.0208211020703222</f>
        <v>0.0208211020703222</v>
      </c>
      <c r="F22" s="127">
        <f>0.0641065535232318</f>
        <v>0.0641065535232318</v>
      </c>
      <c r="G22" s="31">
        <f>$D$24-$E$24-$F$24</f>
        <v>0.02056565059107328</v>
      </c>
      <c r="H22" s="28">
        <f>SUM(E22:G22)</f>
        <v>0.10549330618462728</v>
      </c>
      <c r="I22" s="28">
        <f>H22*(1+Assumptions!$D$11)*(1+Assumptions!D11)</f>
        <v>0.11410155996929287</v>
      </c>
      <c r="J22" s="135">
        <v>1075333000</v>
      </c>
      <c r="K22" s="136">
        <v>802292628</v>
      </c>
      <c r="L22" s="7">
        <f>K22/$K$24</f>
        <v>0.017285110680395416</v>
      </c>
      <c r="N22" s="28">
        <f>I22</f>
        <v>0.11410155996929287</v>
      </c>
      <c r="O22" s="192">
        <v>173399</v>
      </c>
      <c r="P22" s="7">
        <f>O22/$O$24</f>
        <v>0.0018121684889568126</v>
      </c>
    </row>
    <row r="23" spans="10:15" ht="12.75">
      <c r="J23" s="128"/>
      <c r="K23" s="126"/>
      <c r="O23" s="81"/>
    </row>
    <row r="24" spans="2:20" ht="12.75">
      <c r="B24" t="s">
        <v>61</v>
      </c>
      <c r="D24" s="129">
        <f>(5918000*1000)/(51299213*1000)</f>
        <v>0.11536239357122301</v>
      </c>
      <c r="E24" s="37">
        <f>SUMPRODUCT(E15:E22,J15:J22)/J24</f>
        <v>0.04982310977029931</v>
      </c>
      <c r="F24" s="37">
        <f>SUMPRODUCT(F15:F22,J15:J22)/J24</f>
        <v>0.044973633209850414</v>
      </c>
      <c r="G24" s="37">
        <f>SUMPRODUCT(G15:G22,J15:J22)/J24</f>
        <v>0.020565650591073282</v>
      </c>
      <c r="H24" s="37">
        <f>SUMPRODUCT(H15:H22,K15:K22)/K24</f>
        <v>0.11123341291434669</v>
      </c>
      <c r="I24" s="37">
        <f>SUMPRODUCT(I15:I22,L15:L22)</f>
        <v>0.1203100594081574</v>
      </c>
      <c r="J24" s="137">
        <f>SUM(J15:J22)</f>
        <v>44562599000</v>
      </c>
      <c r="K24" s="138">
        <f>SUM(K18:K23,K15)</f>
        <v>46415243896.00533</v>
      </c>
      <c r="L24" s="8">
        <f>SUM(L18:L23,L15)</f>
        <v>1</v>
      </c>
      <c r="M24" s="6"/>
      <c r="N24" s="37">
        <f>SUMPRODUCT(N15:N22,P15:P22)</f>
        <v>0.11681964545110887</v>
      </c>
      <c r="O24" s="82">
        <f>O22+O18+O19+O21+O15+O20</f>
        <v>95685915</v>
      </c>
      <c r="P24" s="8">
        <f>SUM(P18:P23,P15)</f>
        <v>1</v>
      </c>
      <c r="Q24" s="259">
        <f>(Assumptions!D13*'Volume calcs'!F13)*(Assumptions!D6-Assumptions!D8)/'Volume calcs'!F13</f>
        <v>0.020178329600000003</v>
      </c>
      <c r="R24" s="257">
        <f>N24+Q24</f>
        <v>0.1369979750511089</v>
      </c>
      <c r="S24" s="259">
        <f>((Assumptions!D15*Assumptions!D14+(1-Assumptions!D15)*Assumptions!D13)*('Volume calcs'!F13*(Assumptions!D6-Assumptions!D8)))/'Volume calcs'!F13-Assumptions!D8*(Assumptions!D13-Assumptions!D14)*Assumptions!D15</f>
        <v>0.011444409600000002</v>
      </c>
      <c r="T24" s="257">
        <f>S24+N24</f>
        <v>0.12826405505110888</v>
      </c>
    </row>
    <row r="25" spans="18:20" ht="13.5" thickBot="1">
      <c r="R25" s="104" t="s">
        <v>161</v>
      </c>
      <c r="S25" s="105"/>
      <c r="T25" s="104" t="s">
        <v>162</v>
      </c>
    </row>
    <row r="26" spans="9:20" ht="13.5" thickBot="1">
      <c r="I26" s="28"/>
      <c r="Q26" s="82" t="s">
        <v>117</v>
      </c>
      <c r="R26" s="258">
        <f>R24*Assumptions!D19</f>
        <v>0.14110791430264216</v>
      </c>
      <c r="T26" s="258">
        <f>T24*Assumptions!D19</f>
        <v>0.13211197670264216</v>
      </c>
    </row>
    <row r="27" spans="9:17" ht="12.75">
      <c r="I27" s="28"/>
      <c r="Q27" s="84"/>
    </row>
    <row r="28" ht="12.75">
      <c r="T28" s="28"/>
    </row>
    <row r="29" spans="1:3" ht="12.75">
      <c r="A29" s="107" t="s">
        <v>118</v>
      </c>
      <c r="B29" s="106" t="s">
        <v>221</v>
      </c>
      <c r="C29" s="10"/>
    </row>
    <row r="30" spans="1:15" ht="12.75">
      <c r="A30" s="107" t="s">
        <v>119</v>
      </c>
      <c r="B30" s="106" t="s">
        <v>222</v>
      </c>
      <c r="C30" s="10"/>
      <c r="O30" s="7"/>
    </row>
    <row r="31" spans="1:3" ht="12.75">
      <c r="A31" s="107" t="s">
        <v>120</v>
      </c>
      <c r="B31" s="106" t="s">
        <v>223</v>
      </c>
      <c r="C31" s="10"/>
    </row>
    <row r="32" spans="1:3" ht="12.75">
      <c r="A32" s="140" t="s">
        <v>121</v>
      </c>
      <c r="B32" s="106" t="s">
        <v>149</v>
      </c>
      <c r="C32" s="10"/>
    </row>
    <row r="33" spans="1:3" ht="12.75">
      <c r="A33" s="140" t="s">
        <v>122</v>
      </c>
      <c r="B33" s="106" t="s">
        <v>148</v>
      </c>
      <c r="C33" s="10"/>
    </row>
    <row r="34" spans="1:2" ht="12.75">
      <c r="A34" s="140" t="s">
        <v>123</v>
      </c>
      <c r="B34" s="106" t="s">
        <v>244</v>
      </c>
    </row>
    <row r="35" spans="1:2" ht="12.75">
      <c r="A35" s="140" t="s">
        <v>124</v>
      </c>
      <c r="B35" s="106" t="s">
        <v>214</v>
      </c>
    </row>
    <row r="36" spans="1:2" ht="12.75">
      <c r="A36" s="140" t="s">
        <v>125</v>
      </c>
      <c r="B36" s="106" t="s">
        <v>215</v>
      </c>
    </row>
    <row r="37" spans="1:2" ht="12.75">
      <c r="A37" s="140" t="s">
        <v>126</v>
      </c>
      <c r="B37" s="106" t="s">
        <v>216</v>
      </c>
    </row>
    <row r="38" spans="1:2" ht="12.75">
      <c r="A38" s="140" t="s">
        <v>132</v>
      </c>
      <c r="B38" s="106" t="s">
        <v>217</v>
      </c>
    </row>
    <row r="39" spans="1:2" ht="12.75">
      <c r="A39" s="140" t="s">
        <v>142</v>
      </c>
      <c r="B39" s="102" t="s">
        <v>304</v>
      </c>
    </row>
    <row r="40" spans="1:2" ht="12.75">
      <c r="A40" s="107" t="s">
        <v>143</v>
      </c>
      <c r="B40" s="108" t="s">
        <v>218</v>
      </c>
    </row>
    <row r="41" spans="1:2" ht="12.75">
      <c r="A41" s="107" t="s">
        <v>144</v>
      </c>
      <c r="B41" s="108" t="s">
        <v>151</v>
      </c>
    </row>
    <row r="42" spans="1:2" ht="12.75">
      <c r="A42" s="107" t="s">
        <v>145</v>
      </c>
      <c r="B42" s="108" t="s">
        <v>219</v>
      </c>
    </row>
    <row r="43" spans="1:2" ht="12.75">
      <c r="A43" s="107" t="s">
        <v>146</v>
      </c>
      <c r="B43" s="108" t="s">
        <v>152</v>
      </c>
    </row>
    <row r="44" spans="1:2" ht="12.75">
      <c r="A44" s="107"/>
      <c r="B44" s="108" t="s">
        <v>153</v>
      </c>
    </row>
    <row r="45" spans="1:2" ht="12.75">
      <c r="A45" s="107" t="s">
        <v>147</v>
      </c>
      <c r="B45" s="108" t="s">
        <v>220</v>
      </c>
    </row>
    <row r="46" spans="1:2" ht="12.75">
      <c r="A46" s="107" t="s">
        <v>161</v>
      </c>
      <c r="B46" s="108" t="s">
        <v>150</v>
      </c>
    </row>
    <row r="47" spans="1:2" ht="12.75">
      <c r="A47" s="107" t="s">
        <v>162</v>
      </c>
      <c r="B47" s="106" t="s">
        <v>213</v>
      </c>
    </row>
  </sheetData>
  <printOptions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&amp;L&amp;A&amp;CMC2005-2
HSBC NSA Model&amp;R REVISED  3/11/05</oddFooter>
  </headerFooter>
  <ignoredErrors>
    <ignoredError sqref="D6:H6 T25 N6:T6 S25 R25 M6 I6:L6 A29:A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3.421875" style="0" customWidth="1"/>
    <col min="2" max="2" width="2.7109375" style="0" customWidth="1"/>
    <col min="3" max="3" width="30.8515625" style="0" customWidth="1"/>
    <col min="4" max="6" width="15.421875" style="0" bestFit="1" customWidth="1"/>
    <col min="7" max="7" width="14.140625" style="0" bestFit="1" customWidth="1"/>
    <col min="8" max="9" width="12.421875" style="0" bestFit="1" customWidth="1"/>
    <col min="10" max="10" width="14.00390625" style="0" bestFit="1" customWidth="1"/>
    <col min="11" max="11" width="12.421875" style="0" bestFit="1" customWidth="1"/>
    <col min="12" max="12" width="12.00390625" style="0" bestFit="1" customWidth="1"/>
  </cols>
  <sheetData>
    <row r="1" spans="1:13" ht="18">
      <c r="A1" s="3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6"/>
    </row>
    <row r="2" spans="1:13" ht="12.75">
      <c r="A2" s="2" t="s">
        <v>191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6"/>
    </row>
    <row r="3" spans="1:13" ht="12.75">
      <c r="A3" s="2" t="s">
        <v>252</v>
      </c>
      <c r="B3" s="1"/>
      <c r="C3" s="1"/>
      <c r="D3" s="5" t="s">
        <v>0</v>
      </c>
      <c r="E3" s="5" t="s">
        <v>1</v>
      </c>
      <c r="F3" s="5" t="s">
        <v>2</v>
      </c>
      <c r="G3" s="5"/>
      <c r="H3" s="5"/>
      <c r="I3" s="5"/>
      <c r="J3" s="5"/>
      <c r="K3" s="5"/>
      <c r="L3" s="5"/>
      <c r="M3" s="87"/>
    </row>
    <row r="5" spans="3:13" ht="15.75">
      <c r="C5" s="15" t="s">
        <v>12</v>
      </c>
      <c r="E5" s="10"/>
      <c r="F5" s="10"/>
      <c r="G5" s="10"/>
      <c r="H5" s="16"/>
      <c r="I5" s="16"/>
      <c r="J5" s="16"/>
      <c r="K5" s="16"/>
      <c r="L5" s="16"/>
      <c r="M5" s="16"/>
    </row>
    <row r="6" spans="4:13" ht="16.5" thickBot="1">
      <c r="D6" s="10"/>
      <c r="E6" s="10"/>
      <c r="F6" s="10"/>
      <c r="G6" s="15"/>
      <c r="H6" s="16"/>
      <c r="I6" s="16"/>
      <c r="J6" s="16"/>
      <c r="K6" s="16"/>
      <c r="L6" s="16"/>
      <c r="M6" s="16"/>
    </row>
    <row r="7" spans="4:12" ht="13.5" thickBot="1">
      <c r="D7" s="17" t="s">
        <v>0</v>
      </c>
      <c r="E7" s="18"/>
      <c r="F7" s="18"/>
      <c r="G7" s="19" t="s">
        <v>1</v>
      </c>
      <c r="H7" s="19"/>
      <c r="I7" s="250"/>
      <c r="J7" s="250" t="s">
        <v>2</v>
      </c>
      <c r="K7" s="250"/>
      <c r="L7" s="251"/>
    </row>
    <row r="8" spans="4:12" ht="12.75">
      <c r="D8" s="20"/>
      <c r="E8" s="20"/>
      <c r="F8" s="21"/>
      <c r="G8" s="20"/>
      <c r="H8" s="20"/>
      <c r="I8" s="22"/>
      <c r="J8" s="252"/>
      <c r="K8" s="252"/>
      <c r="L8" s="22"/>
    </row>
    <row r="9" spans="4:12" ht="12.75">
      <c r="D9" s="23" t="s">
        <v>13</v>
      </c>
      <c r="E9" s="24"/>
      <c r="F9" s="22" t="s">
        <v>14</v>
      </c>
      <c r="G9" s="23" t="s">
        <v>13</v>
      </c>
      <c r="H9" s="24"/>
      <c r="I9" s="22" t="s">
        <v>14</v>
      </c>
      <c r="J9" s="23" t="s">
        <v>13</v>
      </c>
      <c r="K9" s="24"/>
      <c r="L9" s="22" t="s">
        <v>14</v>
      </c>
    </row>
    <row r="10" spans="4:12" ht="12.75">
      <c r="D10" s="219">
        <v>615000000</v>
      </c>
      <c r="E10" s="219">
        <f>D10+40000000</f>
        <v>655000000</v>
      </c>
      <c r="F10" s="220">
        <v>0.025</v>
      </c>
      <c r="G10" s="219">
        <v>725000000</v>
      </c>
      <c r="H10" s="219">
        <f>G10+40000000</f>
        <v>765000000</v>
      </c>
      <c r="I10" s="220">
        <v>0.025</v>
      </c>
      <c r="J10" s="219">
        <v>810000000</v>
      </c>
      <c r="K10" s="219">
        <f>J10+40000000</f>
        <v>850000000</v>
      </c>
      <c r="L10" s="220">
        <v>0.025</v>
      </c>
    </row>
    <row r="11" spans="4:12" ht="12.75">
      <c r="D11" s="219">
        <f>E10</f>
        <v>655000000</v>
      </c>
      <c r="E11" s="219">
        <f>D11+20000000</f>
        <v>675000000</v>
      </c>
      <c r="F11" s="220">
        <v>0.03</v>
      </c>
      <c r="G11" s="219">
        <f>H10</f>
        <v>765000000</v>
      </c>
      <c r="H11" s="219">
        <f>G11+20000000</f>
        <v>785000000</v>
      </c>
      <c r="I11" s="220">
        <v>0.03</v>
      </c>
      <c r="J11" s="219">
        <f>K10</f>
        <v>850000000</v>
      </c>
      <c r="K11" s="219">
        <f>J11+20000000</f>
        <v>870000000</v>
      </c>
      <c r="L11" s="220">
        <f>I11</f>
        <v>0.03</v>
      </c>
    </row>
    <row r="12" spans="4:12" ht="12.75">
      <c r="D12" s="219">
        <f>E11</f>
        <v>675000000</v>
      </c>
      <c r="E12" s="219">
        <f>D12+20000000</f>
        <v>695000000</v>
      </c>
      <c r="F12" s="220">
        <f>F11+0.005</f>
        <v>0.034999999999999996</v>
      </c>
      <c r="G12" s="219">
        <f>H11</f>
        <v>785000000</v>
      </c>
      <c r="H12" s="219">
        <f>G12+20000000</f>
        <v>805000000</v>
      </c>
      <c r="I12" s="220">
        <f>I11+0.005</f>
        <v>0.034999999999999996</v>
      </c>
      <c r="J12" s="219">
        <f>K11</f>
        <v>870000000</v>
      </c>
      <c r="K12" s="219">
        <f>J12+20000000</f>
        <v>890000000</v>
      </c>
      <c r="L12" s="220">
        <f>L11+0.005</f>
        <v>0.034999999999999996</v>
      </c>
    </row>
    <row r="13" spans="4:12" ht="12.75">
      <c r="D13" s="219">
        <f>E12</f>
        <v>695000000</v>
      </c>
      <c r="E13" s="219">
        <f>D13+20000000</f>
        <v>715000000</v>
      </c>
      <c r="F13" s="220">
        <f>F12+0.005</f>
        <v>0.039999999999999994</v>
      </c>
      <c r="G13" s="219">
        <f>H12</f>
        <v>805000000</v>
      </c>
      <c r="H13" s="219">
        <f>G13+20000000</f>
        <v>825000000</v>
      </c>
      <c r="I13" s="220">
        <f>I12+0.005</f>
        <v>0.039999999999999994</v>
      </c>
      <c r="J13" s="219">
        <f>K12</f>
        <v>890000000</v>
      </c>
      <c r="K13" s="219">
        <f>J13+20000000</f>
        <v>910000000</v>
      </c>
      <c r="L13" s="220">
        <f>L12+0.005</f>
        <v>0.039999999999999994</v>
      </c>
    </row>
    <row r="14" spans="4:12" ht="12.75">
      <c r="D14" s="219">
        <f>E13</f>
        <v>715000000</v>
      </c>
      <c r="E14" s="219">
        <f>D14+20000000</f>
        <v>735000000</v>
      </c>
      <c r="F14" s="220">
        <f>F13+0.005</f>
        <v>0.04499999999999999</v>
      </c>
      <c r="G14" s="219">
        <f>H13</f>
        <v>825000000</v>
      </c>
      <c r="H14" s="219">
        <f>G14+20000000</f>
        <v>845000000</v>
      </c>
      <c r="I14" s="220">
        <f>I13+0.005</f>
        <v>0.04499999999999999</v>
      </c>
      <c r="J14" s="219">
        <f>K13</f>
        <v>910000000</v>
      </c>
      <c r="K14" s="219">
        <f>J14+20000000</f>
        <v>930000000</v>
      </c>
      <c r="L14" s="220">
        <f>L13+0.005</f>
        <v>0.04499999999999999</v>
      </c>
    </row>
    <row r="15" spans="4:12" ht="12.75">
      <c r="D15" s="219">
        <f>E14</f>
        <v>735000000</v>
      </c>
      <c r="E15" s="219"/>
      <c r="F15" s="220">
        <v>0.05</v>
      </c>
      <c r="G15" s="219">
        <f>H14</f>
        <v>845000000</v>
      </c>
      <c r="H15" s="219"/>
      <c r="I15" s="220">
        <f>I14+0.005</f>
        <v>0.04999999999999999</v>
      </c>
      <c r="J15" s="219">
        <f>K14</f>
        <v>930000000</v>
      </c>
      <c r="K15" s="219"/>
      <c r="L15" s="220">
        <f>L14+0.005</f>
        <v>0.04999999999999999</v>
      </c>
    </row>
    <row r="16" spans="4:13" s="84" customFormat="1" ht="12.75">
      <c r="D16" s="225"/>
      <c r="E16" s="225"/>
      <c r="F16" s="226"/>
      <c r="G16" s="225"/>
      <c r="H16" s="9"/>
      <c r="I16" s="226"/>
      <c r="J16" s="225"/>
      <c r="K16" s="9"/>
      <c r="L16" s="226"/>
      <c r="M16" s="9"/>
    </row>
    <row r="17" spans="1:13" ht="12.75">
      <c r="A17" s="6" t="s">
        <v>62</v>
      </c>
      <c r="D17" s="9"/>
      <c r="E17" s="9"/>
      <c r="F17" s="10"/>
      <c r="G17" s="10"/>
      <c r="H17" s="10"/>
      <c r="I17" s="70"/>
      <c r="J17" s="9"/>
      <c r="K17" s="9"/>
      <c r="L17" s="9"/>
      <c r="M17" s="10"/>
    </row>
    <row r="18" spans="9:12" ht="12.75">
      <c r="I18" s="9"/>
      <c r="J18" s="70"/>
      <c r="K18" s="70"/>
      <c r="L18" s="70"/>
    </row>
    <row r="19" spans="1:12" ht="12.75">
      <c r="A19" s="95" t="s">
        <v>118</v>
      </c>
      <c r="B19" t="s">
        <v>70</v>
      </c>
      <c r="D19">
        <f>'Volume calcs'!G9</f>
        <v>641253619</v>
      </c>
      <c r="E19">
        <f>'Volume calcs'!H9</f>
        <v>763598709</v>
      </c>
      <c r="F19">
        <f>'Volume calcs'!I9</f>
        <v>855738206</v>
      </c>
      <c r="H19" s="28"/>
      <c r="I19" s="223"/>
      <c r="J19" s="223"/>
      <c r="K19" s="9"/>
      <c r="L19" s="9"/>
    </row>
    <row r="20" spans="1:12" ht="12.75">
      <c r="A20" s="95" t="s">
        <v>119</v>
      </c>
      <c r="B20" t="s">
        <v>69</v>
      </c>
      <c r="D20">
        <f>'Volume calcs'!G14</f>
        <v>657253619</v>
      </c>
      <c r="E20">
        <f>'Volume calcs'!H14</f>
        <v>783598709</v>
      </c>
      <c r="F20">
        <f>'Volume calcs'!I14</f>
        <v>875738206</v>
      </c>
      <c r="G20" s="28"/>
      <c r="H20" s="28"/>
      <c r="I20" s="223"/>
      <c r="J20" s="224"/>
      <c r="K20" s="179"/>
      <c r="L20" s="179"/>
    </row>
    <row r="21" spans="1:12" ht="12.75">
      <c r="A21" s="95"/>
      <c r="G21" s="28"/>
      <c r="H21" s="28"/>
      <c r="I21" s="223"/>
      <c r="J21" s="224"/>
      <c r="K21" s="179"/>
      <c r="L21" s="179"/>
    </row>
    <row r="22" spans="2:12" ht="12.75">
      <c r="B22" t="s">
        <v>63</v>
      </c>
      <c r="D22" s="32">
        <f>IF($D$20&lt;'Disc&amp;Exposure'!D10,0,IF($D$20&gt;'Disc&amp;Exposure'!E10,('Disc&amp;Exposure'!E10-'Disc&amp;Exposure'!D10)*'Disc&amp;Exposure'!F10,($D$20-'Disc&amp;Exposure'!D10)*'Disc&amp;Exposure'!F10))</f>
        <v>1000000</v>
      </c>
      <c r="E22" s="32">
        <f>IF($E$20&lt;'Disc&amp;Exposure'!G10,0,IF($E$20&gt;'Disc&amp;Exposure'!H10,('Disc&amp;Exposure'!H10-'Disc&amp;Exposure'!G10)*'Disc&amp;Exposure'!I10,($E$20-'Disc&amp;Exposure'!G10)*'Disc&amp;Exposure'!I10))</f>
        <v>1000000</v>
      </c>
      <c r="F22" s="32">
        <f>IF($F$20&lt;'Disc&amp;Exposure'!J10,0,IF($F$20&gt;'Disc&amp;Exposure'!K10,('Disc&amp;Exposure'!K10-'Disc&amp;Exposure'!J10)*'Disc&amp;Exposure'!L10,($F$20-'Disc&amp;Exposure'!J10)*'Disc&amp;Exposure'!L10))</f>
        <v>1000000</v>
      </c>
      <c r="H22" s="28"/>
      <c r="I22" s="223"/>
      <c r="J22" s="224"/>
      <c r="K22" s="224"/>
      <c r="L22" s="179"/>
    </row>
    <row r="23" spans="2:12" ht="12.75">
      <c r="B23" t="s">
        <v>64</v>
      </c>
      <c r="D23" s="32">
        <f>IF($D$20&lt;'Disc&amp;Exposure'!D11,0,IF($D$20&gt;'Disc&amp;Exposure'!E11,('Disc&amp;Exposure'!E11-'Disc&amp;Exposure'!D11)*'Disc&amp;Exposure'!F11,($D$20-'Disc&amp;Exposure'!D11)*'Disc&amp;Exposure'!F11))</f>
        <v>67608.56999999999</v>
      </c>
      <c r="E23" s="32">
        <f>IF($E$20&lt;'Disc&amp;Exposure'!G11,0,IF($E$20&gt;'Disc&amp;Exposure'!H11,('Disc&amp;Exposure'!H11-'Disc&amp;Exposure'!G11)*'Disc&amp;Exposure'!I11,($E$20-'Disc&amp;Exposure'!G11)*'Disc&amp;Exposure'!I11))</f>
        <v>557961.27</v>
      </c>
      <c r="F23" s="32">
        <f>IF($F$20&lt;'Disc&amp;Exposure'!J11,0,IF($F$20&gt;'Disc&amp;Exposure'!K11,('Disc&amp;Exposure'!K11-'Disc&amp;Exposure'!J11)*'Disc&amp;Exposure'!L11,($F$20-'Disc&amp;Exposure'!J11)*'Disc&amp;Exposure'!L11))</f>
        <v>600000</v>
      </c>
      <c r="H23" s="28"/>
      <c r="I23" s="9"/>
      <c r="J23" s="179"/>
      <c r="K23" s="179"/>
      <c r="L23" s="179"/>
    </row>
    <row r="24" spans="2:12" ht="12.75">
      <c r="B24" t="s">
        <v>65</v>
      </c>
      <c r="D24" s="32">
        <f>IF($D$20&lt;'Disc&amp;Exposure'!D12,0,IF($D$20&gt;'Disc&amp;Exposure'!E12,('Disc&amp;Exposure'!E12-'Disc&amp;Exposure'!D12)*'Disc&amp;Exposure'!F12,($D$20-'Disc&amp;Exposure'!D12)*'Disc&amp;Exposure'!F12))</f>
        <v>0</v>
      </c>
      <c r="E24" s="32">
        <f>IF($E$20&lt;'Disc&amp;Exposure'!G12,0,IF($E$20&gt;'Disc&amp;Exposure'!H12,('Disc&amp;Exposure'!H12-'Disc&amp;Exposure'!G12)*'Disc&amp;Exposure'!I12,($E$20-'Disc&amp;Exposure'!G12)*'Disc&amp;Exposure'!I12))</f>
        <v>0</v>
      </c>
      <c r="F24" s="32">
        <f>IF($F$20&lt;'Disc&amp;Exposure'!J12,0,IF($F$20&gt;'Disc&amp;Exposure'!K12,('Disc&amp;Exposure'!K12-'Disc&amp;Exposure'!J12)*'Disc&amp;Exposure'!L12,($F$20-'Disc&amp;Exposure'!J12)*'Disc&amp;Exposure'!L12))</f>
        <v>200837.21</v>
      </c>
      <c r="H24" s="7"/>
      <c r="I24" s="172"/>
      <c r="J24" s="172"/>
      <c r="K24" s="179"/>
      <c r="L24" s="179"/>
    </row>
    <row r="25" spans="2:12" ht="12.75">
      <c r="B25" t="s">
        <v>66</v>
      </c>
      <c r="D25" s="32">
        <f>IF($D$20&lt;'Disc&amp;Exposure'!D13,0,IF($D$20&gt;'Disc&amp;Exposure'!E13,('Disc&amp;Exposure'!E13-'Disc&amp;Exposure'!D13)*'Disc&amp;Exposure'!F13,($D$20-'Disc&amp;Exposure'!D13)*'Disc&amp;Exposure'!F13))</f>
        <v>0</v>
      </c>
      <c r="E25" s="32">
        <f>IF($E$20&lt;'Disc&amp;Exposure'!G13,0,IF($E$20&gt;'Disc&amp;Exposure'!H13,('Disc&amp;Exposure'!H13-'Disc&amp;Exposure'!G13)*'Disc&amp;Exposure'!I13,($E$20-'Disc&amp;Exposure'!G13)*'Disc&amp;Exposure'!I13))</f>
        <v>0</v>
      </c>
      <c r="F25" s="32">
        <f>IF($F$20&lt;'Disc&amp;Exposure'!J13,0,IF($F$20&gt;'Disc&amp;Exposure'!K13,('Disc&amp;Exposure'!K13-'Disc&amp;Exposure'!J13)*'Disc&amp;Exposure'!L13,($F$20-'Disc&amp;Exposure'!J13)*'Disc&amp;Exposure'!L13))</f>
        <v>0</v>
      </c>
      <c r="I25" s="9"/>
      <c r="J25" s="180"/>
      <c r="K25" s="179"/>
      <c r="L25" s="9"/>
    </row>
    <row r="26" spans="2:12" ht="12.75">
      <c r="B26" t="s">
        <v>67</v>
      </c>
      <c r="D26" s="32">
        <f>IF($D$20&lt;'Disc&amp;Exposure'!D14,0,IF($D$20&gt;'Disc&amp;Exposure'!E14,('Disc&amp;Exposure'!E14-'Disc&amp;Exposure'!D14)*'Disc&amp;Exposure'!F14,($D$20-'Disc&amp;Exposure'!D14)*'Disc&amp;Exposure'!F14))</f>
        <v>0</v>
      </c>
      <c r="E26" s="32">
        <f>IF($E$20&lt;'Disc&amp;Exposure'!G14,0,IF($E$20&gt;'Disc&amp;Exposure'!H14,('Disc&amp;Exposure'!H14-'Disc&amp;Exposure'!G14)*'Disc&amp;Exposure'!I14,($E$20-'Disc&amp;Exposure'!G14)*'Disc&amp;Exposure'!I14))</f>
        <v>0</v>
      </c>
      <c r="F26" s="32">
        <f>IF($F$20&lt;'Disc&amp;Exposure'!J14,0,IF($F$20&gt;'Disc&amp;Exposure'!K14,('Disc&amp;Exposure'!K14-'Disc&amp;Exposure'!J14)*'Disc&amp;Exposure'!L14,($F$20-'Disc&amp;Exposure'!J14)*'Disc&amp;Exposure'!L14))</f>
        <v>0</v>
      </c>
      <c r="I26" s="223"/>
      <c r="J26" s="180"/>
      <c r="K26" s="179"/>
      <c r="L26" s="180"/>
    </row>
    <row r="27" spans="2:12" ht="12.75">
      <c r="B27" t="s">
        <v>256</v>
      </c>
      <c r="D27" s="32">
        <f>IF($D$20&lt;'Disc&amp;Exposure'!D15,0,(D20-D15)*F15)</f>
        <v>0</v>
      </c>
      <c r="E27" s="32">
        <f>IF($E$20&lt;'Disc&amp;Exposure'!G15,0,(E20-G15)*I15)</f>
        <v>0</v>
      </c>
      <c r="F27" s="32">
        <f>IF($F$20&lt;'Disc&amp;Exposure'!J15,0,(F20-J15)*L15)</f>
        <v>0</v>
      </c>
      <c r="I27" s="223"/>
      <c r="J27" s="180"/>
      <c r="K27" s="179"/>
      <c r="L27" s="180"/>
    </row>
    <row r="28" spans="1:12" ht="12.75">
      <c r="A28" s="109" t="s">
        <v>120</v>
      </c>
      <c r="C28" s="40" t="s">
        <v>68</v>
      </c>
      <c r="D28" s="76">
        <f>SUM(D22:D27)</f>
        <v>1067608.57</v>
      </c>
      <c r="E28" s="76">
        <f>SUM(E22:E27)</f>
        <v>1557961.27</v>
      </c>
      <c r="F28" s="76">
        <f>SUM(F22:F27)</f>
        <v>1800837.21</v>
      </c>
      <c r="K28" s="179"/>
      <c r="L28" s="9"/>
    </row>
    <row r="29" spans="9:12" ht="12.75">
      <c r="I29" s="70"/>
      <c r="J29" s="70"/>
      <c r="K29" s="179"/>
      <c r="L29" s="70"/>
    </row>
    <row r="30" ht="12.75">
      <c r="A30" s="6" t="s">
        <v>192</v>
      </c>
    </row>
    <row r="32" spans="1:6" ht="12.75">
      <c r="A32" s="95" t="s">
        <v>121</v>
      </c>
      <c r="B32" t="s">
        <v>13</v>
      </c>
      <c r="D32">
        <f>D10</f>
        <v>615000000</v>
      </c>
      <c r="E32">
        <f>G10</f>
        <v>725000000</v>
      </c>
      <c r="F32">
        <f>J10</f>
        <v>810000000</v>
      </c>
    </row>
    <row r="33" spans="1:6" ht="12.75">
      <c r="A33" s="95" t="s">
        <v>122</v>
      </c>
      <c r="B33" t="s">
        <v>70</v>
      </c>
      <c r="D33">
        <f>D19</f>
        <v>641253619</v>
      </c>
      <c r="E33">
        <f>E19</f>
        <v>763598709</v>
      </c>
      <c r="F33">
        <f>F19</f>
        <v>855738206</v>
      </c>
    </row>
    <row r="34" spans="1:6" ht="12.75">
      <c r="A34" s="95" t="s">
        <v>123</v>
      </c>
      <c r="B34" t="s">
        <v>199</v>
      </c>
      <c r="D34">
        <f>IF(D33&gt;D32,D33-D32,0)</f>
        <v>26253619</v>
      </c>
      <c r="E34">
        <f>IF(E33&gt;E32,E33-E32,0)</f>
        <v>38598709</v>
      </c>
      <c r="F34">
        <f>IF(F33&gt;F32,F33-F32,0)</f>
        <v>45738206</v>
      </c>
    </row>
    <row r="35" spans="1:6" ht="12.75">
      <c r="A35" s="95" t="s">
        <v>124</v>
      </c>
      <c r="B35" t="s">
        <v>69</v>
      </c>
      <c r="D35">
        <f>D20</f>
        <v>657253619</v>
      </c>
      <c r="E35">
        <f>E20</f>
        <v>783598709</v>
      </c>
      <c r="F35">
        <f>F20</f>
        <v>875738206</v>
      </c>
    </row>
    <row r="37" spans="2:6" ht="12.75">
      <c r="B37" t="s">
        <v>193</v>
      </c>
      <c r="D37" s="32">
        <f>IF($D$33&lt;D10,0,IF($D$33&gt;'Disc&amp;Exposure'!E10,('Disc&amp;Exposure'!E10-'Disc&amp;Exposure'!D10)*'Disc&amp;Exposure'!F10,($D$33-'Disc&amp;Exposure'!D10)*'Disc&amp;Exposure'!F10))</f>
        <v>656340.4750000001</v>
      </c>
      <c r="E37" s="32">
        <f>IF($E$33&lt;G10,0,IF($E$33&gt;'Disc&amp;Exposure'!H10,('Disc&amp;Exposure'!H10-'Disc&amp;Exposure'!G10)*'Disc&amp;Exposure'!I10,($E$33-'Disc&amp;Exposure'!G10)*'Disc&amp;Exposure'!I10))</f>
        <v>964967.7250000001</v>
      </c>
      <c r="F37" s="32">
        <f>IF($F$33&lt;J10,0,IF($F$33&gt;'Disc&amp;Exposure'!K10,('Disc&amp;Exposure'!K10-'Disc&amp;Exposure'!J10)*'Disc&amp;Exposure'!L10,($F$33-'Disc&amp;Exposure'!J10)*'Disc&amp;Exposure'!L10))</f>
        <v>1000000</v>
      </c>
    </row>
    <row r="38" spans="2:6" ht="12.75">
      <c r="B38" t="s">
        <v>194</v>
      </c>
      <c r="D38" s="32">
        <f>IF($D$33&lt;D11,0,IF($D$33&gt;'Disc&amp;Exposure'!E11,('Disc&amp;Exposure'!E11-'Disc&amp;Exposure'!D11)*'Disc&amp;Exposure'!F11,($D$33-'Disc&amp;Exposure'!D11)*'Disc&amp;Exposure'!F11))</f>
        <v>0</v>
      </c>
      <c r="E38" s="32">
        <f>IF($E$33&lt;G11,0,IF($E$33&gt;'Disc&amp;Exposure'!H11,('Disc&amp;Exposure'!H11-'Disc&amp;Exposure'!G11)*'Disc&amp;Exposure'!I11,($E$33-'Disc&amp;Exposure'!G11)*'Disc&amp;Exposure'!I11))</f>
        <v>0</v>
      </c>
      <c r="F38" s="32">
        <f>IF($F$33&lt;J11,0,IF($F$33&gt;'Disc&amp;Exposure'!K11,('Disc&amp;Exposure'!K11-'Disc&amp;Exposure'!J11)*'Disc&amp;Exposure'!L11,($F$33-'Disc&amp;Exposure'!J11)*'Disc&amp;Exposure'!L11))</f>
        <v>172146.18</v>
      </c>
    </row>
    <row r="39" spans="2:6" ht="12.75">
      <c r="B39" t="s">
        <v>195</v>
      </c>
      <c r="D39" s="32">
        <f>IF($D$33&lt;D12,0,IF($D$33&gt;'Disc&amp;Exposure'!E12,('Disc&amp;Exposure'!E12-'Disc&amp;Exposure'!D12)*'Disc&amp;Exposure'!F12,($D$33-'Disc&amp;Exposure'!D12)*'Disc&amp;Exposure'!F12))</f>
        <v>0</v>
      </c>
      <c r="E39" s="32">
        <f>IF($E$33&lt;G12,0,IF($E$33&gt;'Disc&amp;Exposure'!H12,('Disc&amp;Exposure'!H12-'Disc&amp;Exposure'!G12)*'Disc&amp;Exposure'!I12,($E$33-'Disc&amp;Exposure'!G12)*'Disc&amp;Exposure'!I12))</f>
        <v>0</v>
      </c>
      <c r="F39" s="32">
        <f>IF($F$33&lt;J12,0,IF($F$33&gt;'Disc&amp;Exposure'!K12,('Disc&amp;Exposure'!K12-'Disc&amp;Exposure'!J12)*'Disc&amp;Exposure'!L12,($F$33-'Disc&amp;Exposure'!J12)*'Disc&amp;Exposure'!L12))</f>
        <v>0</v>
      </c>
    </row>
    <row r="40" spans="2:6" ht="12.75">
      <c r="B40" t="s">
        <v>196</v>
      </c>
      <c r="C40" s="42"/>
      <c r="D40" s="32">
        <f>IF($D$33&lt;D13,0,IF($D$33&gt;'Disc&amp;Exposure'!E13,('Disc&amp;Exposure'!E13-'Disc&amp;Exposure'!D13)*'Disc&amp;Exposure'!F13,($D$33-'Disc&amp;Exposure'!D13)*'Disc&amp;Exposure'!F13))</f>
        <v>0</v>
      </c>
      <c r="E40" s="32">
        <f>IF($E$33&lt;G13,0,IF($E$33&gt;'Disc&amp;Exposure'!H13,('Disc&amp;Exposure'!H13-'Disc&amp;Exposure'!G13)*'Disc&amp;Exposure'!I13,($E$33-'Disc&amp;Exposure'!G13)*'Disc&amp;Exposure'!I13))</f>
        <v>0</v>
      </c>
      <c r="F40" s="32">
        <f>IF($F$33&lt;J13,0,IF($F$33&gt;'Disc&amp;Exposure'!K13,('Disc&amp;Exposure'!K13-'Disc&amp;Exposure'!J13)*'Disc&amp;Exposure'!L13,($F$33-'Disc&amp;Exposure'!J13)*'Disc&amp;Exposure'!L13))</f>
        <v>0</v>
      </c>
    </row>
    <row r="41" spans="2:6" ht="12.75">
      <c r="B41" t="s">
        <v>67</v>
      </c>
      <c r="D41" s="32">
        <f>IF($D$33&lt;D14,0,IF($D$33&gt;'Disc&amp;Exposure'!E14,('Disc&amp;Exposure'!E14-'Disc&amp;Exposure'!D14)*'Disc&amp;Exposure'!F14,($D$33-'Disc&amp;Exposure'!D14)*'Disc&amp;Exposure'!F14))</f>
        <v>0</v>
      </c>
      <c r="E41" s="32">
        <f>IF($E$33&lt;G14,0,IF($E$33&gt;'Disc&amp;Exposure'!H14,('Disc&amp;Exposure'!H14-'Disc&amp;Exposure'!G14)*'Disc&amp;Exposure'!I14,($E$33-'Disc&amp;Exposure'!G14)*'Disc&amp;Exposure'!I14))</f>
        <v>0</v>
      </c>
      <c r="F41" s="32">
        <f>IF($F$33&lt;J14,0,IF($F$33&gt;'Disc&amp;Exposure'!K14,('Disc&amp;Exposure'!K14-'Disc&amp;Exposure'!J14)*'Disc&amp;Exposure'!L14,($F$33-'Disc&amp;Exposure'!J14)*'Disc&amp;Exposure'!L14))</f>
        <v>0</v>
      </c>
    </row>
    <row r="42" spans="2:6" ht="12.75">
      <c r="B42" t="s">
        <v>256</v>
      </c>
      <c r="D42" s="32">
        <f>IF($D$33&lt;D15,0,(D33-D15)*F15)</f>
        <v>0</v>
      </c>
      <c r="E42" s="32">
        <f>IF($E$33&lt;G15,0,(E33-G15)*I15)</f>
        <v>0</v>
      </c>
      <c r="F42" s="32">
        <f>IF($F$33&lt;J15,0,(F33-J15)*L15)</f>
        <v>0</v>
      </c>
    </row>
    <row r="43" spans="1:6" ht="12.75">
      <c r="A43" s="95" t="s">
        <v>125</v>
      </c>
      <c r="C43" s="40" t="s">
        <v>197</v>
      </c>
      <c r="D43" s="76">
        <f>SUM(D37:D42)</f>
        <v>656340.4750000001</v>
      </c>
      <c r="E43" s="76">
        <f>SUM(E37:E42)</f>
        <v>964967.7250000001</v>
      </c>
      <c r="F43" s="76">
        <f>SUM(F37:F42)</f>
        <v>1172146.18</v>
      </c>
    </row>
    <row r="46" spans="1:2" ht="12.75">
      <c r="A46" s="110">
        <v>-1</v>
      </c>
      <c r="B46" s="9" t="s">
        <v>155</v>
      </c>
    </row>
    <row r="47" spans="1:2" ht="12.75">
      <c r="A47" s="110">
        <v>-2</v>
      </c>
      <c r="B47" s="9" t="s">
        <v>156</v>
      </c>
    </row>
    <row r="48" spans="1:2" ht="12.75">
      <c r="A48" s="110">
        <v>-3</v>
      </c>
      <c r="B48" s="9" t="s">
        <v>298</v>
      </c>
    </row>
    <row r="49" spans="1:2" ht="12.75">
      <c r="A49" s="120" t="s">
        <v>121</v>
      </c>
      <c r="B49" s="110" t="s">
        <v>157</v>
      </c>
    </row>
    <row r="50" spans="1:2" ht="12.75">
      <c r="A50" s="120" t="s">
        <v>122</v>
      </c>
      <c r="B50" s="124" t="s">
        <v>118</v>
      </c>
    </row>
    <row r="51" spans="1:2" ht="12.75">
      <c r="A51" s="120" t="s">
        <v>123</v>
      </c>
      <c r="B51" s="110" t="s">
        <v>198</v>
      </c>
    </row>
    <row r="52" spans="1:2" ht="12.75">
      <c r="A52" s="120" t="s">
        <v>124</v>
      </c>
      <c r="B52" s="124" t="s">
        <v>119</v>
      </c>
    </row>
    <row r="53" spans="1:2" ht="12.75">
      <c r="A53" s="120" t="s">
        <v>125</v>
      </c>
      <c r="B53" s="110" t="s">
        <v>299</v>
      </c>
    </row>
    <row r="54" spans="1:2" ht="12.75">
      <c r="A54" s="84"/>
      <c r="B54" s="84"/>
    </row>
  </sheetData>
  <printOptions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&amp;L&amp;A&amp;CMC2005-2
HSBC NSA Model&amp;R REVISED  3/11/05</oddFooter>
  </headerFooter>
  <ignoredErrors>
    <ignoredError sqref="A28 A19:A20 A43 A49:A53 C49:C53 B49:B50 B52 A32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30.8515625" style="0" customWidth="1"/>
    <col min="4" max="6" width="0" style="0" hidden="1" customWidth="1"/>
    <col min="7" max="7" width="12.421875" style="0" bestFit="1" customWidth="1"/>
    <col min="8" max="9" width="12.28125" style="0" bestFit="1" customWidth="1"/>
    <col min="10" max="10" width="10.421875" style="0" bestFit="1" customWidth="1"/>
    <col min="12" max="14" width="10.421875" style="0" bestFit="1" customWidth="1"/>
  </cols>
  <sheetData>
    <row r="1" spans="1:14" ht="18">
      <c r="A1" s="3" t="s">
        <v>305</v>
      </c>
      <c r="B1" s="1"/>
      <c r="C1" s="1"/>
      <c r="D1" s="1"/>
      <c r="E1" s="1"/>
      <c r="F1" s="1"/>
      <c r="G1" s="1"/>
      <c r="H1" s="1"/>
      <c r="I1" s="1"/>
      <c r="J1" s="88"/>
      <c r="K1" s="88"/>
      <c r="L1" s="88"/>
      <c r="M1" s="88"/>
      <c r="N1" s="88"/>
    </row>
    <row r="2" spans="1:14" ht="12.75">
      <c r="A2" s="2" t="s">
        <v>191</v>
      </c>
      <c r="B2" s="1"/>
      <c r="C2" s="1"/>
      <c r="D2" s="1"/>
      <c r="E2" s="1"/>
      <c r="F2" s="1"/>
      <c r="G2" s="1"/>
      <c r="H2" s="1"/>
      <c r="I2" s="1"/>
      <c r="J2" s="88"/>
      <c r="K2" s="88"/>
      <c r="L2" s="88"/>
      <c r="M2" s="88"/>
      <c r="N2" s="88"/>
    </row>
    <row r="3" spans="1:14" ht="12.75">
      <c r="A3" s="2" t="s">
        <v>253</v>
      </c>
      <c r="B3" s="1"/>
      <c r="C3" s="1"/>
      <c r="D3" s="4">
        <v>2001</v>
      </c>
      <c r="E3" s="4">
        <v>2002</v>
      </c>
      <c r="F3" s="4">
        <v>2003</v>
      </c>
      <c r="G3" s="5" t="s">
        <v>0</v>
      </c>
      <c r="H3" s="5" t="s">
        <v>1</v>
      </c>
      <c r="I3" s="5" t="s">
        <v>2</v>
      </c>
      <c r="J3" s="88"/>
      <c r="K3" s="88"/>
      <c r="L3" s="88"/>
      <c r="M3" s="88"/>
      <c r="N3" s="88"/>
    </row>
    <row r="5" ht="12.75">
      <c r="A5" s="6" t="s">
        <v>71</v>
      </c>
    </row>
    <row r="6" ht="12.75">
      <c r="B6" t="s">
        <v>72</v>
      </c>
    </row>
    <row r="7" spans="1:9" ht="12.75">
      <c r="A7" s="95" t="s">
        <v>118</v>
      </c>
      <c r="C7" s="39" t="s">
        <v>3</v>
      </c>
      <c r="G7" s="43">
        <f>Assumptions!D5</f>
        <v>0.003</v>
      </c>
      <c r="H7" s="43">
        <f>Assumptions!E5</f>
        <v>0.003</v>
      </c>
      <c r="I7" s="43">
        <f>Assumptions!F5</f>
        <v>0.003</v>
      </c>
    </row>
    <row r="8" spans="1:9" ht="12.75">
      <c r="A8" s="95" t="s">
        <v>119</v>
      </c>
      <c r="C8" s="39" t="s">
        <v>176</v>
      </c>
      <c r="G8" s="163">
        <f>Assumptions!D6</f>
        <v>0.0475</v>
      </c>
      <c r="H8" s="163">
        <f>Assumptions!E6</f>
        <v>0.0475</v>
      </c>
      <c r="I8" s="163">
        <f>Assumptions!F6</f>
        <v>0.0475</v>
      </c>
    </row>
    <row r="10" ht="12.75">
      <c r="A10" s="6" t="s">
        <v>70</v>
      </c>
    </row>
    <row r="11" spans="1:9" ht="12.75">
      <c r="A11" s="95" t="s">
        <v>120</v>
      </c>
      <c r="C11" s="39" t="s">
        <v>3</v>
      </c>
      <c r="G11">
        <f>'Volume calcs'!G7</f>
        <v>483021271</v>
      </c>
      <c r="H11">
        <f>'Volume calcs'!H7</f>
        <v>518407521</v>
      </c>
      <c r="I11">
        <f>'Volume calcs'!I7</f>
        <v>556469938</v>
      </c>
    </row>
    <row r="12" spans="1:9" ht="12.75">
      <c r="A12" s="95" t="s">
        <v>121</v>
      </c>
      <c r="C12" s="39" t="s">
        <v>176</v>
      </c>
      <c r="G12">
        <f>'Volume calcs'!G8</f>
        <v>158232348</v>
      </c>
      <c r="H12">
        <f>'Volume calcs'!H8</f>
        <v>245191188</v>
      </c>
      <c r="I12">
        <f>'Volume calcs'!I8</f>
        <v>299268268</v>
      </c>
    </row>
    <row r="14" ht="12.75">
      <c r="A14" s="6" t="s">
        <v>5</v>
      </c>
    </row>
    <row r="15" spans="1:9" ht="12.75">
      <c r="A15" s="95" t="s">
        <v>122</v>
      </c>
      <c r="C15" s="39" t="s">
        <v>3</v>
      </c>
      <c r="G15">
        <f>$G7*$G11</f>
        <v>1449063.813</v>
      </c>
      <c r="H15">
        <f>$H7*$H11</f>
        <v>1555222.563</v>
      </c>
      <c r="I15">
        <f>$I7*$I11</f>
        <v>1669409.814</v>
      </c>
    </row>
    <row r="16" spans="1:9" ht="12.75">
      <c r="A16" s="95" t="s">
        <v>123</v>
      </c>
      <c r="C16" s="39" t="s">
        <v>176</v>
      </c>
      <c r="G16">
        <f>$G8*$G12</f>
        <v>7516036.53</v>
      </c>
      <c r="H16">
        <f>$H8*$H12</f>
        <v>11646581.43</v>
      </c>
      <c r="I16">
        <f>$I8*$I12</f>
        <v>14215242.73</v>
      </c>
    </row>
    <row r="18" ht="12.75">
      <c r="A18" s="6" t="s">
        <v>71</v>
      </c>
    </row>
    <row r="19" spans="1:9" ht="12.75">
      <c r="A19" s="95" t="s">
        <v>124</v>
      </c>
      <c r="C19" s="39" t="s">
        <v>3</v>
      </c>
      <c r="G19" s="32">
        <f>G15*(Assumptions!$D$13*Assumptions!D19)</f>
        <v>855593.120654863</v>
      </c>
      <c r="H19" s="32">
        <f>H15*(Assumptions!$E$13*Assumptions!D19)</f>
        <v>955005.0333288015</v>
      </c>
      <c r="I19" s="32">
        <f>I15*(Assumptions!$F$13*Assumptions!D19)</f>
        <v>1066128.1578004207</v>
      </c>
    </row>
    <row r="20" spans="1:9" ht="12.75">
      <c r="A20" s="95" t="s">
        <v>125</v>
      </c>
      <c r="C20" s="39" t="s">
        <v>176</v>
      </c>
      <c r="G20" s="32">
        <f>G16*(Assumptions!$D$13*Assumptions!D19)</f>
        <v>4437809.496011924</v>
      </c>
      <c r="H20" s="32">
        <f>H16*(Assumptions!$E$13*Assumptions!D19)</f>
        <v>7151737.732809468</v>
      </c>
      <c r="I20" s="32">
        <f>I16*(Assumptions!$F$13*Assumptions!D19)</f>
        <v>9078220.588692863</v>
      </c>
    </row>
    <row r="21" spans="1:9" ht="12.75">
      <c r="A21" s="95" t="s">
        <v>126</v>
      </c>
      <c r="C21" s="39" t="s">
        <v>45</v>
      </c>
      <c r="G21" s="44">
        <f>SUM(G19:G20)</f>
        <v>5293402.616666787</v>
      </c>
      <c r="H21" s="44">
        <f>SUM(H19:H20)</f>
        <v>8106742.76613827</v>
      </c>
      <c r="I21" s="44">
        <f>SUM(I19:I20)</f>
        <v>10144348.746493284</v>
      </c>
    </row>
    <row r="23" ht="12.75">
      <c r="A23" s="6" t="s">
        <v>73</v>
      </c>
    </row>
    <row r="24" spans="1:9" ht="12.75">
      <c r="A24" s="95" t="s">
        <v>132</v>
      </c>
      <c r="C24" s="39" t="s">
        <v>3</v>
      </c>
      <c r="G24" s="32">
        <f>G15*(Assumptions!D13*Assumptions!D19)</f>
        <v>855593.120654863</v>
      </c>
      <c r="H24" s="32">
        <f>H15*(Assumptions!E13*Assumptions!D19)</f>
        <v>955005.0333288015</v>
      </c>
      <c r="I24" s="32">
        <f>I15*(Assumptions!F13*Assumptions!D19)</f>
        <v>1066128.1578004207</v>
      </c>
    </row>
    <row r="25" spans="1:9" ht="12.75">
      <c r="A25" s="95" t="s">
        <v>142</v>
      </c>
      <c r="C25" s="39" t="s">
        <v>176</v>
      </c>
      <c r="G25" s="32">
        <f>(G16*Assumptions!D15*Assumptions!D14*Assumptions!D19)+((1-Assumptions!D15)*Assumptions!D13*'UAA calcs'!G16*Assumptions!D19)</f>
        <v>3014361.1671024384</v>
      </c>
      <c r="H25" s="32">
        <f>(H16*Assumptions!E15*Assumptions!E14*Assumptions!D19)+((1-Assumptions!E15)*Assumptions!E13*'UAA calcs'!H16*Assumptions!D19)</f>
        <v>4857784.120398884</v>
      </c>
      <c r="I25" s="32">
        <f>(I16*Assumptions!F15*Assumptions!F14*Assumptions!D19)+((1-Assumptions!F15)*Assumptions!F13*'UAA calcs'!I16*Assumptions!D19)</f>
        <v>6166338.513074396</v>
      </c>
    </row>
    <row r="26" spans="1:9" ht="12.75">
      <c r="A26" s="95" t="s">
        <v>143</v>
      </c>
      <c r="C26" s="39" t="s">
        <v>45</v>
      </c>
      <c r="G26" s="44">
        <f>SUM(G24:G25)</f>
        <v>3869954.2877573012</v>
      </c>
      <c r="H26" s="44">
        <f>SUM(H24:H25)</f>
        <v>5812789.153727685</v>
      </c>
      <c r="I26" s="44">
        <f>SUM(I24:I25)</f>
        <v>7232466.670874817</v>
      </c>
    </row>
    <row r="28" spans="1:9" ht="13.5" thickBot="1">
      <c r="A28" s="6" t="s">
        <v>183</v>
      </c>
      <c r="G28" s="77">
        <f>G21-G26</f>
        <v>1423448.328909486</v>
      </c>
      <c r="H28" s="77">
        <f>H21-H26</f>
        <v>2293953.6124105845</v>
      </c>
      <c r="I28" s="77">
        <f>I21-I26</f>
        <v>2911882.0756184664</v>
      </c>
    </row>
    <row r="29" ht="13.5" thickTop="1"/>
    <row r="30" spans="1:2" ht="12.75">
      <c r="A30" s="95" t="s">
        <v>118</v>
      </c>
      <c r="B30" s="10" t="s">
        <v>300</v>
      </c>
    </row>
    <row r="31" spans="1:2" ht="12.75">
      <c r="A31" s="95" t="s">
        <v>119</v>
      </c>
      <c r="B31" s="10" t="s">
        <v>300</v>
      </c>
    </row>
    <row r="32" spans="1:2" ht="12.75">
      <c r="A32" s="95" t="s">
        <v>120</v>
      </c>
      <c r="B32" s="10" t="s">
        <v>300</v>
      </c>
    </row>
    <row r="33" spans="1:2" ht="12.75">
      <c r="A33" s="95" t="s">
        <v>121</v>
      </c>
      <c r="B33" s="10" t="s">
        <v>300</v>
      </c>
    </row>
    <row r="34" spans="1:2" ht="12.75">
      <c r="A34" s="95" t="s">
        <v>122</v>
      </c>
      <c r="B34" t="s">
        <v>164</v>
      </c>
    </row>
    <row r="35" spans="1:2" ht="12.75">
      <c r="A35" s="95" t="s">
        <v>123</v>
      </c>
      <c r="B35" t="s">
        <v>165</v>
      </c>
    </row>
    <row r="36" spans="1:2" ht="12.75">
      <c r="A36" s="95" t="s">
        <v>124</v>
      </c>
      <c r="B36" s="256" t="s">
        <v>307</v>
      </c>
    </row>
    <row r="37" spans="1:2" ht="12.75">
      <c r="A37" s="95" t="s">
        <v>125</v>
      </c>
      <c r="B37" s="256" t="s">
        <v>308</v>
      </c>
    </row>
    <row r="38" spans="1:2" ht="12.75">
      <c r="A38" s="95" t="s">
        <v>126</v>
      </c>
      <c r="B38" t="s">
        <v>202</v>
      </c>
    </row>
    <row r="39" spans="1:2" ht="12.75">
      <c r="A39" s="95" t="s">
        <v>132</v>
      </c>
      <c r="B39" s="256" t="s">
        <v>309</v>
      </c>
    </row>
    <row r="40" spans="1:2" ht="12.75">
      <c r="A40" s="95" t="s">
        <v>142</v>
      </c>
      <c r="B40" s="256" t="s">
        <v>310</v>
      </c>
    </row>
    <row r="41" spans="1:2" ht="12.75">
      <c r="A41" s="95"/>
      <c r="B41" s="256" t="s">
        <v>311</v>
      </c>
    </row>
    <row r="42" spans="1:2" ht="12.75">
      <c r="A42" s="95" t="s">
        <v>143</v>
      </c>
      <c r="B42" t="s">
        <v>203</v>
      </c>
    </row>
    <row r="43" spans="1:2" ht="12.75">
      <c r="A43" s="95" t="s">
        <v>144</v>
      </c>
      <c r="B43" t="s">
        <v>204</v>
      </c>
    </row>
    <row r="44" ht="12.75">
      <c r="A44" s="95"/>
    </row>
    <row r="45" ht="12.75">
      <c r="A45" s="95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&amp;L&amp;A&amp;CMC2005-2
HSBC NSA Model&amp;R REVISED  3/11/05</oddFooter>
  </headerFooter>
  <ignoredErrors>
    <ignoredError sqref="A42:A43 A7:A27 A29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17.57421875" style="0" bestFit="1" customWidth="1"/>
    <col min="4" max="4" width="19.57421875" style="0" bestFit="1" customWidth="1"/>
    <col min="5" max="5" width="14.28125" style="0" bestFit="1" customWidth="1"/>
    <col min="6" max="6" width="15.57421875" style="0" bestFit="1" customWidth="1"/>
    <col min="8" max="11" width="12.421875" style="0" bestFit="1" customWidth="1"/>
  </cols>
  <sheetData>
    <row r="1" spans="1:11" ht="18">
      <c r="A1" s="3" t="s">
        <v>305</v>
      </c>
      <c r="B1" s="1"/>
      <c r="C1" s="1"/>
      <c r="D1" s="1"/>
      <c r="E1" s="1"/>
      <c r="F1" s="1"/>
      <c r="G1" s="86"/>
      <c r="H1" s="86"/>
      <c r="I1" s="86"/>
      <c r="J1" s="88"/>
      <c r="K1" s="88"/>
    </row>
    <row r="2" spans="1:11" ht="12.75">
      <c r="A2" s="2" t="s">
        <v>191</v>
      </c>
      <c r="B2" s="1"/>
      <c r="C2" s="1"/>
      <c r="D2" s="1"/>
      <c r="E2" s="1"/>
      <c r="F2" s="1"/>
      <c r="G2" s="86"/>
      <c r="H2" s="86"/>
      <c r="I2" s="86"/>
      <c r="J2" s="88"/>
      <c r="K2" s="88"/>
    </row>
    <row r="3" spans="1:11" ht="12.75">
      <c r="A3" s="2" t="s">
        <v>254</v>
      </c>
      <c r="B3" s="1"/>
      <c r="C3" s="1"/>
      <c r="D3" s="4"/>
      <c r="E3" s="4"/>
      <c r="F3" s="4"/>
      <c r="G3" s="87"/>
      <c r="H3" s="87"/>
      <c r="I3" s="87"/>
      <c r="J3" s="88"/>
      <c r="K3" s="88"/>
    </row>
    <row r="5" ht="12.75">
      <c r="A5" s="6" t="s">
        <v>158</v>
      </c>
    </row>
    <row r="7" spans="1:6" ht="12.75">
      <c r="A7" s="6" t="s">
        <v>74</v>
      </c>
      <c r="D7" s="6" t="s">
        <v>40</v>
      </c>
      <c r="E7" s="6" t="s">
        <v>33</v>
      </c>
      <c r="F7" s="6" t="s">
        <v>75</v>
      </c>
    </row>
    <row r="8" spans="2:8" ht="12.75">
      <c r="B8" t="s">
        <v>76</v>
      </c>
      <c r="D8" s="45">
        <v>0.2138</v>
      </c>
      <c r="E8" s="243">
        <v>7219345</v>
      </c>
      <c r="F8">
        <f aca="true" t="shared" si="0" ref="F8:F13">E8*D8</f>
        <v>1543495.961</v>
      </c>
      <c r="H8" s="7"/>
    </row>
    <row r="9" spans="2:8" ht="12.75">
      <c r="B9" t="s">
        <v>77</v>
      </c>
      <c r="D9" s="45">
        <v>0.2057</v>
      </c>
      <c r="E9" s="243">
        <v>20311073</v>
      </c>
      <c r="F9">
        <f t="shared" si="0"/>
        <v>4177987.7161</v>
      </c>
      <c r="H9" s="7"/>
    </row>
    <row r="10" spans="2:8" ht="12.75">
      <c r="B10" t="s">
        <v>78</v>
      </c>
      <c r="D10" s="45">
        <v>0.1878</v>
      </c>
      <c r="E10" s="243">
        <v>182672355</v>
      </c>
      <c r="F10">
        <f t="shared" si="0"/>
        <v>34305868.269</v>
      </c>
      <c r="H10" s="7"/>
    </row>
    <row r="11" spans="2:8" ht="12.75">
      <c r="B11" t="s">
        <v>79</v>
      </c>
      <c r="D11" s="45">
        <v>0.1688</v>
      </c>
      <c r="E11" s="243">
        <v>101052532</v>
      </c>
      <c r="F11">
        <f t="shared" si="0"/>
        <v>17057667.4016</v>
      </c>
      <c r="H11" s="7"/>
    </row>
    <row r="12" spans="2:8" ht="12.75">
      <c r="B12" t="s">
        <v>80</v>
      </c>
      <c r="D12" s="45">
        <v>0.2529</v>
      </c>
      <c r="E12" s="243">
        <v>1197363</v>
      </c>
      <c r="F12">
        <f t="shared" si="0"/>
        <v>302813.1027</v>
      </c>
      <c r="H12" s="7"/>
    </row>
    <row r="13" spans="2:8" ht="12.75">
      <c r="B13" t="s">
        <v>81</v>
      </c>
      <c r="D13" s="45">
        <v>0.2269</v>
      </c>
      <c r="E13" s="248">
        <v>469903</v>
      </c>
      <c r="F13">
        <f t="shared" si="0"/>
        <v>106620.9907</v>
      </c>
      <c r="H13" s="7"/>
    </row>
    <row r="14" spans="3:8" ht="12.75">
      <c r="C14" t="s">
        <v>82</v>
      </c>
      <c r="E14">
        <f>SUM(E8:E13)</f>
        <v>312922571</v>
      </c>
      <c r="F14" s="26">
        <f>SUM(F8:F13)</f>
        <v>57494453.4411</v>
      </c>
      <c r="H14" s="247"/>
    </row>
    <row r="15" spans="1:6" ht="12.75">
      <c r="A15" s="6" t="s">
        <v>40</v>
      </c>
      <c r="F15" s="46">
        <f>F14/E14</f>
        <v>0.1837338011680212</v>
      </c>
    </row>
    <row r="16" ht="12.75">
      <c r="H16" s="168"/>
    </row>
    <row r="17" ht="12.75">
      <c r="H17" s="168"/>
    </row>
    <row r="18" ht="12.75">
      <c r="A18" s="6" t="s">
        <v>159</v>
      </c>
    </row>
    <row r="20" spans="1:6" ht="12.75">
      <c r="A20" s="6" t="s">
        <v>74</v>
      </c>
      <c r="D20" s="6" t="s">
        <v>40</v>
      </c>
      <c r="E20" s="6" t="s">
        <v>33</v>
      </c>
      <c r="F20" s="6" t="s">
        <v>75</v>
      </c>
    </row>
    <row r="21" spans="2:8" ht="12.75">
      <c r="B21" t="s">
        <v>83</v>
      </c>
      <c r="D21" s="45">
        <v>0.1722</v>
      </c>
      <c r="E21" s="243">
        <v>20947</v>
      </c>
      <c r="F21">
        <f>E21*D21</f>
        <v>3607.0733999999998</v>
      </c>
      <c r="H21" s="7"/>
    </row>
    <row r="22" spans="2:8" ht="12.75">
      <c r="B22" t="s">
        <v>84</v>
      </c>
      <c r="D22" s="45">
        <v>0.1487</v>
      </c>
      <c r="E22" s="243">
        <v>12494212</v>
      </c>
      <c r="F22">
        <f>E22*D22</f>
        <v>1857889.3244</v>
      </c>
      <c r="H22" s="7"/>
    </row>
    <row r="23" spans="2:6" ht="12.75">
      <c r="B23" t="s">
        <v>85</v>
      </c>
      <c r="D23" s="45">
        <v>0.126</v>
      </c>
      <c r="E23" s="249">
        <v>0</v>
      </c>
      <c r="F23">
        <f>E23*D23</f>
        <v>0</v>
      </c>
    </row>
    <row r="24" spans="3:6" ht="12.75">
      <c r="C24" t="s">
        <v>82</v>
      </c>
      <c r="E24" s="26">
        <f>SUM(E21:E23)</f>
        <v>12515159</v>
      </c>
      <c r="F24" s="26">
        <f>SUM(F21:F23)</f>
        <v>1861496.3978000002</v>
      </c>
    </row>
    <row r="25" spans="1:6" ht="12.75">
      <c r="A25" s="6" t="s">
        <v>40</v>
      </c>
      <c r="F25" s="46">
        <f>F24/E24</f>
        <v>0.14873933266049597</v>
      </c>
    </row>
    <row r="26" spans="1:6" ht="13.5" thickBot="1">
      <c r="A26" s="6"/>
      <c r="F26" s="46"/>
    </row>
    <row r="27" spans="1:6" ht="13.5" thickBot="1">
      <c r="A27" s="6" t="s">
        <v>188</v>
      </c>
      <c r="F27" s="215">
        <f>(F24+F14)/(E14+E24)</f>
        <v>0.1823880403753431</v>
      </c>
    </row>
    <row r="29" spans="1:2" ht="12.75">
      <c r="A29" s="95" t="s">
        <v>118</v>
      </c>
      <c r="B29" t="s">
        <v>302</v>
      </c>
    </row>
    <row r="30" spans="1:2" ht="12.75">
      <c r="A30" s="95" t="s">
        <v>119</v>
      </c>
      <c r="B30" t="s">
        <v>303</v>
      </c>
    </row>
    <row r="31" spans="1:2" ht="12.75">
      <c r="A31" s="95" t="s">
        <v>120</v>
      </c>
      <c r="B31" t="s">
        <v>186</v>
      </c>
    </row>
    <row r="32" ht="12.75">
      <c r="B32" t="s">
        <v>187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&amp;L&amp;A&amp;CMC2005-2
HSBC NSA Model&amp;R REVISED  3/11/05</oddFooter>
  </headerFooter>
  <ignoredErrors>
    <ignoredError sqref="A29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Cordone</dc:creator>
  <cp:keywords/>
  <dc:description/>
  <cp:lastModifiedBy>Eric Koetting</cp:lastModifiedBy>
  <cp:lastPrinted>2005-03-11T16:13:36Z</cp:lastPrinted>
  <dcterms:created xsi:type="dcterms:W3CDTF">2004-03-23T13:57:14Z</dcterms:created>
  <dcterms:modified xsi:type="dcterms:W3CDTF">2005-03-11T16:14:22Z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-1964154496</vt:i4>
  </property>
  <property fmtid="{D5CDD505-2E9C-101B-9397-08002B2CF9AE}" pid="3" name="_EmailSubject">
    <vt:lpwstr>revised HSBC model</vt:lpwstr>
  </property>
  <property fmtid="{D5CDD505-2E9C-101B-9397-08002B2CF9AE}" pid="4" name="_AuthorEmail">
    <vt:lpwstr>jessica.a.dauer@usps.gov</vt:lpwstr>
  </property>
  <property fmtid="{D5CDD505-2E9C-101B-9397-08002B2CF9AE}" pid="5" name="_AuthorEmailDisplayName">
    <vt:lpwstr>Dauer, Jessica A - Washington, DC</vt:lpwstr>
  </property>
  <property fmtid="{D5CDD505-2E9C-101B-9397-08002B2CF9AE}" pid="6" name="_PreviousAdHocReviewCycleID">
    <vt:i4>-2016533641</vt:i4>
  </property>
  <property fmtid="{D5CDD505-2E9C-101B-9397-08002B2CF9AE}" pid="7" name="_ReviewingToolsShownOnce">
    <vt:lpwstr/>
  </property>
</Properties>
</file>